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52" yWindow="636" windowWidth="20952" windowHeight="9360" tabRatio="931"/>
  </bookViews>
  <sheets>
    <sheet name="JAP-41 Page 1" sheetId="120" r:id="rId1"/>
    <sheet name="JAP-41 Page 2" sheetId="5" r:id="rId2"/>
    <sheet name="JAP-41 Page 3" sheetId="189" r:id="rId3"/>
    <sheet name="JAP-41 Page 3a" sheetId="215" r:id="rId4"/>
    <sheet name="JAP-41 Page 4" sheetId="54" r:id="rId5"/>
    <sheet name="Work Papers For Exhibits--&gt;" sheetId="36" r:id="rId6"/>
    <sheet name="2017 GRC PCA Costs" sheetId="274" r:id="rId7"/>
    <sheet name="Exhibit A-1" sheetId="301" r:id="rId8"/>
    <sheet name="Exhibit No.__(JAP-Res RD)" sheetId="291" r:id="rId9"/>
    <sheet name="Exhibit No.__(JAP-SV RD)" sheetId="292" r:id="rId10"/>
    <sheet name="Exhibit No.__(JAP-PV RD)" sheetId="293" r:id="rId11"/>
    <sheet name="Exhibit No.__(JAP-CAMP RD)" sheetId="294" r:id="rId12"/>
    <sheet name="Exhibit No.__(JAP-HV RD)" sheetId="295" r:id="rId13"/>
    <sheet name="Tariff 26" sheetId="297" r:id="rId14"/>
    <sheet name="Tariff 26P" sheetId="298" r:id="rId15"/>
    <sheet name="Tariff 31" sheetId="299" r:id="rId16"/>
    <sheet name="12ME Sep16 Cust Data" sheetId="214" r:id="rId17"/>
    <sheet name="Delivered kWh" sheetId="296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6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6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6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 localSheetId="17">[36]Mthly!$B$11:$D$11,[36]Mthly!$B$35:$D$35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[39]Inputs!$N$18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16">'12ME Sep16 Cust Data'!$B$57:$O$77</definedName>
    <definedName name="_xlnm.Print_Area" localSheetId="6">'2017 GRC PCA Costs'!$A$1:$Q$30</definedName>
    <definedName name="_xlnm.Print_Area" localSheetId="17">'Delivered kWh'!$A$1:$P$45</definedName>
    <definedName name="_xlnm.Print_Area" localSheetId="11">'Exhibit No.__(JAP-CAMP RD)'!$A$1:$N$82</definedName>
    <definedName name="_xlnm.Print_Area" localSheetId="12">'Exhibit No.__(JAP-HV RD)'!$A$1:$M$38</definedName>
    <definedName name="_xlnm.Print_Area" localSheetId="10">'Exhibit No.__(JAP-PV RD)'!$A$1:$M$78</definedName>
    <definedName name="_xlnm.Print_Area" localSheetId="8">'Exhibit No.__(JAP-Res RD)'!$A$1:$M$24</definedName>
    <definedName name="_xlnm.Print_Area" localSheetId="9">'Exhibit No.__(JAP-SV RD)'!$A$1:$M$136</definedName>
    <definedName name="_xlnm.Print_Area" localSheetId="13">'Tariff 26'!$A$1:$P$113</definedName>
    <definedName name="_xlnm.Print_Area" localSheetId="14">'Tariff 26P'!$A$1:$P$71</definedName>
    <definedName name="_xlnm.Print_Area" localSheetId="15">'Tariff 31'!$A$1:$P$99</definedName>
    <definedName name="_xlnm.Print_Titles" localSheetId="11">'Exhibit No.__(JAP-CAMP RD)'!$1:$10</definedName>
    <definedName name="_xlnm.Print_Titles" localSheetId="12">'Exhibit No.__(JAP-HV RD)'!$1:$10</definedName>
    <definedName name="_xlnm.Print_Titles" localSheetId="10">'Exhibit No.__(JAP-PV RD)'!$1:$10</definedName>
    <definedName name="_xlnm.Print_Titles" localSheetId="8">'Exhibit No.__(JAP-Res RD)'!$1:$10</definedName>
    <definedName name="_xlnm.Print_Titles" localSheetId="9">'Exhibit No.__(JAP-SV RD)'!$1:$10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[36]QTD!$B$11:$D$11,[36]QTD!$B$35:$D$35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 localSheetId="17">[12]Sch_194!$M$31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6">[15]INPUTS!$F$44</definedName>
    <definedName name="ResRCF">[16]INPUTS!$F$44</definedName>
    <definedName name="ResUnc" localSheetId="6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6">[15]INPUTS!$F$30</definedName>
    <definedName name="ROD">[16]INPUTS!$F$30</definedName>
    <definedName name="ROR" localSheetId="6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edule">[39]Inputs!$N$14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6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 localSheetId="17">'[49]Input Tab'!$B$11</definedName>
    <definedName name="Winter">'[50]Input Tab'!$B$11</definedName>
    <definedName name="WinterPeak">'[51]Load Data'!$D$9:$H$12,'[51]Load Data'!$D$20:$H$22</definedName>
    <definedName name="x">'[52]Weather Present'!$K$7</definedName>
    <definedName name="y">'[53]DSM Output'!$B$21:$B$23</definedName>
    <definedName name="Years_evaluated">'[54]Revison Inputs'!$B$6</definedName>
    <definedName name="YEFactors">[7]Factors!$S$3:$AG$99</definedName>
    <definedName name="YTD_Format">[36]YTD!$B$13:$D$13,[36]YTD!$B$36:$D$36</definedName>
    <definedName name="z">'[53]DSM Output'!$G$21:$G$23</definedName>
  </definedNames>
  <calcPr calcId="145621" calcMode="manual" iterate="1" calcCompleted="0" calcOnSave="0"/>
  <pivotCaches>
    <pivotCache cacheId="1" r:id="rId80"/>
    <pivotCache cacheId="2" r:id="rId81"/>
    <pivotCache cacheId="3" r:id="rId82"/>
  </pivotCaches>
</workbook>
</file>

<file path=xl/calcChain.xml><?xml version="1.0" encoding="utf-8"?>
<calcChain xmlns="http://schemas.openxmlformats.org/spreadsheetml/2006/main">
  <c r="M56" i="293" l="1"/>
  <c r="L56" i="293"/>
  <c r="M49" i="292" l="1"/>
  <c r="L49" i="292"/>
  <c r="L33" i="293" l="1"/>
  <c r="L83" i="292"/>
  <c r="G67" i="292"/>
  <c r="L27" i="292"/>
  <c r="G18" i="291"/>
  <c r="C16" i="301"/>
  <c r="C15" i="301" l="1"/>
  <c r="C13" i="301"/>
  <c r="M77" i="294" l="1"/>
  <c r="L77" i="294"/>
  <c r="J77" i="294"/>
  <c r="G77" i="294"/>
  <c r="M76" i="294"/>
  <c r="L76" i="294"/>
  <c r="J76" i="294"/>
  <c r="G76" i="294"/>
  <c r="M75" i="294"/>
  <c r="L75" i="294"/>
  <c r="J75" i="294"/>
  <c r="G75" i="294"/>
  <c r="M74" i="294"/>
  <c r="L74" i="294"/>
  <c r="J74" i="294"/>
  <c r="G74" i="294"/>
  <c r="M73" i="294"/>
  <c r="L73" i="294"/>
  <c r="J73" i="294"/>
  <c r="G73" i="294"/>
  <c r="M72" i="294"/>
  <c r="L72" i="294"/>
  <c r="J72" i="294"/>
  <c r="G72" i="294"/>
  <c r="M71" i="294"/>
  <c r="L71" i="294"/>
  <c r="J71" i="294"/>
  <c r="G71" i="294"/>
  <c r="M70" i="294"/>
  <c r="L70" i="294"/>
  <c r="J70" i="294"/>
  <c r="G70" i="294"/>
  <c r="M69" i="294"/>
  <c r="L69" i="294"/>
  <c r="J69" i="294"/>
  <c r="G69" i="294"/>
  <c r="M68" i="294"/>
  <c r="L68" i="294"/>
  <c r="J68" i="294"/>
  <c r="G68" i="294"/>
  <c r="M67" i="294"/>
  <c r="L67" i="294"/>
  <c r="J67" i="294"/>
  <c r="G67" i="294"/>
  <c r="M66" i="294"/>
  <c r="L66" i="294"/>
  <c r="J66" i="294"/>
  <c r="G66" i="294"/>
  <c r="C52" i="294"/>
  <c r="C51" i="294"/>
  <c r="C50" i="294"/>
  <c r="C48" i="294"/>
  <c r="J39" i="294"/>
  <c r="Q17" i="274"/>
  <c r="P17" i="274"/>
  <c r="O17" i="274"/>
  <c r="N17" i="274"/>
  <c r="M17" i="274"/>
  <c r="L17" i="274"/>
  <c r="K17" i="274"/>
  <c r="J17" i="274"/>
  <c r="I17" i="274"/>
  <c r="H17" i="274"/>
  <c r="G17" i="274"/>
  <c r="F17" i="274"/>
  <c r="E17" i="274"/>
  <c r="Q15" i="274"/>
  <c r="P15" i="274"/>
  <c r="O15" i="274"/>
  <c r="N15" i="274"/>
  <c r="M15" i="274"/>
  <c r="L15" i="274"/>
  <c r="K15" i="274"/>
  <c r="J15" i="274"/>
  <c r="I15" i="274"/>
  <c r="H15" i="274"/>
  <c r="G15" i="274"/>
  <c r="F15" i="274"/>
  <c r="E15" i="274"/>
  <c r="Q10" i="274"/>
  <c r="P10" i="274"/>
  <c r="O10" i="274"/>
  <c r="N10" i="274"/>
  <c r="M10" i="274"/>
  <c r="L10" i="274"/>
  <c r="K10" i="274"/>
  <c r="J10" i="274"/>
  <c r="I10" i="274"/>
  <c r="H10" i="274"/>
  <c r="G10" i="274"/>
  <c r="F10" i="274"/>
  <c r="E10" i="274"/>
  <c r="C10" i="274"/>
  <c r="Q9" i="274"/>
  <c r="P9" i="274"/>
  <c r="O9" i="274"/>
  <c r="N9" i="274"/>
  <c r="M9" i="274"/>
  <c r="L9" i="274"/>
  <c r="K9" i="274"/>
  <c r="J9" i="274"/>
  <c r="I9" i="274"/>
  <c r="H9" i="274"/>
  <c r="G9" i="274"/>
  <c r="F9" i="274"/>
  <c r="E9" i="274"/>
  <c r="C9" i="274"/>
  <c r="P25" i="299"/>
  <c r="O25" i="299"/>
  <c r="N25" i="299"/>
  <c r="M25" i="299"/>
  <c r="L25" i="299"/>
  <c r="K25" i="299"/>
  <c r="J25" i="299"/>
  <c r="I25" i="299"/>
  <c r="H25" i="299"/>
  <c r="G25" i="299"/>
  <c r="F25" i="299"/>
  <c r="E25" i="299"/>
  <c r="P21" i="299"/>
  <c r="O21" i="299"/>
  <c r="N21" i="299"/>
  <c r="M21" i="299"/>
  <c r="L21" i="299"/>
  <c r="K21" i="299"/>
  <c r="J21" i="299"/>
  <c r="I21" i="299"/>
  <c r="H21" i="299"/>
  <c r="G21" i="299"/>
  <c r="F21" i="299"/>
  <c r="E21" i="299"/>
  <c r="P19" i="299"/>
  <c r="O19" i="299"/>
  <c r="N19" i="299"/>
  <c r="M19" i="299"/>
  <c r="L19" i="299"/>
  <c r="K19" i="299"/>
  <c r="J19" i="299"/>
  <c r="I19" i="299"/>
  <c r="H19" i="299"/>
  <c r="G19" i="299"/>
  <c r="F19" i="299"/>
  <c r="E19" i="299"/>
  <c r="P12" i="299"/>
  <c r="O12" i="299"/>
  <c r="N12" i="299"/>
  <c r="M12" i="299"/>
  <c r="L12" i="299"/>
  <c r="K12" i="299"/>
  <c r="J12" i="299"/>
  <c r="I12" i="299"/>
  <c r="H12" i="299"/>
  <c r="G12" i="299"/>
  <c r="F12" i="299"/>
  <c r="E12" i="299"/>
  <c r="P7" i="299"/>
  <c r="O7" i="299"/>
  <c r="N7" i="299"/>
  <c r="M7" i="299"/>
  <c r="L7" i="299"/>
  <c r="K7" i="299"/>
  <c r="J7" i="299"/>
  <c r="I7" i="299"/>
  <c r="H7" i="299"/>
  <c r="G7" i="299"/>
  <c r="F7" i="299"/>
  <c r="E7" i="299"/>
  <c r="P34" i="297"/>
  <c r="O34" i="297"/>
  <c r="N34" i="297"/>
  <c r="M34" i="297"/>
  <c r="L34" i="297"/>
  <c r="K34" i="297"/>
  <c r="J34" i="297"/>
  <c r="I34" i="297"/>
  <c r="H34" i="297"/>
  <c r="G34" i="297"/>
  <c r="F34" i="297"/>
  <c r="E34" i="297"/>
  <c r="P28" i="297"/>
  <c r="O28" i="297"/>
  <c r="N28" i="297"/>
  <c r="M28" i="297"/>
  <c r="L28" i="297"/>
  <c r="K28" i="297"/>
  <c r="J28" i="297"/>
  <c r="I28" i="297"/>
  <c r="H28" i="297"/>
  <c r="G28" i="297"/>
  <c r="F28" i="297"/>
  <c r="E28" i="297"/>
  <c r="P23" i="297"/>
  <c r="O23" i="297"/>
  <c r="N23" i="297"/>
  <c r="M23" i="297"/>
  <c r="L23" i="297"/>
  <c r="K23" i="297"/>
  <c r="J23" i="297"/>
  <c r="I23" i="297"/>
  <c r="H23" i="297"/>
  <c r="G23" i="297"/>
  <c r="F23" i="297"/>
  <c r="E23" i="297"/>
  <c r="P14" i="297"/>
  <c r="O14" i="297"/>
  <c r="N14" i="297"/>
  <c r="M14" i="297"/>
  <c r="L14" i="297"/>
  <c r="K14" i="297"/>
  <c r="J14" i="297"/>
  <c r="I14" i="297"/>
  <c r="H14" i="297"/>
  <c r="G14" i="297"/>
  <c r="F14" i="297"/>
  <c r="E14" i="297"/>
  <c r="P8" i="297"/>
  <c r="O8" i="297"/>
  <c r="N8" i="297"/>
  <c r="M8" i="297"/>
  <c r="L8" i="297"/>
  <c r="K8" i="297"/>
  <c r="J8" i="297"/>
  <c r="I8" i="297"/>
  <c r="H8" i="297"/>
  <c r="G8" i="297"/>
  <c r="F8" i="297"/>
  <c r="E8" i="297"/>
  <c r="D31" i="294"/>
  <c r="C31" i="294"/>
  <c r="D30" i="294"/>
  <c r="C30" i="294"/>
  <c r="P40" i="296"/>
  <c r="O40" i="296"/>
  <c r="N40" i="296"/>
  <c r="M40" i="296"/>
  <c r="L40" i="296"/>
  <c r="K40" i="296"/>
  <c r="J40" i="296"/>
  <c r="I40" i="296"/>
  <c r="H40" i="296"/>
  <c r="G40" i="296"/>
  <c r="F40" i="296"/>
  <c r="E40" i="296"/>
  <c r="P39" i="296"/>
  <c r="O39" i="296"/>
  <c r="N39" i="296"/>
  <c r="M39" i="296"/>
  <c r="L39" i="296"/>
  <c r="K39" i="296"/>
  <c r="J39" i="296"/>
  <c r="I39" i="296"/>
  <c r="H39" i="296"/>
  <c r="G39" i="296"/>
  <c r="F39" i="296"/>
  <c r="E39" i="296"/>
  <c r="P35" i="296"/>
  <c r="O35" i="296"/>
  <c r="N35" i="296"/>
  <c r="M35" i="296"/>
  <c r="L35" i="296"/>
  <c r="K35" i="296"/>
  <c r="J35" i="296"/>
  <c r="I35" i="296"/>
  <c r="H35" i="296"/>
  <c r="G35" i="296"/>
  <c r="F35" i="296"/>
  <c r="E35" i="296"/>
  <c r="P31" i="296"/>
  <c r="O31" i="296"/>
  <c r="N31" i="296"/>
  <c r="M31" i="296"/>
  <c r="L31" i="296"/>
  <c r="K31" i="296"/>
  <c r="J31" i="296"/>
  <c r="I31" i="296"/>
  <c r="H31" i="296"/>
  <c r="G31" i="296"/>
  <c r="F31" i="296"/>
  <c r="E31" i="296"/>
  <c r="P29" i="296"/>
  <c r="O29" i="296"/>
  <c r="N29" i="296"/>
  <c r="M29" i="296"/>
  <c r="L29" i="296"/>
  <c r="K29" i="296"/>
  <c r="J29" i="296"/>
  <c r="I29" i="296"/>
  <c r="H29" i="296"/>
  <c r="G29" i="296"/>
  <c r="F29" i="296"/>
  <c r="E29" i="296"/>
  <c r="P60" i="299"/>
  <c r="O60" i="299"/>
  <c r="N60" i="299"/>
  <c r="M60" i="299"/>
  <c r="L60" i="299"/>
  <c r="K60" i="299"/>
  <c r="J60" i="299"/>
  <c r="I60" i="299"/>
  <c r="H60" i="299"/>
  <c r="G60" i="299"/>
  <c r="F60" i="299"/>
  <c r="E60" i="299"/>
  <c r="P71" i="297"/>
  <c r="O71" i="297"/>
  <c r="N71" i="297"/>
  <c r="M71" i="297"/>
  <c r="L71" i="297"/>
  <c r="K71" i="297"/>
  <c r="J71" i="297"/>
  <c r="I71" i="297"/>
  <c r="H71" i="297"/>
  <c r="G71" i="297"/>
  <c r="F71" i="297"/>
  <c r="E71" i="297"/>
  <c r="P56" i="299"/>
  <c r="O56" i="299"/>
  <c r="N56" i="299"/>
  <c r="M56" i="299"/>
  <c r="L56" i="299"/>
  <c r="K56" i="299"/>
  <c r="J56" i="299"/>
  <c r="I56" i="299"/>
  <c r="H56" i="299"/>
  <c r="G56" i="299"/>
  <c r="F56" i="299"/>
  <c r="E56" i="299"/>
  <c r="P66" i="297"/>
  <c r="O66" i="297"/>
  <c r="N66" i="297"/>
  <c r="M66" i="297"/>
  <c r="L66" i="297"/>
  <c r="K66" i="297"/>
  <c r="J66" i="297"/>
  <c r="I66" i="297"/>
  <c r="H66" i="297"/>
  <c r="G66" i="297"/>
  <c r="F66" i="297"/>
  <c r="E66" i="297"/>
  <c r="P43" i="296"/>
  <c r="P42" i="296"/>
  <c r="O42" i="296"/>
  <c r="N42" i="296"/>
  <c r="M42" i="296"/>
  <c r="L42" i="296"/>
  <c r="K42" i="296"/>
  <c r="J42" i="296"/>
  <c r="I42" i="296"/>
  <c r="H42" i="296"/>
  <c r="G42" i="296"/>
  <c r="F42" i="296"/>
  <c r="E42" i="296"/>
  <c r="P14" i="299"/>
  <c r="O14" i="299"/>
  <c r="N14" i="299"/>
  <c r="M14" i="299"/>
  <c r="L14" i="299"/>
  <c r="K14" i="299"/>
  <c r="J14" i="299"/>
  <c r="I14" i="299"/>
  <c r="H14" i="299"/>
  <c r="G14" i="299"/>
  <c r="F14" i="299"/>
  <c r="E14" i="299"/>
  <c r="P17" i="297"/>
  <c r="O17" i="297"/>
  <c r="N17" i="297"/>
  <c r="M17" i="297"/>
  <c r="L17" i="297"/>
  <c r="K17" i="297"/>
  <c r="J17" i="297"/>
  <c r="I17" i="297"/>
  <c r="H17" i="297"/>
  <c r="G17" i="297"/>
  <c r="F17" i="297"/>
  <c r="E17" i="297"/>
  <c r="P13" i="299"/>
  <c r="O13" i="299"/>
  <c r="N13" i="299"/>
  <c r="M13" i="299"/>
  <c r="L13" i="299"/>
  <c r="K13" i="299"/>
  <c r="J13" i="299"/>
  <c r="I13" i="299"/>
  <c r="H13" i="299"/>
  <c r="G13" i="299"/>
  <c r="F13" i="299"/>
  <c r="E13" i="299"/>
  <c r="P10" i="298"/>
  <c r="O10" i="298"/>
  <c r="N10" i="298"/>
  <c r="M10" i="298"/>
  <c r="L10" i="298"/>
  <c r="K10" i="298"/>
  <c r="J10" i="298"/>
  <c r="I10" i="298"/>
  <c r="H10" i="298"/>
  <c r="G10" i="298"/>
  <c r="F10" i="298"/>
  <c r="E10" i="298"/>
  <c r="P16" i="297"/>
  <c r="O16" i="297"/>
  <c r="N16" i="297"/>
  <c r="M16" i="297"/>
  <c r="L16" i="297"/>
  <c r="K16" i="297"/>
  <c r="J16" i="297"/>
  <c r="I16" i="297"/>
  <c r="H16" i="297"/>
  <c r="G16" i="297"/>
  <c r="F16" i="297"/>
  <c r="E16" i="297"/>
  <c r="P26" i="296"/>
  <c r="O26" i="296"/>
  <c r="N26" i="296"/>
  <c r="M26" i="296"/>
  <c r="L26" i="296"/>
  <c r="K26" i="296"/>
  <c r="J26" i="296"/>
  <c r="I26" i="296"/>
  <c r="H26" i="296"/>
  <c r="G26" i="296"/>
  <c r="F26" i="296"/>
  <c r="E26" i="296"/>
  <c r="C35" i="295"/>
  <c r="C32" i="295"/>
  <c r="C31" i="295"/>
  <c r="P25" i="296"/>
  <c r="O25" i="296"/>
  <c r="N25" i="296"/>
  <c r="M25" i="296"/>
  <c r="L25" i="296"/>
  <c r="K25" i="296"/>
  <c r="J25" i="296"/>
  <c r="I25" i="296"/>
  <c r="H25" i="296"/>
  <c r="G25" i="296"/>
  <c r="F25" i="296"/>
  <c r="E25" i="296"/>
  <c r="C20" i="295"/>
  <c r="C17" i="295"/>
  <c r="C16" i="295"/>
  <c r="P23" i="296"/>
  <c r="O23" i="296"/>
  <c r="N23" i="296"/>
  <c r="M23" i="296"/>
  <c r="L23" i="296"/>
  <c r="K23" i="296"/>
  <c r="J23" i="296"/>
  <c r="I23" i="296"/>
  <c r="H23" i="296"/>
  <c r="G23" i="296"/>
  <c r="F23" i="296"/>
  <c r="E23" i="296"/>
  <c r="A77" i="294"/>
  <c r="A76" i="294"/>
  <c r="A75" i="294"/>
  <c r="A74" i="294"/>
  <c r="A73" i="294"/>
  <c r="A72" i="294"/>
  <c r="A71" i="294"/>
  <c r="A70" i="294"/>
  <c r="A69" i="294"/>
  <c r="A68" i="294"/>
  <c r="A67" i="294"/>
  <c r="A66" i="294"/>
  <c r="G39" i="294"/>
  <c r="C36" i="294"/>
  <c r="C35" i="294"/>
  <c r="G26" i="294"/>
  <c r="C26" i="294"/>
  <c r="C25" i="294"/>
  <c r="C24" i="294"/>
  <c r="C22" i="294"/>
  <c r="C21" i="294"/>
  <c r="C17" i="294"/>
  <c r="C16" i="294"/>
  <c r="C15" i="294"/>
  <c r="P20" i="296"/>
  <c r="O20" i="296"/>
  <c r="N20" i="296"/>
  <c r="M20" i="296"/>
  <c r="L20" i="296"/>
  <c r="K20" i="296"/>
  <c r="J20" i="296"/>
  <c r="I20" i="296"/>
  <c r="H20" i="296"/>
  <c r="G20" i="296"/>
  <c r="F20" i="296"/>
  <c r="E20" i="296"/>
  <c r="C73" i="293"/>
  <c r="C68" i="293"/>
  <c r="C65" i="293"/>
  <c r="C64" i="293"/>
  <c r="C62" i="293"/>
  <c r="C60" i="293"/>
  <c r="P19" i="296"/>
  <c r="O19" i="296"/>
  <c r="N19" i="296"/>
  <c r="M19" i="296"/>
  <c r="L19" i="296"/>
  <c r="K19" i="296"/>
  <c r="J19" i="296"/>
  <c r="I19" i="296"/>
  <c r="H19" i="296"/>
  <c r="G19" i="296"/>
  <c r="F19" i="296"/>
  <c r="E19" i="296"/>
  <c r="C49" i="293"/>
  <c r="C46" i="293"/>
  <c r="C45" i="293"/>
  <c r="C42" i="293"/>
  <c r="C41" i="293"/>
  <c r="C39" i="293"/>
  <c r="C37" i="293"/>
  <c r="P18" i="296"/>
  <c r="O18" i="296"/>
  <c r="N18" i="296"/>
  <c r="M18" i="296"/>
  <c r="L18" i="296"/>
  <c r="K18" i="296"/>
  <c r="J18" i="296"/>
  <c r="I18" i="296"/>
  <c r="H18" i="296"/>
  <c r="G18" i="296"/>
  <c r="F18" i="296"/>
  <c r="E18" i="296"/>
  <c r="C27" i="293"/>
  <c r="C24" i="293"/>
  <c r="C23" i="293"/>
  <c r="C20" i="293"/>
  <c r="C19" i="293"/>
  <c r="C17" i="293"/>
  <c r="C15" i="293"/>
  <c r="P15" i="296"/>
  <c r="O15" i="296"/>
  <c r="N15" i="296"/>
  <c r="M15" i="296"/>
  <c r="L15" i="296"/>
  <c r="K15" i="296"/>
  <c r="J15" i="296"/>
  <c r="I15" i="296"/>
  <c r="H15" i="296"/>
  <c r="G15" i="296"/>
  <c r="F15" i="296"/>
  <c r="E15" i="296"/>
  <c r="C134" i="292"/>
  <c r="C131" i="292"/>
  <c r="C130" i="292"/>
  <c r="C127" i="292"/>
  <c r="C126" i="292"/>
  <c r="C125" i="292"/>
  <c r="C123" i="292"/>
  <c r="C122" i="292"/>
  <c r="C121" i="292"/>
  <c r="C120" i="292"/>
  <c r="C117" i="292"/>
  <c r="C116" i="292"/>
  <c r="P14" i="296"/>
  <c r="O14" i="296"/>
  <c r="N14" i="296"/>
  <c r="M14" i="296"/>
  <c r="L14" i="296"/>
  <c r="K14" i="296"/>
  <c r="J14" i="296"/>
  <c r="I14" i="296"/>
  <c r="H14" i="296"/>
  <c r="G14" i="296"/>
  <c r="F14" i="296"/>
  <c r="E14" i="296"/>
  <c r="P68" i="297"/>
  <c r="O68" i="297"/>
  <c r="N68" i="297"/>
  <c r="M68" i="297"/>
  <c r="L68" i="297"/>
  <c r="K68" i="297"/>
  <c r="J68" i="297"/>
  <c r="I68" i="297"/>
  <c r="H68" i="297"/>
  <c r="G68" i="297"/>
  <c r="F68" i="297"/>
  <c r="E68" i="297"/>
  <c r="P33" i="297"/>
  <c r="O33" i="297"/>
  <c r="N33" i="297"/>
  <c r="M33" i="297"/>
  <c r="L33" i="297"/>
  <c r="K33" i="297"/>
  <c r="J33" i="297"/>
  <c r="I33" i="297"/>
  <c r="H33" i="297"/>
  <c r="G33" i="297"/>
  <c r="F33" i="297"/>
  <c r="E33" i="297"/>
  <c r="P27" i="297"/>
  <c r="O27" i="297"/>
  <c r="N27" i="297"/>
  <c r="M27" i="297"/>
  <c r="L27" i="297"/>
  <c r="K27" i="297"/>
  <c r="J27" i="297"/>
  <c r="I27" i="297"/>
  <c r="H27" i="297"/>
  <c r="G27" i="297"/>
  <c r="F27" i="297"/>
  <c r="E27" i="297"/>
  <c r="P22" i="297"/>
  <c r="O22" i="297"/>
  <c r="N22" i="297"/>
  <c r="M22" i="297"/>
  <c r="L22" i="297"/>
  <c r="K22" i="297"/>
  <c r="J22" i="297"/>
  <c r="I22" i="297"/>
  <c r="H22" i="297"/>
  <c r="G22" i="297"/>
  <c r="F22" i="297"/>
  <c r="E22" i="297"/>
  <c r="P13" i="297"/>
  <c r="O13" i="297"/>
  <c r="N13" i="297"/>
  <c r="M13" i="297"/>
  <c r="L13" i="297"/>
  <c r="K13" i="297"/>
  <c r="J13" i="297"/>
  <c r="I13" i="297"/>
  <c r="H13" i="297"/>
  <c r="G13" i="297"/>
  <c r="F13" i="297"/>
  <c r="E13" i="297"/>
  <c r="P7" i="297"/>
  <c r="O7" i="297"/>
  <c r="N7" i="297"/>
  <c r="M7" i="297"/>
  <c r="L7" i="297"/>
  <c r="K7" i="297"/>
  <c r="J7" i="297"/>
  <c r="I7" i="297"/>
  <c r="H7" i="297"/>
  <c r="G7" i="297"/>
  <c r="F7" i="297"/>
  <c r="E7" i="297"/>
  <c r="C101" i="292"/>
  <c r="C97" i="292"/>
  <c r="C96" i="292"/>
  <c r="C93" i="292"/>
  <c r="C92" i="292"/>
  <c r="C89" i="292"/>
  <c r="C85" i="292"/>
  <c r="P13" i="296"/>
  <c r="O13" i="296"/>
  <c r="N13" i="296"/>
  <c r="M13" i="296"/>
  <c r="L13" i="296"/>
  <c r="K13" i="296"/>
  <c r="J13" i="296"/>
  <c r="I13" i="296"/>
  <c r="H13" i="296"/>
  <c r="G13" i="296"/>
  <c r="F13" i="296"/>
  <c r="E13" i="296"/>
  <c r="C77" i="292"/>
  <c r="C74" i="292"/>
  <c r="C73" i="292"/>
  <c r="C70" i="292"/>
  <c r="C69" i="292"/>
  <c r="C67" i="292"/>
  <c r="C65" i="292"/>
  <c r="P12" i="296"/>
  <c r="O12" i="296"/>
  <c r="N12" i="296"/>
  <c r="M12" i="296"/>
  <c r="L12" i="296"/>
  <c r="K12" i="296"/>
  <c r="J12" i="296"/>
  <c r="I12" i="296"/>
  <c r="H12" i="296"/>
  <c r="G12" i="296"/>
  <c r="F12" i="296"/>
  <c r="E12" i="296"/>
  <c r="C45" i="292"/>
  <c r="C42" i="292"/>
  <c r="C41" i="292"/>
  <c r="F38" i="292"/>
  <c r="C38" i="292"/>
  <c r="C37" i="292"/>
  <c r="C35" i="292"/>
  <c r="C34" i="292"/>
  <c r="C33" i="292"/>
  <c r="C31" i="292"/>
  <c r="P8" i="296"/>
  <c r="O8" i="296"/>
  <c r="N8" i="296"/>
  <c r="M8" i="296"/>
  <c r="L8" i="296"/>
  <c r="K8" i="296"/>
  <c r="J8" i="296"/>
  <c r="I8" i="296"/>
  <c r="H8" i="296"/>
  <c r="G8" i="296"/>
  <c r="F8" i="296"/>
  <c r="E8" i="296"/>
  <c r="P11" i="296"/>
  <c r="O11" i="296"/>
  <c r="N11" i="296"/>
  <c r="M11" i="296"/>
  <c r="L11" i="296"/>
  <c r="K11" i="296"/>
  <c r="J11" i="296"/>
  <c r="I11" i="296"/>
  <c r="H11" i="296"/>
  <c r="G11" i="296"/>
  <c r="F11" i="296"/>
  <c r="E11" i="296"/>
  <c r="C24" i="292"/>
  <c r="C23" i="292"/>
  <c r="C22" i="292"/>
  <c r="C20" i="292"/>
  <c r="C19" i="292"/>
  <c r="C16" i="292"/>
  <c r="C15" i="292"/>
  <c r="P7" i="296"/>
  <c r="O7" i="296"/>
  <c r="N7" i="296"/>
  <c r="M7" i="296"/>
  <c r="L7" i="296"/>
  <c r="K7" i="296"/>
  <c r="J7" i="296"/>
  <c r="I7" i="296"/>
  <c r="H7" i="296"/>
  <c r="G7" i="296"/>
  <c r="F7" i="296"/>
  <c r="E7" i="296"/>
  <c r="C22" i="291"/>
  <c r="C21" i="291"/>
  <c r="C19" i="291"/>
  <c r="C18" i="291"/>
  <c r="C15" i="291"/>
  <c r="C14" i="291"/>
  <c r="E59" i="294"/>
  <c r="E55" i="294"/>
  <c r="H35" i="294"/>
  <c r="H16" i="294"/>
  <c r="H15" i="294"/>
  <c r="H36" i="294"/>
  <c r="H17" i="294"/>
  <c r="L108" i="292"/>
  <c r="G74" i="292"/>
  <c r="G73" i="292"/>
  <c r="G9" i="295"/>
  <c r="H9" i="294"/>
  <c r="G9" i="293"/>
  <c r="G9" i="292"/>
  <c r="L37" i="295"/>
  <c r="J43" i="294"/>
  <c r="L77" i="293"/>
  <c r="L52" i="293"/>
  <c r="L31" i="293"/>
  <c r="L81" i="292"/>
  <c r="L50" i="292"/>
  <c r="L47" i="292"/>
  <c r="L25" i="292"/>
  <c r="L23" i="291"/>
  <c r="D35" i="295"/>
  <c r="D31" i="295"/>
  <c r="D20" i="295"/>
  <c r="D16" i="295"/>
  <c r="C61" i="294"/>
  <c r="C60" i="294"/>
  <c r="C59" i="294"/>
  <c r="C57" i="294"/>
  <c r="C56" i="294"/>
  <c r="C55" i="294"/>
  <c r="E36" i="294"/>
  <c r="E31" i="294"/>
  <c r="E30" i="294"/>
  <c r="E22" i="294"/>
  <c r="E21" i="294"/>
  <c r="E17" i="294"/>
  <c r="E16" i="294"/>
  <c r="E15" i="294"/>
  <c r="D73" i="293"/>
  <c r="D68" i="293"/>
  <c r="D62" i="293"/>
  <c r="D60" i="293"/>
  <c r="D49" i="293"/>
  <c r="D46" i="293"/>
  <c r="D45" i="293"/>
  <c r="D39" i="293"/>
  <c r="D37" i="293"/>
  <c r="D27" i="293"/>
  <c r="D24" i="293"/>
  <c r="D23" i="293"/>
  <c r="D17" i="293"/>
  <c r="D15" i="293"/>
  <c r="D134" i="292"/>
  <c r="D131" i="292"/>
  <c r="D130" i="292"/>
  <c r="D123" i="292"/>
  <c r="D122" i="292"/>
  <c r="D121" i="292"/>
  <c r="D120" i="292"/>
  <c r="D117" i="292"/>
  <c r="D116" i="292"/>
  <c r="D102" i="292"/>
  <c r="D98" i="292"/>
  <c r="D86" i="292"/>
  <c r="D77" i="292"/>
  <c r="D74" i="292"/>
  <c r="D73" i="292"/>
  <c r="D67" i="292"/>
  <c r="D65" i="292"/>
  <c r="D45" i="292"/>
  <c r="D42" i="292"/>
  <c r="D41" i="292"/>
  <c r="D35" i="292"/>
  <c r="D34" i="292"/>
  <c r="D33" i="292"/>
  <c r="D31" i="292"/>
  <c r="D20" i="292"/>
  <c r="D19" i="292"/>
  <c r="D16" i="292"/>
  <c r="D15" i="292"/>
  <c r="D19" i="291"/>
  <c r="D18" i="291"/>
  <c r="D15" i="291"/>
  <c r="D14" i="291"/>
  <c r="A3" i="295"/>
  <c r="A3" i="294"/>
  <c r="A3" i="293"/>
  <c r="A3" i="292"/>
  <c r="A3" i="291"/>
  <c r="C39" i="301"/>
  <c r="C29" i="301"/>
  <c r="C28" i="301"/>
  <c r="F48" i="301"/>
  <c r="C31" i="301"/>
  <c r="C30" i="301"/>
  <c r="C27" i="301"/>
  <c r="C26" i="301"/>
  <c r="C25" i="301"/>
  <c r="C24" i="301"/>
  <c r="C18" i="301"/>
  <c r="C17" i="301"/>
  <c r="C14" i="301"/>
  <c r="C37" i="301"/>
  <c r="C9" i="301"/>
  <c r="C33" i="301"/>
  <c r="C6" i="301"/>
  <c r="D56" i="301"/>
  <c r="D55" i="301"/>
  <c r="D54" i="301"/>
  <c r="D53" i="301"/>
  <c r="D52" i="301"/>
  <c r="D51" i="301"/>
  <c r="D50" i="301"/>
  <c r="D49" i="301"/>
  <c r="C32" i="301"/>
  <c r="C23" i="301"/>
  <c r="C22" i="301"/>
  <c r="C21" i="301"/>
  <c r="C20" i="301"/>
  <c r="C19" i="301"/>
  <c r="C7" i="301"/>
  <c r="C5" i="301"/>
  <c r="A45" i="296" l="1"/>
  <c r="A44" i="296"/>
  <c r="D43" i="296"/>
  <c r="D42" i="296"/>
  <c r="A42" i="296"/>
  <c r="A41" i="296"/>
  <c r="D40" i="296"/>
  <c r="A40" i="296"/>
  <c r="P41" i="296"/>
  <c r="P44" i="296" s="1"/>
  <c r="O41" i="296"/>
  <c r="O44" i="296" s="1"/>
  <c r="N41" i="296"/>
  <c r="N44" i="296" s="1"/>
  <c r="M41" i="296"/>
  <c r="M44" i="296" s="1"/>
  <c r="L41" i="296"/>
  <c r="L44" i="296" s="1"/>
  <c r="K41" i="296"/>
  <c r="K44" i="296" s="1"/>
  <c r="J41" i="296"/>
  <c r="J44" i="296" s="1"/>
  <c r="I41" i="296"/>
  <c r="I44" i="296" s="1"/>
  <c r="H41" i="296"/>
  <c r="H44" i="296" s="1"/>
  <c r="G41" i="296"/>
  <c r="G44" i="296" s="1"/>
  <c r="F41" i="296"/>
  <c r="F44" i="296" s="1"/>
  <c r="D39" i="296"/>
  <c r="A39" i="296"/>
  <c r="A38" i="296"/>
  <c r="A37" i="296"/>
  <c r="A36" i="296"/>
  <c r="D35" i="296"/>
  <c r="A35" i="296"/>
  <c r="A34" i="296"/>
  <c r="A33" i="296"/>
  <c r="A32" i="296"/>
  <c r="A31" i="296"/>
  <c r="A30" i="296"/>
  <c r="D29" i="296"/>
  <c r="A29" i="296"/>
  <c r="A28" i="296"/>
  <c r="A27" i="296"/>
  <c r="D26" i="296"/>
  <c r="A26" i="296"/>
  <c r="P27" i="296"/>
  <c r="O27" i="296"/>
  <c r="N27" i="296"/>
  <c r="M27" i="296"/>
  <c r="L27" i="296"/>
  <c r="K27" i="296"/>
  <c r="J27" i="296"/>
  <c r="I27" i="296"/>
  <c r="H27" i="296"/>
  <c r="G27" i="296"/>
  <c r="F27" i="296"/>
  <c r="E27" i="296"/>
  <c r="A25" i="296"/>
  <c r="A24" i="296"/>
  <c r="D23" i="296"/>
  <c r="A23" i="296"/>
  <c r="A22" i="296"/>
  <c r="A21" i="296"/>
  <c r="D20" i="296"/>
  <c r="A20" i="296"/>
  <c r="D19" i="296"/>
  <c r="A19" i="296"/>
  <c r="P21" i="296"/>
  <c r="O21" i="296"/>
  <c r="N21" i="296"/>
  <c r="M21" i="296"/>
  <c r="L21" i="296"/>
  <c r="K21" i="296"/>
  <c r="J21" i="296"/>
  <c r="I21" i="296"/>
  <c r="H21" i="296"/>
  <c r="G21" i="296"/>
  <c r="F21" i="296"/>
  <c r="D18" i="296"/>
  <c r="A18" i="296"/>
  <c r="A17" i="296"/>
  <c r="A16" i="296"/>
  <c r="D15" i="296"/>
  <c r="A15" i="296"/>
  <c r="D14" i="296"/>
  <c r="A14" i="296"/>
  <c r="D13" i="296"/>
  <c r="A13" i="296"/>
  <c r="D12" i="296"/>
  <c r="A12" i="296"/>
  <c r="P16" i="296"/>
  <c r="O16" i="296"/>
  <c r="N16" i="296"/>
  <c r="M16" i="296"/>
  <c r="L16" i="296"/>
  <c r="K16" i="296"/>
  <c r="J16" i="296"/>
  <c r="I16" i="296"/>
  <c r="H16" i="296"/>
  <c r="G16" i="296"/>
  <c r="F16" i="296"/>
  <c r="E16" i="296"/>
  <c r="D11" i="296"/>
  <c r="A11" i="296"/>
  <c r="A10" i="296"/>
  <c r="A9" i="296"/>
  <c r="D8" i="296"/>
  <c r="A8" i="296"/>
  <c r="P9" i="296"/>
  <c r="O9" i="296"/>
  <c r="N9" i="296"/>
  <c r="M9" i="296"/>
  <c r="L9" i="296"/>
  <c r="K9" i="296"/>
  <c r="J9" i="296"/>
  <c r="I9" i="296"/>
  <c r="H9" i="296"/>
  <c r="G9" i="296"/>
  <c r="F9" i="296"/>
  <c r="E9" i="296"/>
  <c r="A7" i="296"/>
  <c r="A204" i="299"/>
  <c r="A205" i="299" s="1"/>
  <c r="A206" i="299" s="1"/>
  <c r="A207" i="299" s="1"/>
  <c r="A208" i="299" s="1"/>
  <c r="A209" i="299" s="1"/>
  <c r="A210" i="299" s="1"/>
  <c r="A211" i="299" s="1"/>
  <c r="A212" i="299" s="1"/>
  <c r="A213" i="299" s="1"/>
  <c r="A214" i="299" s="1"/>
  <c r="A215" i="299" s="1"/>
  <c r="A216" i="299" s="1"/>
  <c r="A217" i="299" s="1"/>
  <c r="A218" i="299" s="1"/>
  <c r="A219" i="299" s="1"/>
  <c r="A198" i="299"/>
  <c r="A199" i="299" s="1"/>
  <c r="A200" i="299" s="1"/>
  <c r="A201" i="299" s="1"/>
  <c r="A202" i="299" s="1"/>
  <c r="A203" i="299" s="1"/>
  <c r="A196" i="299"/>
  <c r="A197" i="299" s="1"/>
  <c r="A195" i="299"/>
  <c r="M142" i="299"/>
  <c r="M143" i="299" s="1"/>
  <c r="K137" i="299"/>
  <c r="B134" i="299"/>
  <c r="D56" i="299"/>
  <c r="H51" i="299"/>
  <c r="C51" i="299"/>
  <c r="M46" i="299"/>
  <c r="C46" i="299"/>
  <c r="H45" i="299"/>
  <c r="C45" i="299"/>
  <c r="M45" i="299" s="1"/>
  <c r="K39" i="299"/>
  <c r="C39" i="299"/>
  <c r="O39" i="299" s="1"/>
  <c r="I37" i="299"/>
  <c r="C35" i="299"/>
  <c r="C30" i="299"/>
  <c r="E29" i="299"/>
  <c r="P26" i="299"/>
  <c r="N51" i="299"/>
  <c r="K26" i="299"/>
  <c r="D25" i="299"/>
  <c r="P24" i="299"/>
  <c r="O24" i="299"/>
  <c r="N24" i="299"/>
  <c r="M24" i="299"/>
  <c r="M137" i="299" s="1"/>
  <c r="L24" i="299"/>
  <c r="L26" i="299" s="1"/>
  <c r="K24" i="299"/>
  <c r="K50" i="299" s="1"/>
  <c r="J24" i="299"/>
  <c r="I24" i="299"/>
  <c r="H24" i="299"/>
  <c r="H26" i="299" s="1"/>
  <c r="G24" i="299"/>
  <c r="G137" i="299" s="1"/>
  <c r="F24" i="299"/>
  <c r="E24" i="299"/>
  <c r="P46" i="299"/>
  <c r="N46" i="299"/>
  <c r="L46" i="299"/>
  <c r="K142" i="299"/>
  <c r="H142" i="299"/>
  <c r="G142" i="299"/>
  <c r="P20" i="299"/>
  <c r="O20" i="299"/>
  <c r="O44" i="299" s="1"/>
  <c r="N20" i="299"/>
  <c r="M20" i="299"/>
  <c r="L20" i="299"/>
  <c r="L136" i="299" s="1"/>
  <c r="K20" i="299"/>
  <c r="J20" i="299"/>
  <c r="I20" i="299"/>
  <c r="H20" i="299"/>
  <c r="G20" i="299"/>
  <c r="G136" i="299" s="1"/>
  <c r="F20" i="299"/>
  <c r="E20" i="299"/>
  <c r="D20" i="299"/>
  <c r="D19" i="299"/>
  <c r="P18" i="299"/>
  <c r="O18" i="299"/>
  <c r="N18" i="299"/>
  <c r="M18" i="299"/>
  <c r="L18" i="299"/>
  <c r="L22" i="299" s="1"/>
  <c r="L47" i="299" s="1"/>
  <c r="K18" i="299"/>
  <c r="J18" i="299"/>
  <c r="I18" i="299"/>
  <c r="H18" i="299"/>
  <c r="G18" i="299"/>
  <c r="G135" i="299" s="1"/>
  <c r="F18" i="299"/>
  <c r="E18" i="299"/>
  <c r="D14" i="299"/>
  <c r="D13" i="299"/>
  <c r="D12" i="299"/>
  <c r="P11" i="299"/>
  <c r="O11" i="299"/>
  <c r="O36" i="299" s="1"/>
  <c r="N11" i="299"/>
  <c r="N34" i="299" s="1"/>
  <c r="M11" i="299"/>
  <c r="L11" i="299"/>
  <c r="L34" i="299" s="1"/>
  <c r="K11" i="299"/>
  <c r="K36" i="299" s="1"/>
  <c r="J11" i="299"/>
  <c r="I11" i="299"/>
  <c r="H11" i="299"/>
  <c r="H34" i="299" s="1"/>
  <c r="G11" i="299"/>
  <c r="G36" i="299" s="1"/>
  <c r="F11" i="299"/>
  <c r="E11" i="299"/>
  <c r="A8" i="299"/>
  <c r="A9" i="299" s="1"/>
  <c r="A10" i="299" s="1"/>
  <c r="A11" i="299" s="1"/>
  <c r="A12" i="299" s="1"/>
  <c r="A13" i="299" s="1"/>
  <c r="A14" i="299" s="1"/>
  <c r="A15" i="299" s="1"/>
  <c r="A16" i="299" s="1"/>
  <c r="A17" i="299" s="1"/>
  <c r="A18" i="299" s="1"/>
  <c r="A19" i="299" s="1"/>
  <c r="A20" i="299" s="1"/>
  <c r="A21" i="299" s="1"/>
  <c r="A22" i="299" s="1"/>
  <c r="A23" i="299" s="1"/>
  <c r="A24" i="299" s="1"/>
  <c r="A25" i="299" s="1"/>
  <c r="A26" i="299" s="1"/>
  <c r="A27" i="299" s="1"/>
  <c r="A28" i="299" s="1"/>
  <c r="A29" i="299" s="1"/>
  <c r="A30" i="299" s="1"/>
  <c r="A31" i="299" s="1"/>
  <c r="A32" i="299" s="1"/>
  <c r="A33" i="299" s="1"/>
  <c r="A34" i="299" s="1"/>
  <c r="A35" i="299" s="1"/>
  <c r="A36" i="299" s="1"/>
  <c r="A37" i="299" s="1"/>
  <c r="A38" i="299" s="1"/>
  <c r="A39" i="299" s="1"/>
  <c r="A40" i="299" s="1"/>
  <c r="A41" i="299" s="1"/>
  <c r="A42" i="299" s="1"/>
  <c r="A43" i="299" s="1"/>
  <c r="A44" i="299" s="1"/>
  <c r="A45" i="299" s="1"/>
  <c r="A46" i="299" s="1"/>
  <c r="A47" i="299" s="1"/>
  <c r="A48" i="299" s="1"/>
  <c r="A49" i="299" s="1"/>
  <c r="A50" i="299" s="1"/>
  <c r="A51" i="299" s="1"/>
  <c r="A52" i="299" s="1"/>
  <c r="A53" i="299" s="1"/>
  <c r="A54" i="299" s="1"/>
  <c r="A55" i="299" s="1"/>
  <c r="A56" i="299" s="1"/>
  <c r="A57" i="299" s="1"/>
  <c r="A58" i="299" s="1"/>
  <c r="A59" i="299" s="1"/>
  <c r="A60" i="299" s="1"/>
  <c r="A61" i="299" s="1"/>
  <c r="A62" i="299" s="1"/>
  <c r="A63" i="299" s="1"/>
  <c r="A64" i="299" s="1"/>
  <c r="A65" i="299" s="1"/>
  <c r="A66" i="299" s="1"/>
  <c r="A67" i="299" s="1"/>
  <c r="A68" i="299" s="1"/>
  <c r="A69" i="299" s="1"/>
  <c r="A70" i="299" s="1"/>
  <c r="A71" i="299" s="1"/>
  <c r="A72" i="299" s="1"/>
  <c r="A73" i="299" s="1"/>
  <c r="A74" i="299" s="1"/>
  <c r="A75" i="299" s="1"/>
  <c r="A76" i="299" s="1"/>
  <c r="A77" i="299" s="1"/>
  <c r="A78" i="299" s="1"/>
  <c r="A79" i="299" s="1"/>
  <c r="A80" i="299" s="1"/>
  <c r="A81" i="299" s="1"/>
  <c r="A82" i="299" s="1"/>
  <c r="A83" i="299" s="1"/>
  <c r="A84" i="299" s="1"/>
  <c r="A85" i="299" s="1"/>
  <c r="A86" i="299" s="1"/>
  <c r="A87" i="299" s="1"/>
  <c r="A88" i="299" s="1"/>
  <c r="A89" i="299" s="1"/>
  <c r="A90" i="299" s="1"/>
  <c r="A91" i="299" s="1"/>
  <c r="A92" i="299" s="1"/>
  <c r="A93" i="299" s="1"/>
  <c r="A94" i="299" s="1"/>
  <c r="A95" i="299" s="1"/>
  <c r="A96" i="299" s="1"/>
  <c r="A97" i="299" s="1"/>
  <c r="A98" i="299" s="1"/>
  <c r="A99" i="299" s="1"/>
  <c r="A100" i="299" s="1"/>
  <c r="A101" i="299" s="1"/>
  <c r="A102" i="299" s="1"/>
  <c r="A103" i="299" s="1"/>
  <c r="A104" i="299" s="1"/>
  <c r="A105" i="299" s="1"/>
  <c r="A106" i="299" s="1"/>
  <c r="A107" i="299" s="1"/>
  <c r="A108" i="299" s="1"/>
  <c r="A109" i="299" s="1"/>
  <c r="A110" i="299" s="1"/>
  <c r="A111" i="299" s="1"/>
  <c r="A112" i="299" s="1"/>
  <c r="A113" i="299" s="1"/>
  <c r="A114" i="299" s="1"/>
  <c r="A115" i="299" s="1"/>
  <c r="A116" i="299" s="1"/>
  <c r="A117" i="299" s="1"/>
  <c r="A118" i="299" s="1"/>
  <c r="A119" i="299" s="1"/>
  <c r="A120" i="299" s="1"/>
  <c r="A121" i="299" s="1"/>
  <c r="A122" i="299" s="1"/>
  <c r="A123" i="299" s="1"/>
  <c r="A124" i="299" s="1"/>
  <c r="A125" i="299" s="1"/>
  <c r="A126" i="299" s="1"/>
  <c r="A127" i="299" s="1"/>
  <c r="A128" i="299" s="1"/>
  <c r="A129" i="299" s="1"/>
  <c r="A130" i="299" s="1"/>
  <c r="A131" i="299" s="1"/>
  <c r="A132" i="299" s="1"/>
  <c r="A133" i="299" s="1"/>
  <c r="A134" i="299" s="1"/>
  <c r="A135" i="299" s="1"/>
  <c r="A136" i="299" s="1"/>
  <c r="A137" i="299" s="1"/>
  <c r="A138" i="299" s="1"/>
  <c r="A139" i="299" s="1"/>
  <c r="A140" i="299" s="1"/>
  <c r="A141" i="299" s="1"/>
  <c r="A142" i="299" s="1"/>
  <c r="A143" i="299" s="1"/>
  <c r="A144" i="299" s="1"/>
  <c r="A145" i="299" s="1"/>
  <c r="A146" i="299" s="1"/>
  <c r="A147" i="299" s="1"/>
  <c r="A148" i="299" s="1"/>
  <c r="P30" i="299"/>
  <c r="N30" i="299"/>
  <c r="M30" i="299"/>
  <c r="L30" i="299"/>
  <c r="J30" i="299"/>
  <c r="I30" i="299"/>
  <c r="H30" i="299"/>
  <c r="D7" i="299"/>
  <c r="E30" i="299"/>
  <c r="A7" i="299"/>
  <c r="P6" i="299"/>
  <c r="P134" i="299" s="1"/>
  <c r="O6" i="299"/>
  <c r="O134" i="299" s="1"/>
  <c r="N6" i="299"/>
  <c r="M6" i="299"/>
  <c r="M134" i="299" s="1"/>
  <c r="L6" i="299"/>
  <c r="L134" i="299" s="1"/>
  <c r="K6" i="299"/>
  <c r="K8" i="299" s="1"/>
  <c r="J6" i="299"/>
  <c r="I6" i="299"/>
  <c r="I134" i="299" s="1"/>
  <c r="H6" i="299"/>
  <c r="H134" i="299" s="1"/>
  <c r="G6" i="299"/>
  <c r="G134" i="299" s="1"/>
  <c r="F6" i="299"/>
  <c r="E6" i="299"/>
  <c r="E134" i="299" s="1"/>
  <c r="D6" i="299"/>
  <c r="A2" i="299"/>
  <c r="P47" i="298"/>
  <c r="H47" i="298"/>
  <c r="C47" i="298"/>
  <c r="M45" i="298"/>
  <c r="E45" i="298"/>
  <c r="J38" i="298"/>
  <c r="P37" i="298"/>
  <c r="H37" i="298"/>
  <c r="P33" i="298"/>
  <c r="O33" i="298"/>
  <c r="N33" i="298"/>
  <c r="M33" i="298"/>
  <c r="L33" i="298"/>
  <c r="K33" i="298"/>
  <c r="J33" i="298"/>
  <c r="I33" i="298"/>
  <c r="H33" i="298"/>
  <c r="G33" i="298"/>
  <c r="F33" i="298"/>
  <c r="E33" i="298"/>
  <c r="O31" i="298"/>
  <c r="G31" i="298"/>
  <c r="M30" i="298"/>
  <c r="E30" i="298"/>
  <c r="C30" i="298"/>
  <c r="O29" i="298"/>
  <c r="G29" i="298"/>
  <c r="M25" i="298"/>
  <c r="F25" i="298"/>
  <c r="O24" i="298"/>
  <c r="I24" i="298"/>
  <c r="M23" i="298"/>
  <c r="G23" i="298"/>
  <c r="K22" i="298"/>
  <c r="G22" i="298"/>
  <c r="P19" i="298"/>
  <c r="P46" i="298" s="1"/>
  <c r="O19" i="298"/>
  <c r="N19" i="298"/>
  <c r="N45" i="298" s="1"/>
  <c r="M19" i="298"/>
  <c r="M46" i="298" s="1"/>
  <c r="L19" i="298"/>
  <c r="L46" i="298" s="1"/>
  <c r="K19" i="298"/>
  <c r="J19" i="298"/>
  <c r="J45" i="298" s="1"/>
  <c r="I19" i="298"/>
  <c r="I46" i="298" s="1"/>
  <c r="H19" i="298"/>
  <c r="H46" i="298" s="1"/>
  <c r="G19" i="298"/>
  <c r="F19" i="298"/>
  <c r="F45" i="298" s="1"/>
  <c r="E19" i="298"/>
  <c r="E46" i="298" s="1"/>
  <c r="P16" i="298"/>
  <c r="O16" i="298"/>
  <c r="O38" i="298" s="1"/>
  <c r="N16" i="298"/>
  <c r="N41" i="298" s="1"/>
  <c r="M16" i="298"/>
  <c r="M41" i="298" s="1"/>
  <c r="L16" i="298"/>
  <c r="K16" i="298"/>
  <c r="K38" i="298" s="1"/>
  <c r="J16" i="298"/>
  <c r="J41" i="298" s="1"/>
  <c r="I16" i="298"/>
  <c r="I41" i="298" s="1"/>
  <c r="H16" i="298"/>
  <c r="G16" i="298"/>
  <c r="G38" i="298" s="1"/>
  <c r="F16" i="298"/>
  <c r="F41" i="298" s="1"/>
  <c r="E16" i="298"/>
  <c r="E41" i="298" s="1"/>
  <c r="D16" i="298"/>
  <c r="P15" i="298"/>
  <c r="P40" i="298" s="1"/>
  <c r="O15" i="298"/>
  <c r="O40" i="298" s="1"/>
  <c r="N15" i="298"/>
  <c r="M15" i="298"/>
  <c r="M37" i="298" s="1"/>
  <c r="L15" i="298"/>
  <c r="L40" i="298" s="1"/>
  <c r="K15" i="298"/>
  <c r="K40" i="298" s="1"/>
  <c r="J15" i="298"/>
  <c r="J17" i="298" s="1"/>
  <c r="I15" i="298"/>
  <c r="I37" i="298" s="1"/>
  <c r="H15" i="298"/>
  <c r="H40" i="298" s="1"/>
  <c r="G15" i="298"/>
  <c r="G40" i="298" s="1"/>
  <c r="F15" i="298"/>
  <c r="E15" i="298"/>
  <c r="E37" i="298" s="1"/>
  <c r="J12" i="298"/>
  <c r="D11" i="298"/>
  <c r="N12" i="298"/>
  <c r="M12" i="298"/>
  <c r="I12" i="298"/>
  <c r="F12" i="298"/>
  <c r="E12" i="298"/>
  <c r="P9" i="298"/>
  <c r="O9" i="298"/>
  <c r="O12" i="298" s="1"/>
  <c r="N9" i="298"/>
  <c r="M9" i="298"/>
  <c r="L9" i="298"/>
  <c r="K9" i="298"/>
  <c r="K31" i="298" s="1"/>
  <c r="J9" i="298"/>
  <c r="J31" i="298" s="1"/>
  <c r="I9" i="298"/>
  <c r="H9" i="298"/>
  <c r="G9" i="298"/>
  <c r="G12" i="298" s="1"/>
  <c r="F9" i="298"/>
  <c r="E9" i="298"/>
  <c r="D9" i="298"/>
  <c r="A9" i="298"/>
  <c r="A10" i="298" s="1"/>
  <c r="A11" i="298" s="1"/>
  <c r="A12" i="298" s="1"/>
  <c r="A13" i="298" s="1"/>
  <c r="A14" i="298" s="1"/>
  <c r="A15" i="298" s="1"/>
  <c r="A16" i="298" s="1"/>
  <c r="A17" i="298" s="1"/>
  <c r="A18" i="298" s="1"/>
  <c r="A19" i="298" s="1"/>
  <c r="A20" i="298" s="1"/>
  <c r="A21" i="298" s="1"/>
  <c r="A22" i="298" s="1"/>
  <c r="A23" i="298" s="1"/>
  <c r="A24" i="298" s="1"/>
  <c r="A25" i="298" s="1"/>
  <c r="A26" i="298" s="1"/>
  <c r="A27" i="298" s="1"/>
  <c r="A28" i="298" s="1"/>
  <c r="A29" i="298" s="1"/>
  <c r="A30" i="298" s="1"/>
  <c r="A31" i="298" s="1"/>
  <c r="A32" i="298" s="1"/>
  <c r="A33" i="298" s="1"/>
  <c r="A34" i="298" s="1"/>
  <c r="A35" i="298" s="1"/>
  <c r="A36" i="298" s="1"/>
  <c r="A37" i="298" s="1"/>
  <c r="A38" i="298" s="1"/>
  <c r="A39" i="298" s="1"/>
  <c r="A40" i="298" s="1"/>
  <c r="A41" i="298" s="1"/>
  <c r="A42" i="298" s="1"/>
  <c r="A43" i="298" s="1"/>
  <c r="A44" i="298" s="1"/>
  <c r="A45" i="298" s="1"/>
  <c r="A46" i="298" s="1"/>
  <c r="A47" i="298" s="1"/>
  <c r="A48" i="298" s="1"/>
  <c r="A49" i="298" s="1"/>
  <c r="A50" i="298" s="1"/>
  <c r="A51" i="298" s="1"/>
  <c r="A52" i="298" s="1"/>
  <c r="A53" i="298" s="1"/>
  <c r="A54" i="298" s="1"/>
  <c r="A55" i="298" s="1"/>
  <c r="A56" i="298" s="1"/>
  <c r="A57" i="298" s="1"/>
  <c r="A58" i="298" s="1"/>
  <c r="A59" i="298" s="1"/>
  <c r="A60" i="298" s="1"/>
  <c r="A61" i="298" s="1"/>
  <c r="A62" i="298" s="1"/>
  <c r="A63" i="298" s="1"/>
  <c r="A64" i="298" s="1"/>
  <c r="A65" i="298" s="1"/>
  <c r="A66" i="298" s="1"/>
  <c r="A67" i="298" s="1"/>
  <c r="A68" i="298" s="1"/>
  <c r="A69" i="298" s="1"/>
  <c r="A70" i="298" s="1"/>
  <c r="A71" i="298" s="1"/>
  <c r="A8" i="298"/>
  <c r="A7" i="298"/>
  <c r="P6" i="298"/>
  <c r="O6" i="298"/>
  <c r="O25" i="298" s="1"/>
  <c r="N6" i="298"/>
  <c r="N25" i="298" s="1"/>
  <c r="M6" i="298"/>
  <c r="M24" i="298" s="1"/>
  <c r="L6" i="298"/>
  <c r="K6" i="298"/>
  <c r="K25" i="298" s="1"/>
  <c r="J6" i="298"/>
  <c r="J24" i="298" s="1"/>
  <c r="I6" i="298"/>
  <c r="I25" i="298" s="1"/>
  <c r="H6" i="298"/>
  <c r="G6" i="298"/>
  <c r="G24" i="298" s="1"/>
  <c r="F6" i="298"/>
  <c r="F24" i="298" s="1"/>
  <c r="E6" i="298"/>
  <c r="E25" i="298" s="1"/>
  <c r="D6" i="298"/>
  <c r="A2" i="298"/>
  <c r="E141" i="297"/>
  <c r="B138" i="297"/>
  <c r="D66" i="297"/>
  <c r="O61" i="297"/>
  <c r="K61" i="297"/>
  <c r="C61" i="297"/>
  <c r="C56" i="297"/>
  <c r="L55" i="297"/>
  <c r="C55" i="297"/>
  <c r="M53" i="297"/>
  <c r="K49" i="297"/>
  <c r="C49" i="297"/>
  <c r="O49" i="297" s="1"/>
  <c r="C44" i="297"/>
  <c r="G44" i="297" s="1"/>
  <c r="K43" i="297"/>
  <c r="G43" i="297"/>
  <c r="M39" i="297"/>
  <c r="I39" i="297"/>
  <c r="E39" i="297"/>
  <c r="C39" i="297"/>
  <c r="O39" i="297" s="1"/>
  <c r="G61" i="297"/>
  <c r="D34" i="297"/>
  <c r="P35" i="297"/>
  <c r="O35" i="297"/>
  <c r="L35" i="297"/>
  <c r="H35" i="297"/>
  <c r="D33" i="297"/>
  <c r="P32" i="297"/>
  <c r="O32" i="297"/>
  <c r="N32" i="297"/>
  <c r="N141" i="297" s="1"/>
  <c r="M32" i="297"/>
  <c r="M35" i="297" s="1"/>
  <c r="L32" i="297"/>
  <c r="K32" i="297"/>
  <c r="J32" i="297"/>
  <c r="J141" i="297" s="1"/>
  <c r="I32" i="297"/>
  <c r="I35" i="297" s="1"/>
  <c r="H32" i="297"/>
  <c r="G32" i="297"/>
  <c r="F32" i="297"/>
  <c r="F141" i="297" s="1"/>
  <c r="E32" i="297"/>
  <c r="E60" i="297" s="1"/>
  <c r="N56" i="297"/>
  <c r="M56" i="297"/>
  <c r="J56" i="297"/>
  <c r="I56" i="297"/>
  <c r="F56" i="297"/>
  <c r="E56" i="297"/>
  <c r="O29" i="297"/>
  <c r="K29" i="297"/>
  <c r="G29" i="297"/>
  <c r="D27" i="297"/>
  <c r="P26" i="297"/>
  <c r="P29" i="297" s="1"/>
  <c r="O26" i="297"/>
  <c r="N26" i="297"/>
  <c r="M26" i="297"/>
  <c r="L26" i="297"/>
  <c r="L29" i="297" s="1"/>
  <c r="K26" i="297"/>
  <c r="J26" i="297"/>
  <c r="I26" i="297"/>
  <c r="H26" i="297"/>
  <c r="H29" i="297" s="1"/>
  <c r="G26" i="297"/>
  <c r="F26" i="297"/>
  <c r="E26" i="297"/>
  <c r="E29" i="297" s="1"/>
  <c r="P55" i="297"/>
  <c r="M55" i="297"/>
  <c r="I55" i="297"/>
  <c r="H55" i="297"/>
  <c r="F55" i="297"/>
  <c r="E55" i="297"/>
  <c r="P24" i="297"/>
  <c r="L24" i="297"/>
  <c r="H24" i="297"/>
  <c r="D22" i="297"/>
  <c r="P21" i="297"/>
  <c r="O21" i="297"/>
  <c r="N21" i="297"/>
  <c r="N24" i="297" s="1"/>
  <c r="M21" i="297"/>
  <c r="M24" i="297" s="1"/>
  <c r="L21" i="297"/>
  <c r="K21" i="297"/>
  <c r="J21" i="297"/>
  <c r="I21" i="297"/>
  <c r="I24" i="297" s="1"/>
  <c r="H21" i="297"/>
  <c r="G21" i="297"/>
  <c r="F21" i="297"/>
  <c r="E21" i="297"/>
  <c r="E53" i="297" s="1"/>
  <c r="G49" i="297"/>
  <c r="D17" i="297"/>
  <c r="D16" i="297"/>
  <c r="D14" i="297"/>
  <c r="P15" i="297"/>
  <c r="M15" i="297"/>
  <c r="L15" i="297"/>
  <c r="H15" i="297"/>
  <c r="D13" i="297"/>
  <c r="P12" i="297"/>
  <c r="O12" i="297"/>
  <c r="N12" i="297"/>
  <c r="N67" i="297" s="1"/>
  <c r="M12" i="297"/>
  <c r="L12" i="297"/>
  <c r="L43" i="297" s="1"/>
  <c r="K12" i="297"/>
  <c r="J12" i="297"/>
  <c r="I12" i="297"/>
  <c r="I133" i="297" s="1"/>
  <c r="I135" i="297" s="1"/>
  <c r="H12" i="297"/>
  <c r="H43" i="297" s="1"/>
  <c r="G12" i="297"/>
  <c r="F12" i="297"/>
  <c r="E12" i="297"/>
  <c r="E43" i="297" s="1"/>
  <c r="P39" i="297"/>
  <c r="L39" i="297"/>
  <c r="H39" i="297"/>
  <c r="D8" i="297"/>
  <c r="O9" i="297"/>
  <c r="N9" i="297"/>
  <c r="K9" i="297"/>
  <c r="J9" i="297"/>
  <c r="G9" i="297"/>
  <c r="D7" i="297"/>
  <c r="A7" i="297"/>
  <c r="A8" i="297" s="1"/>
  <c r="A9" i="297" s="1"/>
  <c r="A10" i="297" s="1"/>
  <c r="A11" i="297" s="1"/>
  <c r="A12" i="297" s="1"/>
  <c r="A13" i="297" s="1"/>
  <c r="A14" i="297" s="1"/>
  <c r="A15" i="297" s="1"/>
  <c r="A16" i="297" s="1"/>
  <c r="A17" i="297" s="1"/>
  <c r="A18" i="297" s="1"/>
  <c r="A19" i="297" s="1"/>
  <c r="A20" i="297" s="1"/>
  <c r="A21" i="297" s="1"/>
  <c r="A22" i="297" s="1"/>
  <c r="A23" i="297" s="1"/>
  <c r="A24" i="297" s="1"/>
  <c r="A25" i="297" s="1"/>
  <c r="A26" i="297" s="1"/>
  <c r="A27" i="297" s="1"/>
  <c r="A28" i="297" s="1"/>
  <c r="A29" i="297" s="1"/>
  <c r="A30" i="297" s="1"/>
  <c r="A31" i="297" s="1"/>
  <c r="A32" i="297" s="1"/>
  <c r="A33" i="297" s="1"/>
  <c r="A34" i="297" s="1"/>
  <c r="A35" i="297" s="1"/>
  <c r="A36" i="297" s="1"/>
  <c r="A37" i="297" s="1"/>
  <c r="A38" i="297" s="1"/>
  <c r="A39" i="297" s="1"/>
  <c r="A40" i="297" s="1"/>
  <c r="A41" i="297" s="1"/>
  <c r="A42" i="297" s="1"/>
  <c r="A43" i="297" s="1"/>
  <c r="A44" i="297" s="1"/>
  <c r="A45" i="297" s="1"/>
  <c r="A46" i="297" s="1"/>
  <c r="A47" i="297" s="1"/>
  <c r="A48" i="297" s="1"/>
  <c r="A49" i="297" s="1"/>
  <c r="A50" i="297" s="1"/>
  <c r="A51" i="297" s="1"/>
  <c r="A52" i="297" s="1"/>
  <c r="A53" i="297" s="1"/>
  <c r="A54" i="297" s="1"/>
  <c r="A55" i="297" s="1"/>
  <c r="A56" i="297" s="1"/>
  <c r="A57" i="297" s="1"/>
  <c r="A58" i="297" s="1"/>
  <c r="A59" i="297" s="1"/>
  <c r="A60" i="297" s="1"/>
  <c r="A61" i="297" s="1"/>
  <c r="A62" i="297" s="1"/>
  <c r="A63" i="297" s="1"/>
  <c r="A64" i="297" s="1"/>
  <c r="A65" i="297" s="1"/>
  <c r="A66" i="297" s="1"/>
  <c r="A67" i="297" s="1"/>
  <c r="A68" i="297" s="1"/>
  <c r="A69" i="297" s="1"/>
  <c r="A70" i="297" s="1"/>
  <c r="A71" i="297" s="1"/>
  <c r="A72" i="297" s="1"/>
  <c r="A73" i="297" s="1"/>
  <c r="A74" i="297" s="1"/>
  <c r="A75" i="297" s="1"/>
  <c r="A76" i="297" s="1"/>
  <c r="A77" i="297" s="1"/>
  <c r="A78" i="297" s="1"/>
  <c r="A79" i="297" s="1"/>
  <c r="A80" i="297" s="1"/>
  <c r="A81" i="297" s="1"/>
  <c r="A82" i="297" s="1"/>
  <c r="A83" i="297" s="1"/>
  <c r="A84" i="297" s="1"/>
  <c r="A85" i="297" s="1"/>
  <c r="A86" i="297" s="1"/>
  <c r="A87" i="297" s="1"/>
  <c r="A88" i="297" s="1"/>
  <c r="A89" i="297" s="1"/>
  <c r="A90" i="297" s="1"/>
  <c r="A91" i="297" s="1"/>
  <c r="A92" i="297" s="1"/>
  <c r="A93" i="297" s="1"/>
  <c r="A94" i="297" s="1"/>
  <c r="A95" i="297" s="1"/>
  <c r="A96" i="297" s="1"/>
  <c r="A97" i="297" s="1"/>
  <c r="A98" i="297" s="1"/>
  <c r="A99" i="297" s="1"/>
  <c r="A100" i="297" s="1"/>
  <c r="A101" i="297" s="1"/>
  <c r="A102" i="297" s="1"/>
  <c r="A103" i="297" s="1"/>
  <c r="A104" i="297" s="1"/>
  <c r="A105" i="297" s="1"/>
  <c r="A106" i="297" s="1"/>
  <c r="A107" i="297" s="1"/>
  <c r="A108" i="297" s="1"/>
  <c r="A109" i="297" s="1"/>
  <c r="A110" i="297" s="1"/>
  <c r="A111" i="297" s="1"/>
  <c r="A112" i="297" s="1"/>
  <c r="A113" i="297" s="1"/>
  <c r="A114" i="297" s="1"/>
  <c r="A115" i="297" s="1"/>
  <c r="A116" i="297" s="1"/>
  <c r="A117" i="297" s="1"/>
  <c r="A118" i="297" s="1"/>
  <c r="A119" i="297" s="1"/>
  <c r="A120" i="297" s="1"/>
  <c r="A121" i="297" s="1"/>
  <c r="A122" i="297" s="1"/>
  <c r="A123" i="297" s="1"/>
  <c r="A124" i="297" s="1"/>
  <c r="A125" i="297" s="1"/>
  <c r="A126" i="297" s="1"/>
  <c r="A127" i="297" s="1"/>
  <c r="A128" i="297" s="1"/>
  <c r="A129" i="297" s="1"/>
  <c r="A130" i="297" s="1"/>
  <c r="A131" i="297" s="1"/>
  <c r="A132" i="297" s="1"/>
  <c r="A133" i="297" s="1"/>
  <c r="A134" i="297" s="1"/>
  <c r="A135" i="297" s="1"/>
  <c r="A136" i="297" s="1"/>
  <c r="A137" i="297" s="1"/>
  <c r="A138" i="297" s="1"/>
  <c r="A139" i="297" s="1"/>
  <c r="A140" i="297" s="1"/>
  <c r="A141" i="297" s="1"/>
  <c r="A142" i="297" s="1"/>
  <c r="A143" i="297" s="1"/>
  <c r="A144" i="297" s="1"/>
  <c r="A145" i="297" s="1"/>
  <c r="A146" i="297" s="1"/>
  <c r="A147" i="297" s="1"/>
  <c r="A148" i="297" s="1"/>
  <c r="A149" i="297" s="1"/>
  <c r="A150" i="297" s="1"/>
  <c r="A151" i="297" s="1"/>
  <c r="A152" i="297" s="1"/>
  <c r="P6" i="297"/>
  <c r="P138" i="297" s="1"/>
  <c r="O6" i="297"/>
  <c r="O38" i="297" s="1"/>
  <c r="N6" i="297"/>
  <c r="N138" i="297" s="1"/>
  <c r="M6" i="297"/>
  <c r="M138" i="297" s="1"/>
  <c r="L6" i="297"/>
  <c r="L138" i="297" s="1"/>
  <c r="K6" i="297"/>
  <c r="K138" i="297" s="1"/>
  <c r="J6" i="297"/>
  <c r="J138" i="297" s="1"/>
  <c r="I6" i="297"/>
  <c r="I138" i="297" s="1"/>
  <c r="H6" i="297"/>
  <c r="H138" i="297" s="1"/>
  <c r="G6" i="297"/>
  <c r="G138" i="297" s="1"/>
  <c r="F6" i="297"/>
  <c r="F138" i="297" s="1"/>
  <c r="E6" i="297"/>
  <c r="E138" i="297" s="1"/>
  <c r="A2" i="297"/>
  <c r="D8" i="299" l="1"/>
  <c r="I33" i="296"/>
  <c r="I37" i="296" s="1"/>
  <c r="M33" i="296"/>
  <c r="M37" i="296" s="1"/>
  <c r="M45" i="296" s="1"/>
  <c r="D21" i="296"/>
  <c r="L33" i="296"/>
  <c r="L37" i="296" s="1"/>
  <c r="L45" i="296" s="1"/>
  <c r="F33" i="296"/>
  <c r="F37" i="296" s="1"/>
  <c r="F45" i="296" s="1"/>
  <c r="J33" i="296"/>
  <c r="J37" i="296" s="1"/>
  <c r="J45" i="296" s="1"/>
  <c r="N33" i="296"/>
  <c r="N37" i="296" s="1"/>
  <c r="N45" i="296" s="1"/>
  <c r="I45" i="296"/>
  <c r="H33" i="296"/>
  <c r="H37" i="296" s="1"/>
  <c r="H45" i="296" s="1"/>
  <c r="P33" i="296"/>
  <c r="P37" i="296" s="1"/>
  <c r="P45" i="296" s="1"/>
  <c r="D16" i="296"/>
  <c r="G33" i="296"/>
  <c r="G37" i="296" s="1"/>
  <c r="G45" i="296" s="1"/>
  <c r="K33" i="296"/>
  <c r="K37" i="296" s="1"/>
  <c r="K45" i="296" s="1"/>
  <c r="O33" i="296"/>
  <c r="O37" i="296" s="1"/>
  <c r="O45" i="296" s="1"/>
  <c r="E21" i="296"/>
  <c r="E33" i="296" s="1"/>
  <c r="E37" i="296" s="1"/>
  <c r="E41" i="296"/>
  <c r="D7" i="296"/>
  <c r="D9" i="296" s="1"/>
  <c r="D25" i="296"/>
  <c r="D27" i="296" s="1"/>
  <c r="D31" i="296"/>
  <c r="G138" i="299"/>
  <c r="H8" i="299"/>
  <c r="L8" i="299"/>
  <c r="P8" i="299"/>
  <c r="D11" i="299"/>
  <c r="D15" i="299" s="1"/>
  <c r="P130" i="299"/>
  <c r="P131" i="299" s="1"/>
  <c r="P57" i="299"/>
  <c r="P58" i="299" s="1"/>
  <c r="P10" i="299" s="1"/>
  <c r="P36" i="299"/>
  <c r="P37" i="299"/>
  <c r="H15" i="299"/>
  <c r="L15" i="299"/>
  <c r="P15" i="299"/>
  <c r="D18" i="299"/>
  <c r="H135" i="299"/>
  <c r="H138" i="299" s="1"/>
  <c r="H141" i="299"/>
  <c r="H143" i="299" s="1"/>
  <c r="H43" i="299"/>
  <c r="P142" i="299"/>
  <c r="P143" i="299" s="1"/>
  <c r="P135" i="299"/>
  <c r="P138" i="299" s="1"/>
  <c r="H136" i="299"/>
  <c r="H44" i="299"/>
  <c r="P136" i="299"/>
  <c r="P44" i="299"/>
  <c r="F142" i="299"/>
  <c r="F46" i="299"/>
  <c r="J142" i="299"/>
  <c r="J46" i="299"/>
  <c r="H22" i="299"/>
  <c r="H47" i="299" s="1"/>
  <c r="P22" i="299"/>
  <c r="P47" i="299" s="1"/>
  <c r="E137" i="299"/>
  <c r="E50" i="299"/>
  <c r="I50" i="299"/>
  <c r="I137" i="299"/>
  <c r="E26" i="299"/>
  <c r="E31" i="299"/>
  <c r="K29" i="299"/>
  <c r="P29" i="299"/>
  <c r="G34" i="299"/>
  <c r="N35" i="299"/>
  <c r="J35" i="299"/>
  <c r="F35" i="299"/>
  <c r="P35" i="299"/>
  <c r="L35" i="299"/>
  <c r="H35" i="299"/>
  <c r="K35" i="299"/>
  <c r="P43" i="299"/>
  <c r="M50" i="299"/>
  <c r="K134" i="299"/>
  <c r="E8" i="299"/>
  <c r="I8" i="299"/>
  <c r="M8" i="299"/>
  <c r="E129" i="299"/>
  <c r="E34" i="299"/>
  <c r="E36" i="299"/>
  <c r="I34" i="299"/>
  <c r="I129" i="299"/>
  <c r="I131" i="299" s="1"/>
  <c r="I57" i="299"/>
  <c r="I58" i="299" s="1"/>
  <c r="I10" i="299" s="1"/>
  <c r="I36" i="299"/>
  <c r="M130" i="299"/>
  <c r="M131" i="299" s="1"/>
  <c r="M57" i="299"/>
  <c r="M58" i="299" s="1"/>
  <c r="M10" i="299" s="1"/>
  <c r="M34" i="299"/>
  <c r="M36" i="299"/>
  <c r="E15" i="299"/>
  <c r="I15" i="299"/>
  <c r="M15" i="299"/>
  <c r="E141" i="299"/>
  <c r="E135" i="299"/>
  <c r="I141" i="299"/>
  <c r="I135" i="299"/>
  <c r="I138" i="299" s="1"/>
  <c r="I43" i="299"/>
  <c r="M135" i="299"/>
  <c r="M43" i="299"/>
  <c r="E136" i="299"/>
  <c r="E44" i="299"/>
  <c r="I44" i="299"/>
  <c r="I136" i="299"/>
  <c r="M136" i="299"/>
  <c r="M138" i="299" s="1"/>
  <c r="M145" i="299" s="1"/>
  <c r="M44" i="299"/>
  <c r="E22" i="299"/>
  <c r="E47" i="299" s="1"/>
  <c r="I22" i="299"/>
  <c r="I47" i="299" s="1"/>
  <c r="M22" i="299"/>
  <c r="M47" i="299" s="1"/>
  <c r="F137" i="299"/>
  <c r="F26" i="299"/>
  <c r="F50" i="299"/>
  <c r="J137" i="299"/>
  <c r="J26" i="299"/>
  <c r="J50" i="299"/>
  <c r="N137" i="299"/>
  <c r="N50" i="299"/>
  <c r="N52" i="299" s="1"/>
  <c r="N26" i="299"/>
  <c r="G26" i="299"/>
  <c r="G29" i="299"/>
  <c r="L29" i="299"/>
  <c r="F30" i="299"/>
  <c r="E35" i="299"/>
  <c r="M35" i="299"/>
  <c r="M37" i="299"/>
  <c r="G44" i="299"/>
  <c r="M51" i="299"/>
  <c r="I51" i="299"/>
  <c r="E51" i="299"/>
  <c r="O51" i="299"/>
  <c r="J51" i="299"/>
  <c r="L51" i="299"/>
  <c r="G51" i="299"/>
  <c r="P51" i="299"/>
  <c r="K51" i="299"/>
  <c r="K52" i="299" s="1"/>
  <c r="F51" i="299"/>
  <c r="L129" i="299"/>
  <c r="L130" i="299"/>
  <c r="D130" i="299" s="1"/>
  <c r="L57" i="299"/>
  <c r="L58" i="299" s="1"/>
  <c r="L10" i="299" s="1"/>
  <c r="L36" i="299"/>
  <c r="L37" i="299"/>
  <c r="L142" i="299"/>
  <c r="L135" i="299"/>
  <c r="L141" i="299"/>
  <c r="L43" i="299"/>
  <c r="F134" i="299"/>
  <c r="F29" i="299"/>
  <c r="J134" i="299"/>
  <c r="J29" i="299"/>
  <c r="N134" i="299"/>
  <c r="N138" i="299" s="1"/>
  <c r="N29" i="299"/>
  <c r="F8" i="299"/>
  <c r="J8" i="299"/>
  <c r="N8" i="299"/>
  <c r="F129" i="299"/>
  <c r="F131" i="299" s="1"/>
  <c r="F57" i="299"/>
  <c r="F58" i="299" s="1"/>
  <c r="F10" i="299" s="1"/>
  <c r="F37" i="299"/>
  <c r="F36" i="299"/>
  <c r="J129" i="299"/>
  <c r="J131" i="299" s="1"/>
  <c r="J37" i="299"/>
  <c r="J36" i="299"/>
  <c r="N37" i="299"/>
  <c r="N36" i="299"/>
  <c r="N130" i="299"/>
  <c r="N131" i="299" s="1"/>
  <c r="N57" i="299"/>
  <c r="N58" i="299" s="1"/>
  <c r="N10" i="299" s="1"/>
  <c r="F15" i="299"/>
  <c r="J15" i="299"/>
  <c r="N15" i="299"/>
  <c r="F141" i="299"/>
  <c r="F135" i="299"/>
  <c r="F43" i="299"/>
  <c r="J141" i="299"/>
  <c r="J135" i="299"/>
  <c r="N142" i="299"/>
  <c r="N143" i="299" s="1"/>
  <c r="N145" i="299" s="1"/>
  <c r="N135" i="299"/>
  <c r="N43" i="299"/>
  <c r="F136" i="299"/>
  <c r="F44" i="299"/>
  <c r="J136" i="299"/>
  <c r="J44" i="299"/>
  <c r="N136" i="299"/>
  <c r="N44" i="299"/>
  <c r="D21" i="299"/>
  <c r="F22" i="299"/>
  <c r="F47" i="299" s="1"/>
  <c r="J22" i="299"/>
  <c r="J47" i="299" s="1"/>
  <c r="N22" i="299"/>
  <c r="N47" i="299" s="1"/>
  <c r="O137" i="299"/>
  <c r="O50" i="299"/>
  <c r="M26" i="299"/>
  <c r="H29" i="299"/>
  <c r="M29" i="299"/>
  <c r="O30" i="299"/>
  <c r="J34" i="299"/>
  <c r="O34" i="299"/>
  <c r="G35" i="299"/>
  <c r="O35" i="299"/>
  <c r="P39" i="299"/>
  <c r="L39" i="299"/>
  <c r="H39" i="299"/>
  <c r="N39" i="299"/>
  <c r="J39" i="299"/>
  <c r="F39" i="299"/>
  <c r="M39" i="299"/>
  <c r="I39" i="299"/>
  <c r="E39" i="299"/>
  <c r="E43" i="299"/>
  <c r="L44" i="299"/>
  <c r="O46" i="299"/>
  <c r="E57" i="299"/>
  <c r="H129" i="299"/>
  <c r="H131" i="299" s="1"/>
  <c r="H36" i="299"/>
  <c r="H37" i="299"/>
  <c r="H57" i="299"/>
  <c r="H58" i="299" s="1"/>
  <c r="H10" i="299" s="1"/>
  <c r="G8" i="299"/>
  <c r="O8" i="299"/>
  <c r="G57" i="299"/>
  <c r="G58" i="299" s="1"/>
  <c r="G10" i="299" s="1"/>
  <c r="G129" i="299"/>
  <c r="G131" i="299" s="1"/>
  <c r="G37" i="299"/>
  <c r="K129" i="299"/>
  <c r="K131" i="299" s="1"/>
  <c r="K57" i="299"/>
  <c r="K37" i="299"/>
  <c r="O130" i="299"/>
  <c r="O131" i="299" s="1"/>
  <c r="O57" i="299"/>
  <c r="O58" i="299" s="1"/>
  <c r="O10" i="299" s="1"/>
  <c r="O37" i="299"/>
  <c r="G15" i="299"/>
  <c r="K15" i="299"/>
  <c r="O15" i="299"/>
  <c r="G43" i="299"/>
  <c r="G141" i="299"/>
  <c r="G143" i="299" s="1"/>
  <c r="K135" i="299"/>
  <c r="K43" i="299"/>
  <c r="K141" i="299"/>
  <c r="K143" i="299" s="1"/>
  <c r="O142" i="299"/>
  <c r="O143" i="299" s="1"/>
  <c r="O43" i="299"/>
  <c r="O135" i="299"/>
  <c r="O138" i="299" s="1"/>
  <c r="K136" i="299"/>
  <c r="K44" i="299"/>
  <c r="E142" i="299"/>
  <c r="E46" i="299"/>
  <c r="I46" i="299"/>
  <c r="I142" i="299"/>
  <c r="G22" i="299"/>
  <c r="G47" i="299" s="1"/>
  <c r="K22" i="299"/>
  <c r="K47" i="299" s="1"/>
  <c r="O22" i="299"/>
  <c r="O47" i="299" s="1"/>
  <c r="D24" i="299"/>
  <c r="D26" i="299" s="1"/>
  <c r="H137" i="299"/>
  <c r="H50" i="299"/>
  <c r="H52" i="299" s="1"/>
  <c r="L137" i="299"/>
  <c r="L138" i="299" s="1"/>
  <c r="L50" i="299"/>
  <c r="P137" i="299"/>
  <c r="P50" i="299"/>
  <c r="I26" i="299"/>
  <c r="O26" i="299"/>
  <c r="I29" i="299"/>
  <c r="O29" i="299"/>
  <c r="F34" i="299"/>
  <c r="K34" i="299"/>
  <c r="P34" i="299"/>
  <c r="I35" i="299"/>
  <c r="E37" i="299"/>
  <c r="G39" i="299"/>
  <c r="J43" i="299"/>
  <c r="N45" i="299"/>
  <c r="J45" i="299"/>
  <c r="F45" i="299"/>
  <c r="O45" i="299"/>
  <c r="I45" i="299"/>
  <c r="L45" i="299"/>
  <c r="G45" i="299"/>
  <c r="P45" i="299"/>
  <c r="K45" i="299"/>
  <c r="E45" i="299"/>
  <c r="H46" i="299"/>
  <c r="G50" i="299"/>
  <c r="J57" i="299"/>
  <c r="J58" i="299" s="1"/>
  <c r="J10" i="299" s="1"/>
  <c r="O136" i="299"/>
  <c r="F61" i="299"/>
  <c r="J61" i="299"/>
  <c r="G30" i="299"/>
  <c r="K30" i="299"/>
  <c r="D60" i="299"/>
  <c r="G46" i="299"/>
  <c r="K46" i="299"/>
  <c r="H61" i="299"/>
  <c r="L61" i="299"/>
  <c r="P61" i="299"/>
  <c r="J39" i="298"/>
  <c r="J42" i="298"/>
  <c r="F37" i="298"/>
  <c r="F40" i="298"/>
  <c r="H25" i="298"/>
  <c r="H23" i="298"/>
  <c r="H24" i="298"/>
  <c r="H22" i="298"/>
  <c r="L25" i="298"/>
  <c r="L23" i="298"/>
  <c r="L24" i="298"/>
  <c r="L22" i="298"/>
  <c r="P25" i="298"/>
  <c r="P23" i="298"/>
  <c r="P24" i="298"/>
  <c r="P22" i="298"/>
  <c r="H31" i="298"/>
  <c r="H12" i="298"/>
  <c r="H30" i="298"/>
  <c r="H29" i="298"/>
  <c r="L31" i="298"/>
  <c r="L30" i="298"/>
  <c r="L29" i="298"/>
  <c r="L12" i="298"/>
  <c r="P31" i="298"/>
  <c r="P12" i="298"/>
  <c r="P30" i="298"/>
  <c r="P29" i="298"/>
  <c r="F48" i="298"/>
  <c r="N37" i="298"/>
  <c r="N40" i="298"/>
  <c r="D25" i="298"/>
  <c r="N17" i="298"/>
  <c r="G45" i="298"/>
  <c r="G47" i="298"/>
  <c r="G46" i="298"/>
  <c r="K45" i="298"/>
  <c r="K46" i="298"/>
  <c r="O45" i="298"/>
  <c r="O47" i="298"/>
  <c r="O46" i="298"/>
  <c r="J37" i="298"/>
  <c r="J43" i="298" s="1"/>
  <c r="J40" i="298"/>
  <c r="F17" i="298"/>
  <c r="H38" i="298"/>
  <c r="H41" i="298"/>
  <c r="L38" i="298"/>
  <c r="L41" i="298"/>
  <c r="P38" i="298"/>
  <c r="P41" i="298"/>
  <c r="E31" i="298"/>
  <c r="E29" i="298"/>
  <c r="I31" i="298"/>
  <c r="I29" i="298"/>
  <c r="M31" i="298"/>
  <c r="M29" i="298"/>
  <c r="K12" i="298"/>
  <c r="G17" i="298"/>
  <c r="K17" i="298"/>
  <c r="O17" i="298"/>
  <c r="D19" i="298"/>
  <c r="I23" i="298"/>
  <c r="N23" i="298"/>
  <c r="E24" i="298"/>
  <c r="K24" i="298"/>
  <c r="G25" i="298"/>
  <c r="G26" i="298" s="1"/>
  <c r="D33" i="298"/>
  <c r="K37" i="298"/>
  <c r="E38" i="298"/>
  <c r="M38" i="298"/>
  <c r="I40" i="298"/>
  <c r="K41" i="298"/>
  <c r="D41" i="298" s="1"/>
  <c r="H45" i="298"/>
  <c r="H48" i="298" s="1"/>
  <c r="P45" i="298"/>
  <c r="P48" i="298" s="1"/>
  <c r="J46" i="298"/>
  <c r="J48" i="298" s="1"/>
  <c r="N47" i="298"/>
  <c r="N48" i="298" s="1"/>
  <c r="J47" i="298"/>
  <c r="F47" i="298"/>
  <c r="M47" i="298"/>
  <c r="M48" i="298" s="1"/>
  <c r="I47" i="298"/>
  <c r="E47" i="298"/>
  <c r="K47" i="298"/>
  <c r="E48" i="298"/>
  <c r="N24" i="298"/>
  <c r="N22" i="298"/>
  <c r="F29" i="298"/>
  <c r="F30" i="298"/>
  <c r="D30" i="298" s="1"/>
  <c r="J29" i="298"/>
  <c r="J30" i="298"/>
  <c r="N29" i="298"/>
  <c r="N30" i="298"/>
  <c r="D10" i="298"/>
  <c r="D12" i="298" s="1"/>
  <c r="D15" i="298"/>
  <c r="D17" i="298" s="1"/>
  <c r="H17" i="298"/>
  <c r="L17" i="298"/>
  <c r="P17" i="298"/>
  <c r="E22" i="298"/>
  <c r="I22" i="298"/>
  <c r="I26" i="298" s="1"/>
  <c r="M22" i="298"/>
  <c r="M26" i="298" s="1"/>
  <c r="E23" i="298"/>
  <c r="J23" i="298"/>
  <c r="O23" i="298"/>
  <c r="K29" i="298"/>
  <c r="O30" i="298"/>
  <c r="I30" i="298"/>
  <c r="L37" i="298"/>
  <c r="F38" i="298"/>
  <c r="N38" i="298"/>
  <c r="I45" i="298"/>
  <c r="L47" i="298"/>
  <c r="E17" i="298"/>
  <c r="I17" i="298"/>
  <c r="M17" i="298"/>
  <c r="F22" i="298"/>
  <c r="F26" i="298" s="1"/>
  <c r="J22" i="298"/>
  <c r="O22" i="298"/>
  <c r="O26" i="298" s="1"/>
  <c r="F23" i="298"/>
  <c r="K23" i="298"/>
  <c r="K26" i="298" s="1"/>
  <c r="J25" i="298"/>
  <c r="F31" i="298"/>
  <c r="N31" i="298"/>
  <c r="G37" i="298"/>
  <c r="O37" i="298"/>
  <c r="I38" i="298"/>
  <c r="E40" i="298"/>
  <c r="M40" i="298"/>
  <c r="G41" i="298"/>
  <c r="O41" i="298"/>
  <c r="L45" i="298"/>
  <c r="F46" i="298"/>
  <c r="D46" i="298" s="1"/>
  <c r="N46" i="298"/>
  <c r="G30" i="298"/>
  <c r="K30" i="298"/>
  <c r="P30" i="297"/>
  <c r="P57" i="297" s="1"/>
  <c r="O40" i="297"/>
  <c r="H47" i="297"/>
  <c r="H45" i="297"/>
  <c r="H46" i="297"/>
  <c r="H18" i="297"/>
  <c r="L47" i="297"/>
  <c r="L45" i="297"/>
  <c r="L46" i="297"/>
  <c r="L18" i="297"/>
  <c r="P47" i="297"/>
  <c r="P45" i="297"/>
  <c r="P46" i="297"/>
  <c r="P18" i="297"/>
  <c r="H30" i="297"/>
  <c r="H57" i="297" s="1"/>
  <c r="L30" i="297"/>
  <c r="L57" i="297" s="1"/>
  <c r="M46" i="297"/>
  <c r="M18" i="297"/>
  <c r="M45" i="297"/>
  <c r="M47" i="297"/>
  <c r="J133" i="297"/>
  <c r="J135" i="297" s="1"/>
  <c r="J67" i="297"/>
  <c r="J69" i="297" s="1"/>
  <c r="J139" i="297"/>
  <c r="J145" i="297"/>
  <c r="J53" i="297"/>
  <c r="I140" i="297"/>
  <c r="I54" i="297"/>
  <c r="G133" i="297"/>
  <c r="G135" i="297" s="1"/>
  <c r="G67" i="297"/>
  <c r="G72" i="297" s="1"/>
  <c r="K133" i="297"/>
  <c r="K135" i="297" s="1"/>
  <c r="K67" i="297"/>
  <c r="K72" i="297" s="1"/>
  <c r="O67" i="297"/>
  <c r="O69" i="297" s="1"/>
  <c r="O134" i="297"/>
  <c r="O135" i="297" s="1"/>
  <c r="E15" i="297"/>
  <c r="I15" i="297"/>
  <c r="G139" i="297"/>
  <c r="G142" i="297" s="1"/>
  <c r="G53" i="297"/>
  <c r="K139" i="297"/>
  <c r="K142" i="297" s="1"/>
  <c r="K53" i="297"/>
  <c r="K145" i="297"/>
  <c r="O139" i="297"/>
  <c r="O145" i="297"/>
  <c r="O147" i="297" s="1"/>
  <c r="O53" i="297"/>
  <c r="E24" i="297"/>
  <c r="E30" i="297" s="1"/>
  <c r="F146" i="297"/>
  <c r="F140" i="297"/>
  <c r="F142" i="297" s="1"/>
  <c r="F54" i="297"/>
  <c r="J146" i="297"/>
  <c r="J140" i="297"/>
  <c r="J54" i="297"/>
  <c r="N146" i="297"/>
  <c r="N140" i="297"/>
  <c r="N54" i="297"/>
  <c r="G141" i="297"/>
  <c r="D141" i="297" s="1"/>
  <c r="G60" i="297"/>
  <c r="G62" i="297" s="1"/>
  <c r="K141" i="297"/>
  <c r="K60" i="297"/>
  <c r="K62" i="297" s="1"/>
  <c r="O141" i="297"/>
  <c r="O60" i="297"/>
  <c r="O62" i="297" s="1"/>
  <c r="E35" i="297"/>
  <c r="E38" i="297"/>
  <c r="I38" i="297"/>
  <c r="M38" i="297"/>
  <c r="F39" i="297"/>
  <c r="J39" i="297"/>
  <c r="N39" i="297"/>
  <c r="O55" i="297"/>
  <c r="N61" i="297"/>
  <c r="J61" i="297"/>
  <c r="F61" i="297"/>
  <c r="M61" i="297"/>
  <c r="I61" i="297"/>
  <c r="E61" i="297"/>
  <c r="P61" i="297"/>
  <c r="L61" i="297"/>
  <c r="H61" i="297"/>
  <c r="N69" i="297"/>
  <c r="F133" i="297"/>
  <c r="F135" i="297" s="1"/>
  <c r="F67" i="297"/>
  <c r="F69" i="297" s="1"/>
  <c r="F139" i="297"/>
  <c r="F145" i="297"/>
  <c r="F147" i="297" s="1"/>
  <c r="F53" i="297"/>
  <c r="M140" i="297"/>
  <c r="M54" i="297"/>
  <c r="M146" i="297"/>
  <c r="L38" i="297"/>
  <c r="N44" i="297"/>
  <c r="J44" i="297"/>
  <c r="F44" i="297"/>
  <c r="M44" i="297"/>
  <c r="I44" i="297"/>
  <c r="E44" i="297"/>
  <c r="P44" i="297"/>
  <c r="L44" i="297"/>
  <c r="H44" i="297"/>
  <c r="O54" i="297"/>
  <c r="H133" i="297"/>
  <c r="H135" i="297" s="1"/>
  <c r="H67" i="297"/>
  <c r="H72" i="297" s="1"/>
  <c r="L134" i="297"/>
  <c r="L133" i="297"/>
  <c r="L67" i="297"/>
  <c r="L72" i="297" s="1"/>
  <c r="P134" i="297"/>
  <c r="P135" i="297" s="1"/>
  <c r="P67" i="297"/>
  <c r="P72" i="297" s="1"/>
  <c r="P43" i="297"/>
  <c r="F15" i="297"/>
  <c r="J15" i="297"/>
  <c r="N15" i="297"/>
  <c r="D21" i="297"/>
  <c r="H145" i="297"/>
  <c r="H139" i="297"/>
  <c r="H142" i="297" s="1"/>
  <c r="H53" i="297"/>
  <c r="L145" i="297"/>
  <c r="L139" i="297"/>
  <c r="L142" i="297" s="1"/>
  <c r="L53" i="297"/>
  <c r="P145" i="297"/>
  <c r="P139" i="297"/>
  <c r="P53" i="297"/>
  <c r="D23" i="297"/>
  <c r="F24" i="297"/>
  <c r="J24" i="297"/>
  <c r="G146" i="297"/>
  <c r="G140" i="297"/>
  <c r="K146" i="297"/>
  <c r="K140" i="297"/>
  <c r="O146" i="297"/>
  <c r="O140" i="297"/>
  <c r="I29" i="297"/>
  <c r="I30" i="297" s="1"/>
  <c r="I57" i="297" s="1"/>
  <c r="M29" i="297"/>
  <c r="M30" i="297" s="1"/>
  <c r="M57" i="297" s="1"/>
  <c r="D32" i="297"/>
  <c r="D35" i="297" s="1"/>
  <c r="H141" i="297"/>
  <c r="H60" i="297"/>
  <c r="H62" i="297" s="1"/>
  <c r="L141" i="297"/>
  <c r="L60" i="297"/>
  <c r="P141" i="297"/>
  <c r="P60" i="297"/>
  <c r="F35" i="297"/>
  <c r="J35" i="297"/>
  <c r="N35" i="297"/>
  <c r="F38" i="297"/>
  <c r="J38" i="297"/>
  <c r="N38" i="297"/>
  <c r="G39" i="297"/>
  <c r="K39" i="297"/>
  <c r="I43" i="297"/>
  <c r="N43" i="297"/>
  <c r="K44" i="297"/>
  <c r="N49" i="297"/>
  <c r="J49" i="297"/>
  <c r="F49" i="297"/>
  <c r="M49" i="297"/>
  <c r="I49" i="297"/>
  <c r="E49" i="297"/>
  <c r="P49" i="297"/>
  <c r="L49" i="297"/>
  <c r="H49" i="297"/>
  <c r="G54" i="297"/>
  <c r="P56" i="297"/>
  <c r="F60" i="297"/>
  <c r="D71" i="297"/>
  <c r="N72" i="297"/>
  <c r="O138" i="297"/>
  <c r="G145" i="297"/>
  <c r="G147" i="297" s="1"/>
  <c r="D6" i="297"/>
  <c r="D9" i="297" s="1"/>
  <c r="P142" i="297"/>
  <c r="F9" i="297"/>
  <c r="N139" i="297"/>
  <c r="N145" i="297"/>
  <c r="N147" i="297" s="1"/>
  <c r="N53" i="297"/>
  <c r="E140" i="297"/>
  <c r="E146" i="297"/>
  <c r="E54" i="297"/>
  <c r="H38" i="297"/>
  <c r="P38" i="297"/>
  <c r="N60" i="297"/>
  <c r="N62" i="297" s="1"/>
  <c r="E142" i="297"/>
  <c r="D138" i="297"/>
  <c r="J142" i="297"/>
  <c r="N142" i="297"/>
  <c r="H9" i="297"/>
  <c r="L9" i="297"/>
  <c r="P9" i="297"/>
  <c r="D12" i="297"/>
  <c r="D15" i="297" s="1"/>
  <c r="D18" i="297" s="1"/>
  <c r="E9" i="297"/>
  <c r="I9" i="297"/>
  <c r="M9" i="297"/>
  <c r="E67" i="297"/>
  <c r="E72" i="297" s="1"/>
  <c r="E133" i="297"/>
  <c r="M134" i="297"/>
  <c r="M135" i="297" s="1"/>
  <c r="M43" i="297"/>
  <c r="M67" i="297"/>
  <c r="M69" i="297" s="1"/>
  <c r="G15" i="297"/>
  <c r="K15" i="297"/>
  <c r="O15" i="297"/>
  <c r="E145" i="297"/>
  <c r="E139" i="297"/>
  <c r="I145" i="297"/>
  <c r="I147" i="297" s="1"/>
  <c r="I139" i="297"/>
  <c r="I142" i="297" s="1"/>
  <c r="M145" i="297"/>
  <c r="M147" i="297" s="1"/>
  <c r="M139" i="297"/>
  <c r="M142" i="297" s="1"/>
  <c r="G24" i="297"/>
  <c r="G30" i="297" s="1"/>
  <c r="G57" i="297" s="1"/>
  <c r="K24" i="297"/>
  <c r="K30" i="297" s="1"/>
  <c r="K57" i="297" s="1"/>
  <c r="O24" i="297"/>
  <c r="O30" i="297" s="1"/>
  <c r="O57" i="297" s="1"/>
  <c r="D26" i="297"/>
  <c r="H140" i="297"/>
  <c r="H146" i="297"/>
  <c r="H54" i="297"/>
  <c r="L140" i="297"/>
  <c r="L146" i="297"/>
  <c r="L54" i="297"/>
  <c r="P140" i="297"/>
  <c r="P146" i="297"/>
  <c r="P54" i="297"/>
  <c r="D28" i="297"/>
  <c r="F29" i="297"/>
  <c r="F30" i="297" s="1"/>
  <c r="F57" i="297" s="1"/>
  <c r="J29" i="297"/>
  <c r="J30" i="297" s="1"/>
  <c r="J57" i="297" s="1"/>
  <c r="N29" i="297"/>
  <c r="N30" i="297" s="1"/>
  <c r="N57" i="297" s="1"/>
  <c r="I60" i="297"/>
  <c r="I141" i="297"/>
  <c r="M60" i="297"/>
  <c r="M141" i="297"/>
  <c r="G35" i="297"/>
  <c r="K35" i="297"/>
  <c r="G38" i="297"/>
  <c r="K38" i="297"/>
  <c r="F43" i="297"/>
  <c r="J43" i="297"/>
  <c r="O43" i="297"/>
  <c r="O44" i="297"/>
  <c r="I53" i="297"/>
  <c r="K54" i="297"/>
  <c r="J60" i="297"/>
  <c r="J62" i="297" s="1"/>
  <c r="I67" i="297"/>
  <c r="I69" i="297" s="1"/>
  <c r="N134" i="297"/>
  <c r="N135" i="297" s="1"/>
  <c r="I146" i="297"/>
  <c r="G69" i="297"/>
  <c r="D68" i="297"/>
  <c r="K69" i="297"/>
  <c r="J55" i="297"/>
  <c r="N55" i="297"/>
  <c r="G56" i="297"/>
  <c r="K56" i="297"/>
  <c r="O56" i="297"/>
  <c r="L69" i="297"/>
  <c r="G55" i="297"/>
  <c r="K55" i="297"/>
  <c r="H56" i="297"/>
  <c r="L56" i="297"/>
  <c r="J72" i="297" l="1"/>
  <c r="L62" i="297"/>
  <c r="D55" i="297"/>
  <c r="O150" i="297"/>
  <c r="M62" i="297"/>
  <c r="I62" i="297"/>
  <c r="D30" i="299"/>
  <c r="D22" i="299"/>
  <c r="O72" i="297"/>
  <c r="F143" i="299"/>
  <c r="L48" i="299"/>
  <c r="P48" i="299"/>
  <c r="D56" i="297"/>
  <c r="D39" i="297"/>
  <c r="G48" i="299"/>
  <c r="O52" i="299"/>
  <c r="I143" i="299"/>
  <c r="I145" i="299" s="1"/>
  <c r="I58" i="297"/>
  <c r="F62" i="297"/>
  <c r="P52" i="299"/>
  <c r="P69" i="297"/>
  <c r="K150" i="297"/>
  <c r="D60" i="297"/>
  <c r="P150" i="297"/>
  <c r="P151" i="297" s="1"/>
  <c r="P152" i="297" s="1"/>
  <c r="L150" i="297"/>
  <c r="M150" i="297"/>
  <c r="D39" i="299"/>
  <c r="G150" i="297"/>
  <c r="H150" i="297"/>
  <c r="N58" i="297"/>
  <c r="N150" i="297"/>
  <c r="I150" i="297"/>
  <c r="I151" i="297" s="1"/>
  <c r="I152" i="297" s="1"/>
  <c r="F150" i="297"/>
  <c r="M72" i="297"/>
  <c r="J150" i="297"/>
  <c r="M58" i="297"/>
  <c r="E150" i="297"/>
  <c r="D53" i="297"/>
  <c r="D41" i="296"/>
  <c r="E44" i="296"/>
  <c r="D33" i="296"/>
  <c r="D37" i="296" s="1"/>
  <c r="O146" i="299"/>
  <c r="O31" i="299"/>
  <c r="K145" i="299"/>
  <c r="E58" i="299"/>
  <c r="D57" i="299"/>
  <c r="E61" i="299"/>
  <c r="F138" i="299"/>
  <c r="F145" i="299" s="1"/>
  <c r="G61" i="299"/>
  <c r="D51" i="299"/>
  <c r="D136" i="299"/>
  <c r="D34" i="299"/>
  <c r="D134" i="299"/>
  <c r="D138" i="299" s="1"/>
  <c r="D142" i="299" s="1"/>
  <c r="D50" i="299"/>
  <c r="D52" i="299" s="1"/>
  <c r="E52" i="299"/>
  <c r="G52" i="299"/>
  <c r="J48" i="299"/>
  <c r="I146" i="299"/>
  <c r="I31" i="299"/>
  <c r="D46" i="299"/>
  <c r="K48" i="299"/>
  <c r="G146" i="299"/>
  <c r="G31" i="299"/>
  <c r="D129" i="299"/>
  <c r="D131" i="299" s="1"/>
  <c r="E131" i="299"/>
  <c r="D137" i="299"/>
  <c r="P145" i="299"/>
  <c r="D29" i="299"/>
  <c r="O48" i="299"/>
  <c r="M146" i="299"/>
  <c r="M147" i="299" s="1"/>
  <c r="M148" i="299" s="1"/>
  <c r="M31" i="299"/>
  <c r="N48" i="299"/>
  <c r="J143" i="299"/>
  <c r="J145" i="299" s="1"/>
  <c r="J138" i="299"/>
  <c r="L143" i="299"/>
  <c r="D35" i="299"/>
  <c r="J52" i="299"/>
  <c r="D47" i="299"/>
  <c r="D135" i="299"/>
  <c r="K138" i="299"/>
  <c r="K146" i="299"/>
  <c r="K31" i="299"/>
  <c r="H48" i="299"/>
  <c r="K58" i="299"/>
  <c r="K10" i="299" s="1"/>
  <c r="K61" i="299"/>
  <c r="L146" i="299"/>
  <c r="L31" i="299"/>
  <c r="E146" i="299"/>
  <c r="J146" i="299"/>
  <c r="J147" i="299" s="1"/>
  <c r="J148" i="299" s="1"/>
  <c r="J31" i="299"/>
  <c r="L131" i="299"/>
  <c r="F52" i="299"/>
  <c r="M48" i="299"/>
  <c r="P146" i="299"/>
  <c r="P147" i="299" s="1"/>
  <c r="P148" i="299" s="1"/>
  <c r="P31" i="299"/>
  <c r="I61" i="299"/>
  <c r="N61" i="299"/>
  <c r="M61" i="299"/>
  <c r="D45" i="299"/>
  <c r="D37" i="299"/>
  <c r="L52" i="299"/>
  <c r="O145" i="299"/>
  <c r="G145" i="299"/>
  <c r="E48" i="299"/>
  <c r="D43" i="299"/>
  <c r="H146" i="299"/>
  <c r="H31" i="299"/>
  <c r="F48" i="299"/>
  <c r="N31" i="299"/>
  <c r="N146" i="299"/>
  <c r="N147" i="299" s="1"/>
  <c r="N148" i="299" s="1"/>
  <c r="F146" i="299"/>
  <c r="F31" i="299"/>
  <c r="O61" i="299"/>
  <c r="D44" i="299"/>
  <c r="I48" i="299"/>
  <c r="D141" i="299"/>
  <c r="E143" i="299"/>
  <c r="D36" i="299"/>
  <c r="E138" i="299"/>
  <c r="M52" i="299"/>
  <c r="I52" i="299"/>
  <c r="H145" i="299"/>
  <c r="I39" i="298"/>
  <c r="I42" i="298"/>
  <c r="I43" i="298" s="1"/>
  <c r="D24" i="298"/>
  <c r="D29" i="298"/>
  <c r="E39" i="298"/>
  <c r="E42" i="298"/>
  <c r="O48" i="298"/>
  <c r="I48" i="298"/>
  <c r="E26" i="298"/>
  <c r="D22" i="298"/>
  <c r="H42" i="298"/>
  <c r="H43" i="298" s="1"/>
  <c r="H39" i="298"/>
  <c r="G42" i="298"/>
  <c r="G39" i="298"/>
  <c r="G43" i="298" s="1"/>
  <c r="D45" i="298"/>
  <c r="D48" i="298" s="1"/>
  <c r="F39" i="298"/>
  <c r="F42" i="298"/>
  <c r="G48" i="298"/>
  <c r="F43" i="298"/>
  <c r="P42" i="298"/>
  <c r="P39" i="298"/>
  <c r="P43" i="298" s="1"/>
  <c r="O42" i="298"/>
  <c r="O43" i="298" s="1"/>
  <c r="O39" i="298"/>
  <c r="J26" i="298"/>
  <c r="L42" i="298"/>
  <c r="L43" i="298" s="1"/>
  <c r="L39" i="298"/>
  <c r="K42" i="298"/>
  <c r="K39" i="298"/>
  <c r="K43" i="298" s="1"/>
  <c r="D31" i="298"/>
  <c r="D37" i="298"/>
  <c r="L48" i="298"/>
  <c r="D40" i="298"/>
  <c r="M39" i="298"/>
  <c r="M42" i="298"/>
  <c r="D23" i="298"/>
  <c r="N26" i="298"/>
  <c r="D47" i="298"/>
  <c r="D38" i="298"/>
  <c r="K48" i="298"/>
  <c r="N39" i="298"/>
  <c r="N43" i="298" s="1"/>
  <c r="N42" i="298"/>
  <c r="P26" i="298"/>
  <c r="L26" i="298"/>
  <c r="H26" i="298"/>
  <c r="E57" i="297"/>
  <c r="D57" i="297" s="1"/>
  <c r="D30" i="297"/>
  <c r="H40" i="297"/>
  <c r="L58" i="297"/>
  <c r="E46" i="297"/>
  <c r="E47" i="297"/>
  <c r="E18" i="297"/>
  <c r="E45" i="297"/>
  <c r="M149" i="297"/>
  <c r="E147" i="297"/>
  <c r="D145" i="297"/>
  <c r="D67" i="297"/>
  <c r="E69" i="297"/>
  <c r="P40" i="297"/>
  <c r="D140" i="297"/>
  <c r="O142" i="297"/>
  <c r="F72" i="297"/>
  <c r="F40" i="297"/>
  <c r="P62" i="297"/>
  <c r="P147" i="297"/>
  <c r="P149" i="297" s="1"/>
  <c r="H58" i="297"/>
  <c r="N46" i="297"/>
  <c r="N47" i="297"/>
  <c r="N45" i="297"/>
  <c r="N18" i="297"/>
  <c r="D134" i="297"/>
  <c r="D44" i="297"/>
  <c r="M40" i="297"/>
  <c r="O58" i="297"/>
  <c r="K58" i="297"/>
  <c r="I46" i="297"/>
  <c r="I18" i="297"/>
  <c r="I45" i="297"/>
  <c r="I47" i="297"/>
  <c r="K40" i="297"/>
  <c r="O47" i="297"/>
  <c r="O45" i="297"/>
  <c r="O46" i="297"/>
  <c r="O18" i="297"/>
  <c r="I40" i="297"/>
  <c r="I72" i="297"/>
  <c r="H69" i="297"/>
  <c r="G40" i="297"/>
  <c r="I149" i="297"/>
  <c r="K47" i="297"/>
  <c r="K45" i="297"/>
  <c r="K46" i="297"/>
  <c r="K18" i="297"/>
  <c r="D54" i="297"/>
  <c r="N149" i="297"/>
  <c r="N40" i="297"/>
  <c r="P58" i="297"/>
  <c r="H147" i="297"/>
  <c r="H149" i="297" s="1"/>
  <c r="F46" i="297"/>
  <c r="F47" i="297"/>
  <c r="F45" i="297"/>
  <c r="F18" i="297"/>
  <c r="L40" i="297"/>
  <c r="F58" i="297"/>
  <c r="D61" i="297"/>
  <c r="D38" i="297"/>
  <c r="D40" i="297" s="1"/>
  <c r="E40" i="297"/>
  <c r="G58" i="297"/>
  <c r="J147" i="297"/>
  <c r="J149" i="297" s="1"/>
  <c r="D43" i="297"/>
  <c r="J46" i="297"/>
  <c r="J47" i="297"/>
  <c r="J45" i="297"/>
  <c r="J18" i="297"/>
  <c r="O149" i="297"/>
  <c r="J58" i="297"/>
  <c r="D29" i="297"/>
  <c r="D139" i="297"/>
  <c r="D142" i="297" s="1"/>
  <c r="D146" i="297" s="1"/>
  <c r="G47" i="297"/>
  <c r="G45" i="297"/>
  <c r="G46" i="297"/>
  <c r="G18" i="297"/>
  <c r="E135" i="297"/>
  <c r="D133" i="297"/>
  <c r="D135" i="297" s="1"/>
  <c r="G149" i="297"/>
  <c r="D49" i="297"/>
  <c r="J40" i="297"/>
  <c r="L147" i="297"/>
  <c r="D24" i="297"/>
  <c r="L135" i="297"/>
  <c r="F149" i="297"/>
  <c r="K147" i="297"/>
  <c r="K149" i="297" s="1"/>
  <c r="E62" i="297"/>
  <c r="D72" i="297" l="1"/>
  <c r="D69" i="297"/>
  <c r="O151" i="297"/>
  <c r="O152" i="297" s="1"/>
  <c r="D31" i="299"/>
  <c r="C38" i="299" s="1"/>
  <c r="D62" i="297"/>
  <c r="D58" i="297"/>
  <c r="D44" i="296"/>
  <c r="E45" i="296"/>
  <c r="D45" i="296" s="1"/>
  <c r="H147" i="299"/>
  <c r="H148" i="299" s="1"/>
  <c r="G147" i="299"/>
  <c r="G148" i="299" s="1"/>
  <c r="E145" i="299"/>
  <c r="D145" i="299" s="1"/>
  <c r="L147" i="299"/>
  <c r="L148" i="299" s="1"/>
  <c r="L145" i="299"/>
  <c r="D143" i="299"/>
  <c r="D48" i="299"/>
  <c r="K147" i="299"/>
  <c r="K148" i="299" s="1"/>
  <c r="I147" i="299"/>
  <c r="I148" i="299" s="1"/>
  <c r="D61" i="299"/>
  <c r="E10" i="299"/>
  <c r="D58" i="299"/>
  <c r="F147" i="299"/>
  <c r="F148" i="299" s="1"/>
  <c r="D146" i="299"/>
  <c r="O147" i="299"/>
  <c r="O148" i="299" s="1"/>
  <c r="D42" i="298"/>
  <c r="D26" i="298"/>
  <c r="D39" i="298"/>
  <c r="E43" i="298"/>
  <c r="D43" i="298"/>
  <c r="M43" i="298"/>
  <c r="G151" i="297"/>
  <c r="G152" i="297" s="1"/>
  <c r="D147" i="297"/>
  <c r="D46" i="297"/>
  <c r="L149" i="297"/>
  <c r="K151" i="297"/>
  <c r="K152" i="297" s="1"/>
  <c r="E149" i="297"/>
  <c r="D149" i="297" s="1"/>
  <c r="D45" i="297"/>
  <c r="J151" i="297"/>
  <c r="J152" i="297" s="1"/>
  <c r="D150" i="297"/>
  <c r="L151" i="297"/>
  <c r="L152" i="297" s="1"/>
  <c r="N151" i="297"/>
  <c r="N152" i="297" s="1"/>
  <c r="M151" i="297"/>
  <c r="M152" i="297" s="1"/>
  <c r="F151" i="297"/>
  <c r="F152" i="297" s="1"/>
  <c r="D47" i="297"/>
  <c r="H151" i="297"/>
  <c r="H152" i="297" s="1"/>
  <c r="E58" i="297"/>
  <c r="C48" i="297" l="1"/>
  <c r="I48" i="297" s="1"/>
  <c r="I50" i="297" s="1"/>
  <c r="I64" i="297" s="1"/>
  <c r="I74" i="297" s="1"/>
  <c r="E147" i="299"/>
  <c r="O38" i="299"/>
  <c r="O40" i="299" s="1"/>
  <c r="O54" i="299" s="1"/>
  <c r="O63" i="299" s="1"/>
  <c r="K38" i="299"/>
  <c r="K40" i="299" s="1"/>
  <c r="K54" i="299" s="1"/>
  <c r="K63" i="299" s="1"/>
  <c r="G38" i="299"/>
  <c r="G40" i="299" s="1"/>
  <c r="G54" i="299" s="1"/>
  <c r="G63" i="299" s="1"/>
  <c r="M38" i="299"/>
  <c r="M40" i="299" s="1"/>
  <c r="M54" i="299" s="1"/>
  <c r="M63" i="299" s="1"/>
  <c r="I38" i="299"/>
  <c r="I40" i="299" s="1"/>
  <c r="I54" i="299" s="1"/>
  <c r="I63" i="299" s="1"/>
  <c r="E38" i="299"/>
  <c r="P38" i="299"/>
  <c r="P40" i="299" s="1"/>
  <c r="P54" i="299" s="1"/>
  <c r="P63" i="299" s="1"/>
  <c r="L38" i="299"/>
  <c r="L40" i="299" s="1"/>
  <c r="L54" i="299" s="1"/>
  <c r="L63" i="299" s="1"/>
  <c r="H38" i="299"/>
  <c r="H40" i="299" s="1"/>
  <c r="H54" i="299" s="1"/>
  <c r="H63" i="299" s="1"/>
  <c r="F38" i="299"/>
  <c r="F40" i="299" s="1"/>
  <c r="F54" i="299" s="1"/>
  <c r="F63" i="299" s="1"/>
  <c r="N38" i="299"/>
  <c r="N40" i="299" s="1"/>
  <c r="N54" i="299" s="1"/>
  <c r="N63" i="299" s="1"/>
  <c r="J38" i="299"/>
  <c r="J40" i="299" s="1"/>
  <c r="J54" i="299" s="1"/>
  <c r="J63" i="299" s="1"/>
  <c r="C32" i="298"/>
  <c r="E151" i="297"/>
  <c r="M48" i="297"/>
  <c r="M50" i="297" s="1"/>
  <c r="M64" i="297" s="1"/>
  <c r="M74" i="297" s="1"/>
  <c r="L48" i="297"/>
  <c r="L50" i="297" s="1"/>
  <c r="L64" i="297" s="1"/>
  <c r="L74" i="297" s="1"/>
  <c r="G48" i="297"/>
  <c r="G50" i="297" s="1"/>
  <c r="G64" i="297" s="1"/>
  <c r="G74" i="297" s="1"/>
  <c r="N48" i="297" l="1"/>
  <c r="N50" i="297" s="1"/>
  <c r="N64" i="297" s="1"/>
  <c r="N74" i="297" s="1"/>
  <c r="K48" i="297"/>
  <c r="K50" i="297" s="1"/>
  <c r="K64" i="297" s="1"/>
  <c r="K74" i="297" s="1"/>
  <c r="P48" i="297"/>
  <c r="P50" i="297" s="1"/>
  <c r="P64" i="297" s="1"/>
  <c r="P74" i="297" s="1"/>
  <c r="J48" i="297"/>
  <c r="J50" i="297" s="1"/>
  <c r="J64" i="297" s="1"/>
  <c r="J74" i="297" s="1"/>
  <c r="O48" i="297"/>
  <c r="O50" i="297" s="1"/>
  <c r="O64" i="297" s="1"/>
  <c r="O74" i="297" s="1"/>
  <c r="E48" i="297"/>
  <c r="F48" i="297"/>
  <c r="F50" i="297" s="1"/>
  <c r="F64" i="297" s="1"/>
  <c r="F74" i="297" s="1"/>
  <c r="H48" i="297"/>
  <c r="H50" i="297" s="1"/>
  <c r="H64" i="297" s="1"/>
  <c r="H74" i="297" s="1"/>
  <c r="D38" i="299"/>
  <c r="D40" i="299" s="1"/>
  <c r="D54" i="299" s="1"/>
  <c r="E40" i="299"/>
  <c r="E54" i="299" s="1"/>
  <c r="E63" i="299" s="1"/>
  <c r="D63" i="299" s="1"/>
  <c r="E148" i="299"/>
  <c r="D148" i="299" s="1"/>
  <c r="D147" i="299"/>
  <c r="N32" i="298"/>
  <c r="N34" i="298" s="1"/>
  <c r="N50" i="298" s="1"/>
  <c r="N52" i="298" s="1"/>
  <c r="J32" i="298"/>
  <c r="J34" i="298" s="1"/>
  <c r="J50" i="298" s="1"/>
  <c r="J52" i="298" s="1"/>
  <c r="F32" i="298"/>
  <c r="F34" i="298" s="1"/>
  <c r="F50" i="298" s="1"/>
  <c r="F52" i="298" s="1"/>
  <c r="M32" i="298"/>
  <c r="M34" i="298" s="1"/>
  <c r="M50" i="298" s="1"/>
  <c r="M52" i="298" s="1"/>
  <c r="I32" i="298"/>
  <c r="I34" i="298" s="1"/>
  <c r="I50" i="298" s="1"/>
  <c r="I52" i="298" s="1"/>
  <c r="E32" i="298"/>
  <c r="O32" i="298"/>
  <c r="O34" i="298" s="1"/>
  <c r="O50" i="298" s="1"/>
  <c r="O52" i="298" s="1"/>
  <c r="G32" i="298"/>
  <c r="G34" i="298" s="1"/>
  <c r="G50" i="298" s="1"/>
  <c r="G52" i="298" s="1"/>
  <c r="L32" i="298"/>
  <c r="L34" i="298" s="1"/>
  <c r="L50" i="298" s="1"/>
  <c r="L52" i="298" s="1"/>
  <c r="K32" i="298"/>
  <c r="K34" i="298" s="1"/>
  <c r="K50" i="298" s="1"/>
  <c r="K52" i="298" s="1"/>
  <c r="P32" i="298"/>
  <c r="P34" i="298" s="1"/>
  <c r="P50" i="298" s="1"/>
  <c r="P52" i="298" s="1"/>
  <c r="H32" i="298"/>
  <c r="H34" i="298" s="1"/>
  <c r="H50" i="298" s="1"/>
  <c r="H52" i="298" s="1"/>
  <c r="E152" i="297"/>
  <c r="D152" i="297" s="1"/>
  <c r="D151" i="297"/>
  <c r="E50" i="297"/>
  <c r="E64" i="297" s="1"/>
  <c r="D48" i="297" l="1"/>
  <c r="D50" i="297" s="1"/>
  <c r="D64" i="297" s="1"/>
  <c r="E74" i="297"/>
  <c r="D74" i="297" s="1"/>
  <c r="D32" i="298"/>
  <c r="D34" i="298" s="1"/>
  <c r="D50" i="298" s="1"/>
  <c r="E34" i="298"/>
  <c r="E50" i="298" s="1"/>
  <c r="E52" i="298" s="1"/>
  <c r="D52" i="298" s="1"/>
  <c r="F56" i="301" l="1"/>
  <c r="F55" i="301"/>
  <c r="F54" i="301"/>
  <c r="F53" i="301"/>
  <c r="F52" i="301"/>
  <c r="F51" i="301"/>
  <c r="F50" i="301"/>
  <c r="D57" i="301"/>
  <c r="D58" i="301" s="1"/>
  <c r="D37" i="301"/>
  <c r="F37" i="301" s="1"/>
  <c r="G37" i="301" s="1"/>
  <c r="A34" i="301"/>
  <c r="A35" i="301" s="1"/>
  <c r="A36" i="301" s="1"/>
  <c r="A37" i="301" s="1"/>
  <c r="A38" i="301" s="1"/>
  <c r="A39" i="301" s="1"/>
  <c r="A40" i="301" s="1"/>
  <c r="A41" i="301" s="1"/>
  <c r="A42" i="301" s="1"/>
  <c r="A43" i="301" s="1"/>
  <c r="A44" i="301" s="1"/>
  <c r="A45" i="301" s="1"/>
  <c r="F33" i="301"/>
  <c r="D32" i="301"/>
  <c r="F31" i="301"/>
  <c r="D31" i="301"/>
  <c r="G30" i="301"/>
  <c r="D30" i="301"/>
  <c r="G29" i="301"/>
  <c r="D28" i="301"/>
  <c r="F27" i="301"/>
  <c r="D27" i="301"/>
  <c r="G26" i="301"/>
  <c r="D26" i="301"/>
  <c r="G25" i="301"/>
  <c r="G24" i="301"/>
  <c r="F23" i="301"/>
  <c r="D23" i="301"/>
  <c r="G22" i="301"/>
  <c r="D22" i="301"/>
  <c r="F21" i="301"/>
  <c r="F20" i="301"/>
  <c r="F19" i="301"/>
  <c r="D19" i="301"/>
  <c r="G18" i="301"/>
  <c r="D18" i="301"/>
  <c r="G17" i="301"/>
  <c r="G14" i="301"/>
  <c r="D14" i="301"/>
  <c r="D16" i="301" l="1"/>
  <c r="F16" i="301"/>
  <c r="D15" i="301"/>
  <c r="F15" i="301"/>
  <c r="G36" i="301"/>
  <c r="D13" i="301"/>
  <c r="D17" i="301"/>
  <c r="D21" i="301"/>
  <c r="D25" i="301"/>
  <c r="D29" i="301"/>
  <c r="D33" i="301"/>
  <c r="C8" i="301"/>
  <c r="F13" i="301"/>
  <c r="D20" i="301"/>
  <c r="D24" i="301"/>
  <c r="F28" i="301"/>
  <c r="F32" i="301"/>
  <c r="F49" i="301"/>
  <c r="F57" i="301" s="1"/>
  <c r="G57" i="301" s="1"/>
  <c r="F58" i="301" l="1"/>
  <c r="C34" i="301"/>
  <c r="G42" i="301"/>
  <c r="G38" i="301"/>
  <c r="G43" i="301" l="1"/>
  <c r="C21" i="274"/>
  <c r="F34" i="301"/>
  <c r="F36" i="301" s="1"/>
  <c r="D34" i="301"/>
  <c r="D36" i="301" s="1"/>
  <c r="D38" i="301" s="1"/>
  <c r="C36" i="301"/>
  <c r="C38" i="301" s="1"/>
  <c r="F38" i="301" l="1"/>
  <c r="F42" i="301"/>
  <c r="D42" i="301" s="1"/>
  <c r="F43" i="301" l="1"/>
  <c r="D43" i="301" s="1"/>
  <c r="C19" i="274"/>
  <c r="G35" i="295" l="1"/>
  <c r="I35" i="295" s="1"/>
  <c r="F31" i="295"/>
  <c r="C33" i="295"/>
  <c r="G25" i="295"/>
  <c r="E25" i="295"/>
  <c r="D25" i="295"/>
  <c r="E24" i="295"/>
  <c r="D24" i="295"/>
  <c r="I20" i="295"/>
  <c r="F20" i="295"/>
  <c r="C18" i="295"/>
  <c r="H77" i="294"/>
  <c r="E77" i="294" s="1"/>
  <c r="D77" i="294"/>
  <c r="H76" i="294"/>
  <c r="E76" i="294" s="1"/>
  <c r="D76" i="294"/>
  <c r="H75" i="294"/>
  <c r="E75" i="294" s="1"/>
  <c r="H74" i="294"/>
  <c r="E74" i="294" s="1"/>
  <c r="H73" i="294"/>
  <c r="E73" i="294" s="1"/>
  <c r="D73" i="294"/>
  <c r="C73" i="294"/>
  <c r="H72" i="294"/>
  <c r="E72" i="294" s="1"/>
  <c r="D72" i="294"/>
  <c r="H71" i="294"/>
  <c r="E71" i="294" s="1"/>
  <c r="H70" i="294"/>
  <c r="H69" i="294"/>
  <c r="E69" i="294" s="1"/>
  <c r="D69" i="294"/>
  <c r="C69" i="294"/>
  <c r="H68" i="294"/>
  <c r="E68" i="294" s="1"/>
  <c r="D68" i="294"/>
  <c r="H67" i="294"/>
  <c r="E67" i="294" s="1"/>
  <c r="H66" i="294"/>
  <c r="E66" i="294" s="1"/>
  <c r="D57" i="294"/>
  <c r="D56" i="294"/>
  <c r="G55" i="294"/>
  <c r="D55" i="294"/>
  <c r="D52" i="294"/>
  <c r="E57" i="294" s="1"/>
  <c r="G57" i="294" s="1"/>
  <c r="H30" i="294" s="1"/>
  <c r="D51" i="294"/>
  <c r="G60" i="294" s="1"/>
  <c r="H22" i="294" s="1"/>
  <c r="H25" i="294" s="1"/>
  <c r="J25" i="294" s="1"/>
  <c r="J36" i="294"/>
  <c r="D75" i="294"/>
  <c r="C32" i="294"/>
  <c r="E25" i="294"/>
  <c r="G22" i="294"/>
  <c r="E24" i="294"/>
  <c r="G24" i="294" s="1"/>
  <c r="C18" i="294"/>
  <c r="C69" i="293"/>
  <c r="D64" i="293"/>
  <c r="F62" i="293"/>
  <c r="F63" i="293" s="1"/>
  <c r="F46" i="293"/>
  <c r="C47" i="293"/>
  <c r="C40" i="293"/>
  <c r="F37" i="293"/>
  <c r="C18" i="293"/>
  <c r="C21" i="293" s="1"/>
  <c r="F15" i="293"/>
  <c r="F134" i="292"/>
  <c r="F131" i="292"/>
  <c r="C132" i="292"/>
  <c r="D125" i="292"/>
  <c r="F122" i="292"/>
  <c r="F121" i="292"/>
  <c r="F120" i="292"/>
  <c r="C118" i="292"/>
  <c r="L111" i="292"/>
  <c r="M110" i="292"/>
  <c r="G90" i="292" s="1"/>
  <c r="L110" i="292"/>
  <c r="C102" i="292"/>
  <c r="D101" i="292"/>
  <c r="D97" i="292"/>
  <c r="C99" i="292"/>
  <c r="G96" i="292"/>
  <c r="I96" i="292" s="1"/>
  <c r="I92" i="292"/>
  <c r="G89" i="292"/>
  <c r="G86" i="292"/>
  <c r="D85" i="292"/>
  <c r="C86" i="292"/>
  <c r="F86" i="292" s="1"/>
  <c r="A81" i="292"/>
  <c r="F77" i="292"/>
  <c r="G97" i="292"/>
  <c r="F74" i="292"/>
  <c r="G69" i="292"/>
  <c r="D89" i="292"/>
  <c r="D90" i="292" s="1"/>
  <c r="I67" i="292"/>
  <c r="I68" i="292" s="1"/>
  <c r="F65" i="292"/>
  <c r="F45" i="292"/>
  <c r="C43" i="292"/>
  <c r="D38" i="292"/>
  <c r="G35" i="292"/>
  <c r="G37" i="292" s="1"/>
  <c r="F35" i="292"/>
  <c r="F54" i="292"/>
  <c r="G54" i="292" s="1"/>
  <c r="C36" i="292"/>
  <c r="C39" i="292" s="1"/>
  <c r="C21" i="292"/>
  <c r="F19" i="292"/>
  <c r="D22" i="292"/>
  <c r="F22" i="292" s="1"/>
  <c r="C17" i="292"/>
  <c r="F16" i="292"/>
  <c r="F15" i="292"/>
  <c r="D21" i="291"/>
  <c r="F21" i="291" s="1"/>
  <c r="I18" i="291"/>
  <c r="C16" i="291"/>
  <c r="G15" i="291"/>
  <c r="F14" i="291"/>
  <c r="G14" i="291"/>
  <c r="I14" i="291" s="1"/>
  <c r="L38" i="295" l="1"/>
  <c r="F64" i="293"/>
  <c r="I69" i="292"/>
  <c r="F17" i="292"/>
  <c r="F18" i="291"/>
  <c r="C75" i="292"/>
  <c r="F85" i="292"/>
  <c r="F87" i="292" s="1"/>
  <c r="C25" i="293"/>
  <c r="F45" i="293"/>
  <c r="F47" i="293" s="1"/>
  <c r="F49" i="293"/>
  <c r="G15" i="294"/>
  <c r="J17" i="294"/>
  <c r="G25" i="294"/>
  <c r="D32" i="294"/>
  <c r="F35" i="295"/>
  <c r="D32" i="295" s="1"/>
  <c r="D37" i="292"/>
  <c r="F37" i="292" s="1"/>
  <c r="I15" i="291"/>
  <c r="I16" i="291" s="1"/>
  <c r="F34" i="292"/>
  <c r="F42" i="292"/>
  <c r="C68" i="292"/>
  <c r="C71" i="292" s="1"/>
  <c r="I97" i="292"/>
  <c r="C98" i="292"/>
  <c r="F98" i="292" s="1"/>
  <c r="F97" i="292"/>
  <c r="F101" i="292"/>
  <c r="C124" i="292"/>
  <c r="C128" i="292" s="1"/>
  <c r="F23" i="293"/>
  <c r="F27" i="293"/>
  <c r="F68" i="293"/>
  <c r="F69" i="293" s="1"/>
  <c r="J15" i="294"/>
  <c r="J16" i="294"/>
  <c r="C23" i="294"/>
  <c r="C27" i="294" s="1"/>
  <c r="E26" i="294"/>
  <c r="G36" i="294"/>
  <c r="F16" i="295"/>
  <c r="L39" i="295" s="1"/>
  <c r="C20" i="291"/>
  <c r="C23" i="291" s="1"/>
  <c r="F125" i="292"/>
  <c r="F24" i="293"/>
  <c r="F60" i="293"/>
  <c r="F73" i="293"/>
  <c r="G16" i="294"/>
  <c r="G17" i="294"/>
  <c r="J22" i="294"/>
  <c r="J35" i="294"/>
  <c r="J37" i="294" s="1"/>
  <c r="C37" i="294"/>
  <c r="G35" i="294"/>
  <c r="C76" i="294"/>
  <c r="C72" i="294"/>
  <c r="C68" i="294"/>
  <c r="C75" i="294"/>
  <c r="C71" i="294"/>
  <c r="C67" i="294"/>
  <c r="C74" i="294"/>
  <c r="C70" i="294"/>
  <c r="C66" i="294"/>
  <c r="G31" i="294"/>
  <c r="C77" i="294"/>
  <c r="G61" i="294"/>
  <c r="H21" i="294" s="1"/>
  <c r="H24" i="294" s="1"/>
  <c r="J24" i="294" s="1"/>
  <c r="E70" i="294"/>
  <c r="J30" i="294"/>
  <c r="D66" i="294"/>
  <c r="D70" i="294"/>
  <c r="D74" i="294"/>
  <c r="G21" i="294"/>
  <c r="G23" i="294" s="1"/>
  <c r="G30" i="294"/>
  <c r="E56" i="294"/>
  <c r="G56" i="294" s="1"/>
  <c r="H31" i="294" s="1"/>
  <c r="J31" i="294" s="1"/>
  <c r="G59" i="294"/>
  <c r="D67" i="294"/>
  <c r="D71" i="294"/>
  <c r="F17" i="293"/>
  <c r="F18" i="293" s="1"/>
  <c r="F39" i="293"/>
  <c r="F40" i="293" s="1"/>
  <c r="C43" i="293"/>
  <c r="C63" i="293"/>
  <c r="C66" i="293" s="1"/>
  <c r="D71" i="293"/>
  <c r="F71" i="293" s="1"/>
  <c r="D19" i="293"/>
  <c r="F19" i="293" s="1"/>
  <c r="D41" i="293"/>
  <c r="F41" i="293" s="1"/>
  <c r="C25" i="292"/>
  <c r="F31" i="292"/>
  <c r="F41" i="292"/>
  <c r="F43" i="292" s="1"/>
  <c r="F67" i="292"/>
  <c r="F68" i="292" s="1"/>
  <c r="D96" i="292"/>
  <c r="F96" i="292" s="1"/>
  <c r="F73" i="292"/>
  <c r="F75" i="292" s="1"/>
  <c r="D81" i="292" s="1"/>
  <c r="C91" i="292"/>
  <c r="C94" i="292" s="1"/>
  <c r="F89" i="292"/>
  <c r="C90" i="292"/>
  <c r="F102" i="292"/>
  <c r="F116" i="292"/>
  <c r="D141" i="292"/>
  <c r="D23" i="292"/>
  <c r="F23" i="292" s="1"/>
  <c r="F20" i="292"/>
  <c r="F21" i="292" s="1"/>
  <c r="F53" i="292"/>
  <c r="F33" i="292"/>
  <c r="I35" i="292"/>
  <c r="F51" i="292"/>
  <c r="D69" i="292"/>
  <c r="F69" i="292" s="1"/>
  <c r="D92" i="292"/>
  <c r="F92" i="292" s="1"/>
  <c r="I86" i="292"/>
  <c r="I37" i="292"/>
  <c r="F52" i="292"/>
  <c r="I73" i="292"/>
  <c r="I74" i="292"/>
  <c r="I89" i="292"/>
  <c r="D126" i="292"/>
  <c r="F126" i="292" s="1"/>
  <c r="F123" i="292"/>
  <c r="D142" i="292" s="1"/>
  <c r="F117" i="292"/>
  <c r="F130" i="292"/>
  <c r="F132" i="292" s="1"/>
  <c r="D143" i="292" s="1"/>
  <c r="F15" i="291"/>
  <c r="F16" i="291" s="1"/>
  <c r="F19" i="291"/>
  <c r="F25" i="293" l="1"/>
  <c r="D31" i="293" s="1"/>
  <c r="J18" i="294"/>
  <c r="G19" i="291"/>
  <c r="I19" i="291" s="1"/>
  <c r="I20" i="291" s="1"/>
  <c r="D42" i="293"/>
  <c r="F42" i="293" s="1"/>
  <c r="F43" i="293" s="1"/>
  <c r="F51" i="293" s="1"/>
  <c r="M52" i="293" s="1"/>
  <c r="G42" i="293" s="1"/>
  <c r="I42" i="293" s="1"/>
  <c r="F103" i="292"/>
  <c r="F20" i="291"/>
  <c r="G18" i="294"/>
  <c r="G27" i="294"/>
  <c r="J32" i="294"/>
  <c r="D22" i="291"/>
  <c r="D65" i="293"/>
  <c r="F65" i="293" s="1"/>
  <c r="F66" i="293" s="1"/>
  <c r="F75" i="293" s="1"/>
  <c r="M77" i="293" s="1"/>
  <c r="D17" i="295"/>
  <c r="F17" i="295" s="1"/>
  <c r="F18" i="295" s="1"/>
  <c r="F22" i="295" s="1"/>
  <c r="I75" i="292"/>
  <c r="G81" i="292" s="1"/>
  <c r="F99" i="292"/>
  <c r="D70" i="292"/>
  <c r="F70" i="292" s="1"/>
  <c r="F71" i="292" s="1"/>
  <c r="F79" i="292" s="1"/>
  <c r="G32" i="294"/>
  <c r="G37" i="294"/>
  <c r="F32" i="295"/>
  <c r="F33" i="295" s="1"/>
  <c r="F37" i="295" s="1"/>
  <c r="J21" i="294"/>
  <c r="J23" i="294" s="1"/>
  <c r="F90" i="292"/>
  <c r="F91" i="292" s="1"/>
  <c r="I90" i="292"/>
  <c r="I91" i="292" s="1"/>
  <c r="D24" i="292"/>
  <c r="F24" i="292" s="1"/>
  <c r="F25" i="292" s="1"/>
  <c r="M25" i="292" s="1"/>
  <c r="G19" i="292" s="1"/>
  <c r="D59" i="292"/>
  <c r="F36" i="292"/>
  <c r="F39" i="292" s="1"/>
  <c r="F47" i="292" s="1"/>
  <c r="F124" i="292"/>
  <c r="D60" i="292"/>
  <c r="F56" i="292"/>
  <c r="M109" i="292"/>
  <c r="G98" i="292" s="1"/>
  <c r="I98" i="292" s="1"/>
  <c r="I99" i="292" s="1"/>
  <c r="G53" i="292"/>
  <c r="F55" i="292"/>
  <c r="F57" i="292" s="1"/>
  <c r="L56" i="292" s="1"/>
  <c r="F118" i="292"/>
  <c r="F22" i="291"/>
  <c r="F23" i="291" s="1"/>
  <c r="M23" i="291" s="1"/>
  <c r="G22" i="291" s="1"/>
  <c r="I22" i="291" s="1"/>
  <c r="D20" i="293" l="1"/>
  <c r="F20" i="293" s="1"/>
  <c r="F21" i="293" s="1"/>
  <c r="F29" i="293" s="1"/>
  <c r="M31" i="293" s="1"/>
  <c r="G20" i="293" s="1"/>
  <c r="I20" i="293" s="1"/>
  <c r="G21" i="291"/>
  <c r="I21" i="291" s="1"/>
  <c r="I23" i="291" s="1"/>
  <c r="L24" i="291" s="1"/>
  <c r="D27" i="292"/>
  <c r="G41" i="294"/>
  <c r="J45" i="294" s="1"/>
  <c r="G65" i="293"/>
  <c r="I65" i="293" s="1"/>
  <c r="M37" i="295"/>
  <c r="H26" i="294"/>
  <c r="J26" i="294" s="1"/>
  <c r="J27" i="294" s="1"/>
  <c r="J41" i="294" s="1"/>
  <c r="J44" i="294" s="1"/>
  <c r="G27" i="293"/>
  <c r="I27" i="293" s="1"/>
  <c r="G17" i="293"/>
  <c r="D93" i="292"/>
  <c r="F93" i="292" s="1"/>
  <c r="F94" i="292" s="1"/>
  <c r="F105" i="292" s="1"/>
  <c r="M81" i="292" s="1"/>
  <c r="G15" i="292"/>
  <c r="I15" i="292" s="1"/>
  <c r="G16" i="292"/>
  <c r="I16" i="292" s="1"/>
  <c r="G20" i="292"/>
  <c r="D127" i="292"/>
  <c r="F127" i="292" s="1"/>
  <c r="F128" i="292" s="1"/>
  <c r="F136" i="292" s="1"/>
  <c r="M47" i="292" s="1"/>
  <c r="G73" i="293" l="1"/>
  <c r="I73" i="293" s="1"/>
  <c r="G68" i="293"/>
  <c r="I68" i="293" s="1"/>
  <c r="I69" i="293" s="1"/>
  <c r="G15" i="293"/>
  <c r="G60" i="293" s="1"/>
  <c r="I60" i="293" s="1"/>
  <c r="G62" i="293" s="1"/>
  <c r="G23" i="293"/>
  <c r="G71" i="293" s="1"/>
  <c r="I71" i="293" s="1"/>
  <c r="G24" i="293"/>
  <c r="I24" i="293" s="1"/>
  <c r="I17" i="292"/>
  <c r="G32" i="295"/>
  <c r="I32" i="295" s="1"/>
  <c r="G17" i="295"/>
  <c r="I17" i="295" s="1"/>
  <c r="K24" i="295"/>
  <c r="K25" i="295" s="1"/>
  <c r="I15" i="293"/>
  <c r="G37" i="293"/>
  <c r="I37" i="293" s="1"/>
  <c r="I23" i="293"/>
  <c r="I25" i="293" s="1"/>
  <c r="G31" i="293" s="1"/>
  <c r="G19" i="293"/>
  <c r="I19" i="293" s="1"/>
  <c r="I17" i="293"/>
  <c r="I18" i="293" s="1"/>
  <c r="G77" i="292"/>
  <c r="G65" i="292"/>
  <c r="I138" i="292"/>
  <c r="G31" i="292"/>
  <c r="I31" i="292" s="1"/>
  <c r="G38" i="292"/>
  <c r="I38" i="292" s="1"/>
  <c r="L54" i="292" s="1"/>
  <c r="I20" i="292"/>
  <c r="G23" i="292"/>
  <c r="I23" i="292" s="1"/>
  <c r="G22" i="292"/>
  <c r="I22" i="292" s="1"/>
  <c r="I19" i="292"/>
  <c r="I21" i="293" l="1"/>
  <c r="I21" i="292"/>
  <c r="G24" i="292" s="1"/>
  <c r="I24" i="292" s="1"/>
  <c r="G27" i="292" s="1"/>
  <c r="L40" i="295"/>
  <c r="L41" i="295" s="1"/>
  <c r="M41" i="295" s="1"/>
  <c r="G31" i="295" s="1"/>
  <c r="I31" i="295" s="1"/>
  <c r="I33" i="295" s="1"/>
  <c r="I37" i="295" s="1"/>
  <c r="L53" i="293"/>
  <c r="L54" i="293" s="1"/>
  <c r="M54" i="293" s="1"/>
  <c r="I29" i="293"/>
  <c r="L32" i="293" s="1"/>
  <c r="M33" i="293" s="1"/>
  <c r="G101" i="292"/>
  <c r="I101" i="292" s="1"/>
  <c r="I77" i="292"/>
  <c r="M111" i="292"/>
  <c r="G102" i="292" s="1"/>
  <c r="I102" i="292" s="1"/>
  <c r="L53" i="292"/>
  <c r="G122" i="292"/>
  <c r="I122" i="292" s="1"/>
  <c r="G134" i="292"/>
  <c r="I134" i="292" s="1"/>
  <c r="G131" i="292"/>
  <c r="I131" i="292" s="1"/>
  <c r="G130" i="292"/>
  <c r="I130" i="292" s="1"/>
  <c r="G121" i="292"/>
  <c r="G120" i="292"/>
  <c r="I120" i="292" s="1"/>
  <c r="G117" i="292"/>
  <c r="I117" i="292" s="1"/>
  <c r="G116" i="292"/>
  <c r="I116" i="292" s="1"/>
  <c r="G123" i="292"/>
  <c r="G85" i="292"/>
  <c r="I85" i="292" s="1"/>
  <c r="I87" i="292" s="1"/>
  <c r="I65" i="292"/>
  <c r="I25" i="292" l="1"/>
  <c r="L26" i="292" s="1"/>
  <c r="M27" i="292" s="1"/>
  <c r="G16" i="295"/>
  <c r="I16" i="295" s="1"/>
  <c r="I18" i="295" s="1"/>
  <c r="I22" i="295" s="1"/>
  <c r="G64" i="293"/>
  <c r="I64" i="293" s="1"/>
  <c r="I62" i="293"/>
  <c r="I63" i="293" s="1"/>
  <c r="G49" i="293"/>
  <c r="I49" i="293" s="1"/>
  <c r="G46" i="293"/>
  <c r="I46" i="293" s="1"/>
  <c r="G39" i="293"/>
  <c r="G45" i="293"/>
  <c r="I45" i="293" s="1"/>
  <c r="G70" i="292"/>
  <c r="I70" i="292" s="1"/>
  <c r="I71" i="292" s="1"/>
  <c r="I79" i="292" s="1"/>
  <c r="G141" i="292"/>
  <c r="G126" i="292"/>
  <c r="I126" i="292" s="1"/>
  <c r="I123" i="292"/>
  <c r="G125" i="292"/>
  <c r="I125" i="292" s="1"/>
  <c r="I121" i="292"/>
  <c r="I118" i="292"/>
  <c r="I132" i="292"/>
  <c r="G143" i="292" s="1"/>
  <c r="I103" i="292"/>
  <c r="K26" i="295" l="1"/>
  <c r="L42" i="295"/>
  <c r="M44" i="295" s="1"/>
  <c r="G24" i="295"/>
  <c r="G41" i="293"/>
  <c r="I41" i="293" s="1"/>
  <c r="I39" i="293"/>
  <c r="I40" i="293" s="1"/>
  <c r="I47" i="293"/>
  <c r="I66" i="293"/>
  <c r="I75" i="293" s="1"/>
  <c r="L78" i="293" s="1"/>
  <c r="G93" i="292"/>
  <c r="I93" i="292" s="1"/>
  <c r="I94" i="292" s="1"/>
  <c r="I105" i="292" s="1"/>
  <c r="L82" i="292" s="1"/>
  <c r="M83" i="292" s="1"/>
  <c r="G142" i="292"/>
  <c r="I124" i="292"/>
  <c r="I43" i="293" l="1"/>
  <c r="I51" i="293" s="1"/>
  <c r="L55" i="293" s="1"/>
  <c r="G127" i="292"/>
  <c r="I127" i="292" s="1"/>
  <c r="I128" i="292" s="1"/>
  <c r="I136" i="292" s="1"/>
  <c r="L51" i="292" l="1"/>
  <c r="L52" i="292" s="1"/>
  <c r="L55" i="292" s="1"/>
  <c r="L57" i="292" s="1"/>
  <c r="G45" i="292" l="1"/>
  <c r="I45" i="292" s="1"/>
  <c r="G33" i="292"/>
  <c r="G34" i="292"/>
  <c r="G42" i="292"/>
  <c r="I42" i="292" s="1"/>
  <c r="G41" i="292"/>
  <c r="I41" i="292" s="1"/>
  <c r="G52" i="292" l="1"/>
  <c r="I34" i="292"/>
  <c r="G51" i="292"/>
  <c r="I33" i="292"/>
  <c r="I43" i="292"/>
  <c r="G55" i="292" l="1"/>
  <c r="G59" i="292"/>
  <c r="I36" i="292"/>
  <c r="I39" i="292" s="1"/>
  <c r="I47" i="292" s="1"/>
  <c r="L48" i="292" s="1"/>
  <c r="G60" i="292"/>
  <c r="G56" i="292"/>
  <c r="G57" i="292" l="1"/>
  <c r="G12" i="5"/>
  <c r="I10" i="120" l="1"/>
  <c r="G13" i="215" l="1"/>
  <c r="F13" i="215"/>
  <c r="E13" i="215"/>
  <c r="D13" i="215"/>
  <c r="P26" i="54"/>
  <c r="O26" i="54"/>
  <c r="N26" i="54"/>
  <c r="M26" i="54"/>
  <c r="L26" i="54"/>
  <c r="K26" i="54"/>
  <c r="J26" i="54"/>
  <c r="I26" i="54"/>
  <c r="H26" i="54"/>
  <c r="G26" i="54"/>
  <c r="F26" i="54"/>
  <c r="E26" i="54"/>
  <c r="A220" i="299"/>
  <c r="A221" i="299" s="1"/>
  <c r="A222" i="299" s="1"/>
  <c r="A223" i="299" s="1"/>
  <c r="A224" i="299" s="1"/>
  <c r="O22" i="54"/>
  <c r="P22" i="54"/>
  <c r="N22" i="54"/>
  <c r="F22" i="54"/>
  <c r="G22" i="54"/>
  <c r="H22" i="54"/>
  <c r="I22" i="54"/>
  <c r="J22" i="54"/>
  <c r="K22" i="54"/>
  <c r="L22" i="54"/>
  <c r="M22" i="54"/>
  <c r="E22" i="54"/>
  <c r="O18" i="54"/>
  <c r="P18" i="54"/>
  <c r="N18" i="54"/>
  <c r="F18" i="54"/>
  <c r="G18" i="54"/>
  <c r="H18" i="54"/>
  <c r="I18" i="54"/>
  <c r="J18" i="54"/>
  <c r="K18" i="54"/>
  <c r="L18" i="54"/>
  <c r="M18" i="54"/>
  <c r="E18" i="54"/>
  <c r="O14" i="54"/>
  <c r="P14" i="54"/>
  <c r="N14" i="54"/>
  <c r="F14" i="54"/>
  <c r="G14" i="54"/>
  <c r="H14" i="54"/>
  <c r="I14" i="54"/>
  <c r="J14" i="54"/>
  <c r="K14" i="54"/>
  <c r="L14" i="54"/>
  <c r="M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G12" i="189"/>
  <c r="F12" i="189"/>
  <c r="E12" i="189"/>
  <c r="M30" i="54" l="1"/>
  <c r="F30" i="54" l="1"/>
  <c r="L30" i="54"/>
  <c r="G30" i="54"/>
  <c r="H30" i="54"/>
  <c r="I30" i="54"/>
  <c r="P30" i="54"/>
  <c r="N30" i="54"/>
  <c r="K30" i="54"/>
  <c r="O30" i="54"/>
  <c r="E30" i="54"/>
  <c r="J30" i="54"/>
  <c r="M14" i="120" l="1"/>
  <c r="M10" i="120"/>
  <c r="L14" i="120"/>
  <c r="L10" i="120"/>
  <c r="K14" i="120"/>
  <c r="K10" i="120"/>
  <c r="I14" i="120"/>
  <c r="H14" i="120"/>
  <c r="H10" i="120"/>
  <c r="E14" i="120"/>
  <c r="E10" i="120"/>
  <c r="D14" i="120"/>
  <c r="D12" i="189"/>
  <c r="D10" i="120" l="1"/>
  <c r="G14" i="120" l="1"/>
  <c r="G10" i="120" l="1"/>
  <c r="E29" i="274"/>
  <c r="E11" i="274"/>
  <c r="F11" i="274"/>
  <c r="G11" i="274"/>
  <c r="H11" i="274"/>
  <c r="I11" i="274"/>
  <c r="J11" i="274"/>
  <c r="K11" i="274"/>
  <c r="L11" i="274"/>
  <c r="M11" i="274"/>
  <c r="N11" i="274"/>
  <c r="O11" i="274"/>
  <c r="P11" i="274"/>
  <c r="Q11" i="274"/>
  <c r="E28" i="274" l="1"/>
  <c r="C15" i="274"/>
  <c r="A22" i="274"/>
  <c r="A23" i="274" s="1"/>
  <c r="A24" i="274" s="1"/>
  <c r="A25" i="274" s="1"/>
  <c r="A26" i="274" s="1"/>
  <c r="A27" i="274" s="1"/>
  <c r="A28" i="274" s="1"/>
  <c r="A29" i="274" s="1"/>
  <c r="A30" i="274" s="1"/>
  <c r="Q29" i="274" l="1"/>
  <c r="P29" i="274"/>
  <c r="O29" i="274"/>
  <c r="N29" i="274"/>
  <c r="M29" i="274"/>
  <c r="L29" i="274"/>
  <c r="K29" i="274"/>
  <c r="J29" i="274"/>
  <c r="I29" i="274"/>
  <c r="H29" i="274"/>
  <c r="G29" i="274"/>
  <c r="F29" i="274"/>
  <c r="Q28" i="274"/>
  <c r="P28" i="274"/>
  <c r="P30" i="274" s="1"/>
  <c r="O28" i="274"/>
  <c r="N28" i="274"/>
  <c r="N30" i="274" s="1"/>
  <c r="M28" i="274"/>
  <c r="L28" i="274"/>
  <c r="L30" i="274" s="1"/>
  <c r="K28" i="274"/>
  <c r="J28" i="274"/>
  <c r="J30" i="274" s="1"/>
  <c r="I28" i="274"/>
  <c r="H28" i="274"/>
  <c r="H30" i="274" s="1"/>
  <c r="G28" i="274"/>
  <c r="F28" i="274"/>
  <c r="F30" i="274" s="1"/>
  <c r="C17" i="274"/>
  <c r="A10" i="274"/>
  <c r="A11" i="274" s="1"/>
  <c r="A12" i="274" s="1"/>
  <c r="A13" i="274" s="1"/>
  <c r="A14" i="274" s="1"/>
  <c r="A15" i="274" s="1"/>
  <c r="A16" i="274" s="1"/>
  <c r="A17" i="274" s="1"/>
  <c r="A18" i="274" s="1"/>
  <c r="A19" i="274" s="1"/>
  <c r="A20" i="274" s="1"/>
  <c r="A21" i="274" s="1"/>
  <c r="C11" i="274" l="1"/>
  <c r="G30" i="274"/>
  <c r="K30" i="274"/>
  <c r="O30" i="274"/>
  <c r="H23" i="274"/>
  <c r="H24" i="274"/>
  <c r="L23" i="274"/>
  <c r="L24" i="274"/>
  <c r="E23" i="274"/>
  <c r="E24" i="274"/>
  <c r="I23" i="274"/>
  <c r="I24" i="274"/>
  <c r="M23" i="274"/>
  <c r="M24" i="274"/>
  <c r="Q23" i="274"/>
  <c r="Q24" i="274"/>
  <c r="C28" i="274"/>
  <c r="I30" i="274"/>
  <c r="M30" i="274"/>
  <c r="Q30" i="274"/>
  <c r="J23" i="274"/>
  <c r="J24" i="274"/>
  <c r="N23" i="274"/>
  <c r="N24" i="274"/>
  <c r="K23" i="274"/>
  <c r="K24" i="274"/>
  <c r="O23" i="274"/>
  <c r="O24" i="274"/>
  <c r="C29" i="274"/>
  <c r="F23" i="274"/>
  <c r="F24" i="274"/>
  <c r="G23" i="274"/>
  <c r="G24" i="274"/>
  <c r="P23" i="274"/>
  <c r="P24" i="274"/>
  <c r="E30" i="274"/>
  <c r="H25" i="274" l="1"/>
  <c r="H11" i="120" s="1"/>
  <c r="C24" i="274"/>
  <c r="J25" i="274"/>
  <c r="L11" i="120" s="1"/>
  <c r="M25" i="274"/>
  <c r="E25" i="274"/>
  <c r="D11" i="120" s="1"/>
  <c r="O25" i="274"/>
  <c r="N25" i="274"/>
  <c r="Q25" i="274"/>
  <c r="I25" i="274"/>
  <c r="I11" i="120" s="1"/>
  <c r="C30" i="274"/>
  <c r="P25" i="274"/>
  <c r="F25" i="274"/>
  <c r="C23" i="274"/>
  <c r="K25" i="274"/>
  <c r="L25" i="274"/>
  <c r="G11" i="120" s="1"/>
  <c r="G25" i="274"/>
  <c r="E11" i="120" l="1"/>
  <c r="C25" i="274"/>
  <c r="K11" i="120"/>
  <c r="M11" i="120"/>
  <c r="F11" i="120" l="1"/>
  <c r="F10" i="120" l="1"/>
  <c r="A12" i="215" l="1"/>
  <c r="A13" i="215" s="1"/>
  <c r="C15" i="215" l="1"/>
  <c r="A14" i="215"/>
  <c r="A15" i="215" s="1"/>
  <c r="I12" i="5" l="1"/>
  <c r="H12" i="5"/>
  <c r="F12" i="5"/>
  <c r="E12" i="5"/>
  <c r="D12" i="5"/>
  <c r="N77" i="214"/>
  <c r="M77" i="214"/>
  <c r="L77" i="214"/>
  <c r="K77" i="214"/>
  <c r="J77" i="214"/>
  <c r="I77" i="214"/>
  <c r="H77" i="214"/>
  <c r="G77" i="214"/>
  <c r="F77" i="214"/>
  <c r="E77" i="214"/>
  <c r="D77" i="214"/>
  <c r="C77" i="214"/>
  <c r="N76" i="214"/>
  <c r="M76" i="214"/>
  <c r="L76" i="214"/>
  <c r="K76" i="214"/>
  <c r="J76" i="214"/>
  <c r="I76" i="214"/>
  <c r="H76" i="214"/>
  <c r="G76" i="214"/>
  <c r="F76" i="214"/>
  <c r="E76" i="214"/>
  <c r="D76" i="214"/>
  <c r="C76" i="214"/>
  <c r="O76" i="214" s="1"/>
  <c r="N75" i="214"/>
  <c r="M75" i="214"/>
  <c r="L75" i="214"/>
  <c r="K75" i="214"/>
  <c r="J75" i="214"/>
  <c r="I75" i="214"/>
  <c r="H75" i="214"/>
  <c r="G75" i="214"/>
  <c r="F75" i="214"/>
  <c r="E75" i="214"/>
  <c r="D75" i="214"/>
  <c r="C75" i="214"/>
  <c r="O75" i="214" s="1"/>
  <c r="N74" i="214"/>
  <c r="M74" i="214"/>
  <c r="L74" i="214"/>
  <c r="K74" i="214"/>
  <c r="J74" i="214"/>
  <c r="I74" i="214"/>
  <c r="H74" i="214"/>
  <c r="G74" i="214"/>
  <c r="F74" i="214"/>
  <c r="E74" i="214"/>
  <c r="D74" i="214"/>
  <c r="C74" i="214"/>
  <c r="O74" i="214" s="1"/>
  <c r="N73" i="214"/>
  <c r="M73" i="214"/>
  <c r="L73" i="214"/>
  <c r="K73" i="214"/>
  <c r="J73" i="214"/>
  <c r="I73" i="214"/>
  <c r="H73" i="214"/>
  <c r="G73" i="214"/>
  <c r="F73" i="214"/>
  <c r="E73" i="214"/>
  <c r="D73" i="214"/>
  <c r="C73" i="214"/>
  <c r="O73" i="214" s="1"/>
  <c r="N72" i="214"/>
  <c r="M72" i="214"/>
  <c r="L72" i="214"/>
  <c r="K72" i="214"/>
  <c r="J72" i="214"/>
  <c r="I72" i="214"/>
  <c r="H72" i="214"/>
  <c r="G72" i="214"/>
  <c r="F72" i="214"/>
  <c r="E72" i="214"/>
  <c r="D72" i="214"/>
  <c r="C72" i="214"/>
  <c r="O72" i="214" s="1"/>
  <c r="N71" i="214"/>
  <c r="M71" i="214"/>
  <c r="L71" i="214"/>
  <c r="K71" i="214"/>
  <c r="J71" i="214"/>
  <c r="I71" i="214"/>
  <c r="H71" i="214"/>
  <c r="G71" i="214"/>
  <c r="F71" i="214"/>
  <c r="E71" i="214"/>
  <c r="D71" i="214"/>
  <c r="C71" i="214"/>
  <c r="O71" i="214" s="1"/>
  <c r="N70" i="214"/>
  <c r="M70" i="214"/>
  <c r="L70" i="214"/>
  <c r="K70" i="214"/>
  <c r="J70" i="214"/>
  <c r="I70" i="214"/>
  <c r="H70" i="214"/>
  <c r="G70" i="214"/>
  <c r="F70" i="214"/>
  <c r="E70" i="214"/>
  <c r="D70" i="214"/>
  <c r="C70" i="214"/>
  <c r="O70" i="214" s="1"/>
  <c r="N69" i="214"/>
  <c r="M69" i="214"/>
  <c r="L69" i="214"/>
  <c r="K69" i="214"/>
  <c r="J69" i="214"/>
  <c r="I69" i="214"/>
  <c r="H69" i="214"/>
  <c r="G69" i="214"/>
  <c r="F69" i="214"/>
  <c r="E69" i="214"/>
  <c r="D69" i="214"/>
  <c r="C69" i="214"/>
  <c r="O69" i="214" s="1"/>
  <c r="N68" i="214"/>
  <c r="M68" i="214"/>
  <c r="L68" i="214"/>
  <c r="K68" i="214"/>
  <c r="J68" i="214"/>
  <c r="I68" i="214"/>
  <c r="H68" i="214"/>
  <c r="G68" i="214"/>
  <c r="F68" i="214"/>
  <c r="E68" i="214"/>
  <c r="D68" i="214"/>
  <c r="C68" i="214"/>
  <c r="O68" i="214" s="1"/>
  <c r="N67" i="214"/>
  <c r="M67" i="214"/>
  <c r="L67" i="214"/>
  <c r="K67" i="214"/>
  <c r="J67" i="214"/>
  <c r="I67" i="214"/>
  <c r="H67" i="214"/>
  <c r="G67" i="214"/>
  <c r="F67" i="214"/>
  <c r="E67" i="214"/>
  <c r="D67" i="214"/>
  <c r="C67" i="214"/>
  <c r="O67" i="214" s="1"/>
  <c r="N66" i="214"/>
  <c r="M66" i="214"/>
  <c r="L66" i="214"/>
  <c r="K66" i="214"/>
  <c r="J66" i="214"/>
  <c r="I66" i="214"/>
  <c r="H66" i="214"/>
  <c r="G66" i="214"/>
  <c r="F66" i="214"/>
  <c r="E66" i="214"/>
  <c r="D66" i="214"/>
  <c r="C66" i="214"/>
  <c r="O66" i="214" s="1"/>
  <c r="N65" i="214"/>
  <c r="M65" i="214"/>
  <c r="L65" i="214"/>
  <c r="K65" i="214"/>
  <c r="J65" i="214"/>
  <c r="I65" i="214"/>
  <c r="H65" i="214"/>
  <c r="G65" i="214"/>
  <c r="F65" i="214"/>
  <c r="E65" i="214"/>
  <c r="D65" i="214"/>
  <c r="C65" i="214"/>
  <c r="O65" i="214" s="1"/>
  <c r="N64" i="214"/>
  <c r="M64" i="214"/>
  <c r="L64" i="214"/>
  <c r="K64" i="214"/>
  <c r="J64" i="214"/>
  <c r="I64" i="214"/>
  <c r="H64" i="214"/>
  <c r="G64" i="214"/>
  <c r="F64" i="214"/>
  <c r="E64" i="214"/>
  <c r="D64" i="214"/>
  <c r="C64" i="214"/>
  <c r="O64" i="214" s="1"/>
  <c r="N63" i="214"/>
  <c r="M63" i="214"/>
  <c r="L63" i="214"/>
  <c r="K63" i="214"/>
  <c r="J63" i="214"/>
  <c r="I63" i="214"/>
  <c r="H63" i="214"/>
  <c r="G63" i="214"/>
  <c r="F63" i="214"/>
  <c r="E63" i="214"/>
  <c r="D63" i="214"/>
  <c r="C63" i="214"/>
  <c r="O63" i="214" s="1"/>
  <c r="N62" i="214"/>
  <c r="M62" i="214"/>
  <c r="L62" i="214"/>
  <c r="K62" i="214"/>
  <c r="J62" i="214"/>
  <c r="I62" i="214"/>
  <c r="H62" i="214"/>
  <c r="G62" i="214"/>
  <c r="F62" i="214"/>
  <c r="E62" i="214"/>
  <c r="D62" i="214"/>
  <c r="C62" i="214"/>
  <c r="O62" i="214" s="1"/>
  <c r="N61" i="214"/>
  <c r="M61" i="214"/>
  <c r="L61" i="214"/>
  <c r="L79" i="214" s="1"/>
  <c r="K61" i="214"/>
  <c r="J61" i="214"/>
  <c r="I61" i="214"/>
  <c r="H61" i="214"/>
  <c r="H79" i="214" s="1"/>
  <c r="G61" i="214"/>
  <c r="F61" i="214"/>
  <c r="E61" i="214"/>
  <c r="D61" i="214"/>
  <c r="D79" i="214" s="1"/>
  <c r="C61" i="214"/>
  <c r="O61" i="214" s="1"/>
  <c r="N60" i="214"/>
  <c r="N79" i="214" s="1"/>
  <c r="M60" i="214"/>
  <c r="M79" i="214" s="1"/>
  <c r="L60" i="214"/>
  <c r="K60" i="214"/>
  <c r="K79" i="214" s="1"/>
  <c r="J60" i="214"/>
  <c r="J79" i="214" s="1"/>
  <c r="I60" i="214"/>
  <c r="I79" i="214" s="1"/>
  <c r="H60" i="214"/>
  <c r="G60" i="214"/>
  <c r="G79" i="214" s="1"/>
  <c r="F60" i="214"/>
  <c r="F79" i="214" s="1"/>
  <c r="E60" i="214"/>
  <c r="E79" i="214" s="1"/>
  <c r="D60" i="214"/>
  <c r="C60" i="214"/>
  <c r="O60" i="214" s="1"/>
  <c r="E59" i="214"/>
  <c r="F59" i="214" s="1"/>
  <c r="G59" i="214" s="1"/>
  <c r="H59" i="214" s="1"/>
  <c r="I59" i="214" s="1"/>
  <c r="J59" i="214" s="1"/>
  <c r="K59" i="214" s="1"/>
  <c r="L59" i="214" s="1"/>
  <c r="M59" i="214" s="1"/>
  <c r="N59" i="214" s="1"/>
  <c r="D59" i="214"/>
  <c r="C79" i="214" l="1"/>
  <c r="A11" i="189" l="1"/>
  <c r="A12" i="189" s="1"/>
  <c r="A13" i="189" s="1"/>
  <c r="A14" i="189" s="1"/>
  <c r="C14" i="189" l="1"/>
  <c r="C30" i="54" l="1"/>
  <c r="D56" i="54"/>
  <c r="D52" i="54"/>
  <c r="D48" i="54"/>
  <c r="D44" i="54"/>
  <c r="D36" i="54"/>
  <c r="A42" i="54"/>
  <c r="A43" i="54" s="1"/>
  <c r="B42" i="54"/>
  <c r="D55" i="54"/>
  <c r="B54" i="54"/>
  <c r="D51" i="54"/>
  <c r="B50" i="54"/>
  <c r="D47" i="54"/>
  <c r="B46" i="54"/>
  <c r="D43" i="54"/>
  <c r="C22" i="54"/>
  <c r="C18" i="54"/>
  <c r="C14" i="54"/>
  <c r="A44" i="54" l="1"/>
  <c r="A45" i="54" s="1"/>
  <c r="A46" i="54" s="1"/>
  <c r="A47" i="54" s="1"/>
  <c r="Q26" i="54"/>
  <c r="N27" i="54" s="1"/>
  <c r="Q30" i="54"/>
  <c r="P31" i="54" s="1"/>
  <c r="A48" i="54" l="1"/>
  <c r="A49" i="54" s="1"/>
  <c r="A50" i="54" s="1"/>
  <c r="A51" i="54" s="1"/>
  <c r="K27" i="54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A52" i="54" l="1"/>
  <c r="A53" i="54" s="1"/>
  <c r="A54" i="54" s="1"/>
  <c r="A55" i="54" s="1"/>
  <c r="Q31" i="54"/>
  <c r="Q27" i="54"/>
  <c r="A56" i="54" l="1"/>
  <c r="Q18" i="54" l="1"/>
  <c r="L19" i="54" s="1"/>
  <c r="Q22" i="54"/>
  <c r="F23" i="54" s="1"/>
  <c r="M19" i="54" l="1"/>
  <c r="H19" i="54"/>
  <c r="J19" i="54"/>
  <c r="I23" i="54"/>
  <c r="F19" i="54"/>
  <c r="E19" i="54"/>
  <c r="O19" i="54"/>
  <c r="H23" i="54"/>
  <c r="N19" i="54"/>
  <c r="K19" i="54"/>
  <c r="L23" i="54"/>
  <c r="M23" i="54"/>
  <c r="G23" i="54"/>
  <c r="J23" i="54"/>
  <c r="P23" i="54"/>
  <c r="K23" i="54"/>
  <c r="E23" i="54"/>
  <c r="N23" i="54"/>
  <c r="I19" i="54"/>
  <c r="O23" i="54"/>
  <c r="G19" i="54"/>
  <c r="P19" i="54"/>
  <c r="Q23" i="54" l="1"/>
  <c r="Q19" i="54"/>
  <c r="F14" i="120" l="1"/>
  <c r="B38" i="54" l="1"/>
  <c r="B34" i="54"/>
  <c r="K12" i="120" l="1"/>
  <c r="K16" i="120" s="1"/>
  <c r="A10" i="120" l="1"/>
  <c r="A11" i="120" l="1"/>
  <c r="A12" i="120" s="1"/>
  <c r="L12" i="120"/>
  <c r="L16" i="120" s="1"/>
  <c r="I12" i="120"/>
  <c r="D12" i="120"/>
  <c r="H12" i="120"/>
  <c r="M12" i="120"/>
  <c r="M16" i="120" s="1"/>
  <c r="I16" i="120" l="1"/>
  <c r="D16" i="120"/>
  <c r="H16" i="120"/>
  <c r="A13" i="120"/>
  <c r="A14" i="120" s="1"/>
  <c r="A15" i="120" s="1"/>
  <c r="A16" i="120" s="1"/>
  <c r="C12" i="120"/>
  <c r="G12" i="120"/>
  <c r="F12" i="120"/>
  <c r="E12" i="120"/>
  <c r="E11" i="215" l="1"/>
  <c r="E15" i="215" s="1"/>
  <c r="D11" i="215"/>
  <c r="D15" i="215" s="1"/>
  <c r="F11" i="215"/>
  <c r="F15" i="215" s="1"/>
  <c r="G11" i="215"/>
  <c r="G15" i="215" s="1"/>
  <c r="C16" i="120"/>
  <c r="I10" i="5"/>
  <c r="I14" i="5" s="1"/>
  <c r="Q55" i="54" s="1"/>
  <c r="H10" i="5"/>
  <c r="H14" i="5" s="1"/>
  <c r="Q51" i="54" s="1"/>
  <c r="G16" i="120"/>
  <c r="G10" i="5" s="1"/>
  <c r="E16" i="120"/>
  <c r="E10" i="5" s="1"/>
  <c r="F16" i="120"/>
  <c r="F10" i="189" s="1"/>
  <c r="F14" i="189" s="1"/>
  <c r="D10" i="5"/>
  <c r="D14" i="5" s="1"/>
  <c r="D10" i="189"/>
  <c r="D14" i="189" s="1"/>
  <c r="G10" i="189" l="1"/>
  <c r="G14" i="189" s="1"/>
  <c r="E10" i="189"/>
  <c r="E14" i="189" s="1"/>
  <c r="F10" i="5"/>
  <c r="F14" i="5" s="1"/>
  <c r="Q43" i="54" s="1"/>
  <c r="P52" i="54"/>
  <c r="L52" i="54"/>
  <c r="H52" i="54"/>
  <c r="N52" i="54"/>
  <c r="J52" i="54"/>
  <c r="F52" i="54"/>
  <c r="M52" i="54"/>
  <c r="I52" i="54"/>
  <c r="E52" i="54"/>
  <c r="O52" i="54"/>
  <c r="K52" i="54"/>
  <c r="G52" i="54"/>
  <c r="Q35" i="54"/>
  <c r="P56" i="54"/>
  <c r="L56" i="54"/>
  <c r="H56" i="54"/>
  <c r="J56" i="54"/>
  <c r="F56" i="54"/>
  <c r="M56" i="54"/>
  <c r="I56" i="54"/>
  <c r="E56" i="54"/>
  <c r="O56" i="54"/>
  <c r="K56" i="54"/>
  <c r="G56" i="54"/>
  <c r="N56" i="54"/>
  <c r="G14" i="5"/>
  <c r="Q47" i="54" s="1"/>
  <c r="E14" i="5"/>
  <c r="Q39" i="54" s="1"/>
  <c r="Q52" i="54" l="1"/>
  <c r="P48" i="54"/>
  <c r="L48" i="54"/>
  <c r="H48" i="54"/>
  <c r="N48" i="54"/>
  <c r="J48" i="54"/>
  <c r="M48" i="54"/>
  <c r="I48" i="54"/>
  <c r="E48" i="54"/>
  <c r="O48" i="54"/>
  <c r="K48" i="54"/>
  <c r="G48" i="54"/>
  <c r="F48" i="54"/>
  <c r="P44" i="54"/>
  <c r="L44" i="54"/>
  <c r="H44" i="54"/>
  <c r="N44" i="54"/>
  <c r="J44" i="54"/>
  <c r="F44" i="54"/>
  <c r="M44" i="54"/>
  <c r="I44" i="54"/>
  <c r="E44" i="54"/>
  <c r="O44" i="54"/>
  <c r="K44" i="54"/>
  <c r="G44" i="54"/>
  <c r="Q56" i="54"/>
  <c r="Q48" i="54" l="1"/>
  <c r="Q44" i="54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11" i="5" l="1"/>
  <c r="D39" i="54" l="1"/>
  <c r="D40" i="54" l="1"/>
  <c r="Q10" i="54" l="1"/>
  <c r="K11" i="54" s="1"/>
  <c r="Q14" i="54" l="1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E36" i="54" l="1"/>
  <c r="N40" i="54" l="1"/>
  <c r="N36" i="54" l="1"/>
  <c r="A12" i="5"/>
  <c r="K36" i="54"/>
  <c r="H36" i="54"/>
  <c r="O36" i="54"/>
  <c r="P36" i="54"/>
  <c r="F36" i="54"/>
  <c r="J36" i="54"/>
  <c r="G36" i="54"/>
  <c r="L36" i="54"/>
  <c r="M36" i="54"/>
  <c r="I36" i="54"/>
  <c r="P40" i="54"/>
  <c r="E40" i="54"/>
  <c r="L40" i="54"/>
  <c r="I40" i="54"/>
  <c r="M40" i="54"/>
  <c r="J40" i="54"/>
  <c r="F40" i="54"/>
  <c r="O40" i="54"/>
  <c r="H40" i="54"/>
  <c r="G40" i="54"/>
  <c r="K40" i="54"/>
  <c r="C14" i="5" l="1"/>
  <c r="A13" i="5"/>
  <c r="A14" i="5" s="1"/>
  <c r="Q36" i="54"/>
  <c r="Q40" i="54"/>
</calcChain>
</file>

<file path=xl/sharedStrings.xml><?xml version="1.0" encoding="utf-8"?>
<sst xmlns="http://schemas.openxmlformats.org/spreadsheetml/2006/main" count="1417" uniqueCount="679">
  <si>
    <t>Residential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</si>
  <si>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</si>
  <si>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</si>
  <si>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</si>
  <si>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</si>
  <si>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</si>
  <si>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</si>
  <si>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</si>
  <si>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</si>
  <si>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</si>
  <si>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</si>
  <si>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</si>
  <si>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</si>
  <si>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</si>
  <si>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</si>
  <si>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</si>
  <si>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</si>
  <si>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</si>
  <si>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</si>
  <si>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</si>
  <si>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Description</t>
  </si>
  <si>
    <t>Basic Charge</t>
  </si>
  <si>
    <t>Total</t>
  </si>
  <si>
    <t>Check</t>
  </si>
  <si>
    <t>Customer Counts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</si>
  <si>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</si>
  <si>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</si>
  <si>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</si>
  <si>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</si>
  <si>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</si>
  <si>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</si>
  <si>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</si>
  <si>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</si>
  <si>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</si>
  <si>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</si>
  <si>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</si>
  <si>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</si>
  <si>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</si>
  <si>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</si>
  <si>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Proposed</t>
  </si>
  <si>
    <t>Grand Total</t>
  </si>
  <si>
    <t>Schedule</t>
  </si>
  <si>
    <t>Average</t>
  </si>
  <si>
    <t>Development of Monthly Allowed Delivery Revenue Per Customer</t>
  </si>
  <si>
    <t>% of Annual Total</t>
  </si>
  <si>
    <t>Sales</t>
  </si>
  <si>
    <t>Difference</t>
  </si>
  <si>
    <t>Electric Decoupling Mechanism</t>
  </si>
  <si>
    <t>Total Residential</t>
  </si>
  <si>
    <t>Secondary Voltage</t>
  </si>
  <si>
    <t>26P</t>
  </si>
  <si>
    <t>Total Secondary Voltage</t>
  </si>
  <si>
    <t>Primary Voltage</t>
  </si>
  <si>
    <t>Total Primary Voltage</t>
  </si>
  <si>
    <t>Total High Voltage</t>
  </si>
  <si>
    <t>50-59</t>
  </si>
  <si>
    <t>Schedule 7</t>
  </si>
  <si>
    <t>Total Delivered kWh</t>
  </si>
  <si>
    <t>Tariff</t>
  </si>
  <si>
    <t>Lights</t>
  </si>
  <si>
    <t>2016 PSE GRC</t>
  </si>
  <si>
    <t>Background Filter:</t>
  </si>
  <si>
    <t>Fiscal year/period</t>
  </si>
  <si>
    <t>Key Figures</t>
  </si>
  <si>
    <t>Rate Category</t>
  </si>
  <si>
    <t>Overall Result</t>
  </si>
  <si>
    <t>Other</t>
  </si>
  <si>
    <t>SCH_10E</t>
  </si>
  <si>
    <t>7A</t>
  </si>
  <si>
    <t>Schedules 8 &amp; 24</t>
  </si>
  <si>
    <t>Proforma Schedule 26 Revenue</t>
  </si>
  <si>
    <t>Price Amount</t>
  </si>
  <si>
    <t>Less:  Sch 26P</t>
  </si>
  <si>
    <t>Sch 40 Adj - Basic Charge</t>
  </si>
  <si>
    <t>Net Basic Charge</t>
  </si>
  <si>
    <t>kWh Usage</t>
  </si>
  <si>
    <t>All kWh</t>
  </si>
  <si>
    <t>Sch 40 Adj - kwh</t>
  </si>
  <si>
    <t>Net  kWh</t>
  </si>
  <si>
    <t>Unbilled Revenue</t>
  </si>
  <si>
    <t>Weather Adjustment</t>
  </si>
  <si>
    <t>kW Usage</t>
  </si>
  <si>
    <t>Winter kW</t>
  </si>
  <si>
    <t>Sch 40 Adj - Winter kW</t>
  </si>
  <si>
    <t>Net Winter kW</t>
  </si>
  <si>
    <t>Summer kW</t>
  </si>
  <si>
    <t>Net Summer kW</t>
  </si>
  <si>
    <t>Net kW</t>
  </si>
  <si>
    <t>Reactive Power</t>
  </si>
  <si>
    <t>Sch 40 Adj - Reactive Power</t>
  </si>
  <si>
    <t>Net Reactive Power</t>
  </si>
  <si>
    <t>Rates Effective 5-1-15:</t>
  </si>
  <si>
    <t>Basic Charge Revenue</t>
  </si>
  <si>
    <t>Sch 40 Adj Basic Charge Rev</t>
  </si>
  <si>
    <t>Total Basic Charge Revenue</t>
  </si>
  <si>
    <t>Energy Revenue</t>
  </si>
  <si>
    <t>Sch 40 Adj - kWh</t>
  </si>
  <si>
    <t>Sch 95 PCORC All kWh</t>
  </si>
  <si>
    <t>Sch 141 ERF All kWh</t>
  </si>
  <si>
    <t>Sch 142 Decoupling All kWh</t>
  </si>
  <si>
    <t>Total Energy Charge Revenue</t>
  </si>
  <si>
    <t>Demand Revenue</t>
  </si>
  <si>
    <t>Sch 40 Adj - Summer kW</t>
  </si>
  <si>
    <t>Sch 142 Decoupling kW</t>
  </si>
  <si>
    <t>Total Demand Charge Revenue</t>
  </si>
  <si>
    <t>Reactive Power Revenue</t>
  </si>
  <si>
    <t>Sch 40 Adj -  kVarh</t>
  </si>
  <si>
    <t>Total Schedule 26 Revenue</t>
  </si>
  <si>
    <t>Check billed kWh (from Unbilled file)</t>
  </si>
  <si>
    <t>Check a11a kWh Sch 26</t>
  </si>
  <si>
    <t>Check a11a kWh Sch 26P</t>
  </si>
  <si>
    <t>A11a kWh units</t>
  </si>
  <si>
    <t>Difference Check</t>
  </si>
  <si>
    <t>Proforma vs. Actual Revenue</t>
  </si>
  <si>
    <t>Values</t>
  </si>
  <si>
    <t>Statistical Rate</t>
  </si>
  <si>
    <t>Price Amount (char)</t>
  </si>
  <si>
    <t>ECI_BASIC</t>
  </si>
  <si>
    <t xml:space="preserve">    110.46000000</t>
  </si>
  <si>
    <t xml:space="preserve">    356.91000000</t>
  </si>
  <si>
    <t>ECI_BASIC Total</t>
  </si>
  <si>
    <t>ECI_NRG</t>
  </si>
  <si>
    <t xml:space="preserve">      0.00000000</t>
  </si>
  <si>
    <t xml:space="preserve">      0.05816400</t>
  </si>
  <si>
    <t xml:space="preserve">      0.05864800</t>
  </si>
  <si>
    <t xml:space="preserve">      0.05880000</t>
  </si>
  <si>
    <t>ECI_NRG Total</t>
  </si>
  <si>
    <t>ECI_NRG_PS</t>
  </si>
  <si>
    <t xml:space="preserve">      0.05684300</t>
  </si>
  <si>
    <t>ECI_NRG_PS Total</t>
  </si>
  <si>
    <t>ECI_DMD26</t>
  </si>
  <si>
    <t xml:space="preserve">      8.30000000</t>
  </si>
  <si>
    <t xml:space="preserve">      8.53000000</t>
  </si>
  <si>
    <t xml:space="preserve">      8.88000000</t>
  </si>
  <si>
    <t xml:space="preserve">     12.35000000</t>
  </si>
  <si>
    <t>ECI_DMD26 Total</t>
  </si>
  <si>
    <t>ECI_KWCH</t>
  </si>
  <si>
    <t>ECI_KWCH Total</t>
  </si>
  <si>
    <t>ECI_RPWR</t>
  </si>
  <si>
    <t xml:space="preserve">      0.00127000</t>
  </si>
  <si>
    <t>ECI_RPWR Total</t>
  </si>
  <si>
    <t>Sch 141 ERF</t>
  </si>
  <si>
    <t>Total Basic Charge</t>
  </si>
  <si>
    <t>Total kW</t>
  </si>
  <si>
    <t>Total Reactive Power</t>
  </si>
  <si>
    <t>Primary Adder</t>
  </si>
  <si>
    <t>Sch 141 ERF - Primary</t>
  </si>
  <si>
    <t>Primary Energy Discount</t>
  </si>
  <si>
    <t>Winter Demand</t>
  </si>
  <si>
    <t>Summer Demand</t>
  </si>
  <si>
    <t>Primary Demand Discount</t>
  </si>
  <si>
    <t>Sch 141 ERF Winter Demand</t>
  </si>
  <si>
    <t>Sch 141 ERF Summer Demand</t>
  </si>
  <si>
    <t>Sch 142 Decoupling Demand</t>
  </si>
  <si>
    <t>Primary Reactive Discount</t>
  </si>
  <si>
    <t>Total Schedule 26P Revenue</t>
  </si>
  <si>
    <t>SCH_26EC : Large Demand General Service</t>
  </si>
  <si>
    <t>Sch 40 Adj - Energy</t>
  </si>
  <si>
    <t>Sch 40 Adj Rev -  Winter kW</t>
  </si>
  <si>
    <t>Sch 40 Adj Rev -  Summer kW</t>
  </si>
  <si>
    <t>Sch 40 Adj Rev -  All kVarh</t>
  </si>
  <si>
    <t>Total Schedule 31 Revenue</t>
  </si>
  <si>
    <t>Check a11a kWh Sch 31</t>
  </si>
  <si>
    <t xml:space="preserve">    339.51000000</t>
  </si>
  <si>
    <t xml:space="preserve">      0.05582700</t>
  </si>
  <si>
    <t xml:space="preserve">      0.05616700</t>
  </si>
  <si>
    <t xml:space="preserve">      0.05654400</t>
  </si>
  <si>
    <t xml:space="preserve">      0.06152200</t>
  </si>
  <si>
    <t xml:space="preserve">      0.06242900</t>
  </si>
  <si>
    <t>ECI_DM31CH</t>
  </si>
  <si>
    <t xml:space="preserve">      5.76000000</t>
  </si>
  <si>
    <t xml:space="preserve">      5.88000000</t>
  </si>
  <si>
    <t xml:space="preserve">      7.65000000</t>
  </si>
  <si>
    <t xml:space="preserve">      7.66000000</t>
  </si>
  <si>
    <t xml:space="preserve">      7.88000000</t>
  </si>
  <si>
    <t xml:space="preserve">      8.61000000</t>
  </si>
  <si>
    <t xml:space="preserve">      8.82000000</t>
  </si>
  <si>
    <t xml:space="preserve">     11.57000000</t>
  </si>
  <si>
    <t xml:space="preserve">     11.58000000</t>
  </si>
  <si>
    <t>ECI_DM31CH Total</t>
  </si>
  <si>
    <t xml:space="preserve">      0.00109000</t>
  </si>
  <si>
    <t>Schedules 12 &amp; 26</t>
  </si>
  <si>
    <t>Schedules 10 &amp; 31</t>
  </si>
  <si>
    <t>kWh</t>
  </si>
  <si>
    <t>8 &amp; 24</t>
  </si>
  <si>
    <t>12 &amp; 26</t>
  </si>
  <si>
    <t>10 &amp; 31</t>
  </si>
  <si>
    <t xml:space="preserve">   Basic Charge Revenue</t>
  </si>
  <si>
    <t>Basic Charges</t>
  </si>
  <si>
    <t>Class Average % Increase</t>
  </si>
  <si>
    <t>Energy Charges</t>
  </si>
  <si>
    <t>Sch 31 Equal % and Adjust for Losses &amp; Residual</t>
  </si>
  <si>
    <t>Temperature Adjustment</t>
  </si>
  <si>
    <t>Unbilled</t>
  </si>
  <si>
    <t>Demand Charges</t>
  </si>
  <si>
    <t>Sch 31 Equal % and Adjust for Losses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</si>
  <si>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</si>
  <si>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</si>
  <si>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</si>
  <si>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</si>
  <si>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Class Average % Increase Adjust For Residual</t>
  </si>
  <si>
    <t>First 600 kWh</t>
  </si>
  <si>
    <t>Average Increase</t>
  </si>
  <si>
    <t>Class Average % Increase,
Adjust for Residual</t>
  </si>
  <si>
    <t>Temperature Adjustment - Winter</t>
  </si>
  <si>
    <t>Temperature Adjustment - Summer</t>
  </si>
  <si>
    <t>Same as Sch 31</t>
  </si>
  <si>
    <t>Apply Residual &amp; Adjust for Rounding</t>
  </si>
  <si>
    <t>Demand Charge Calculation</t>
  </si>
  <si>
    <t>Energy Charge Calculation</t>
  </si>
  <si>
    <t>Subtotal</t>
  </si>
  <si>
    <t>ELECTRIC COST OF SERVICE SUMMARY</t>
  </si>
  <si>
    <t>Delivery Costs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</si>
  <si>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</si>
  <si>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</si>
  <si>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</si>
  <si>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</si>
  <si>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</si>
  <si>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</si>
  <si>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</si>
  <si>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</si>
  <si>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</si>
  <si>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</si>
  <si>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</si>
  <si>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</si>
  <si>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</si>
  <si>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</si>
  <si>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</si>
  <si>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Demand</t>
  </si>
  <si>
    <t>PC-3</t>
  </si>
  <si>
    <t>NRG</t>
  </si>
  <si>
    <t>DEM</t>
  </si>
  <si>
    <t>Total Revenue Requirement</t>
  </si>
  <si>
    <t>Revenues Other Than Rate Sch. Rev.</t>
  </si>
  <si>
    <t>Row</t>
  </si>
  <si>
    <t xml:space="preserve"> </t>
  </si>
  <si>
    <t xml:space="preserve">   Allocated Power Costs</t>
  </si>
  <si>
    <t>Delivery Revenue:</t>
  </si>
  <si>
    <t>Weather-Normalized kWh Sales (Oct15-Sep16)</t>
  </si>
  <si>
    <t>Demand Charge Revenue (Oct15-Sep16)</t>
  </si>
  <si>
    <t>Month</t>
  </si>
  <si>
    <t xml:space="preserve">Division {Electric} </t>
  </si>
  <si>
    <t>010/2015</t>
  </si>
  <si>
    <t>011/2015</t>
  </si>
  <si>
    <t>012/2015</t>
  </si>
  <si>
    <t>001/2016</t>
  </si>
  <si>
    <t>002/2016</t>
  </si>
  <si>
    <t>003/2016</t>
  </si>
  <si>
    <t>004/2016</t>
  </si>
  <si>
    <t>005/2016</t>
  </si>
  <si>
    <t>006/2016</t>
  </si>
  <si>
    <t>007/2016</t>
  </si>
  <si>
    <t>008/2016</t>
  </si>
  <si>
    <t>009/2016</t>
  </si>
  <si>
    <t>NM_MSTR_CI : Net Meter C&amp;I Parent</t>
  </si>
  <si>
    <t>NM_MSTR_RS : Net Meter Residential Parent</t>
  </si>
  <si>
    <t>SCH_03E : Compact Fluorescent 22W</t>
  </si>
  <si>
    <t>SCH_05E : Wholesale for Resale</t>
  </si>
  <si>
    <t>SCH_10E : Res &amp; Farm Primary General Service</t>
  </si>
  <si>
    <t>SCH_11E : Res &amp; Farm Small Demand General Service</t>
  </si>
  <si>
    <t>SCH_12E : Res &amp; Farm Large Demand General Service</t>
  </si>
  <si>
    <t>SCH_24EC : General Service</t>
  </si>
  <si>
    <t>SCH_24EI : General Service</t>
  </si>
  <si>
    <t>SCH_24EL : General Service</t>
  </si>
  <si>
    <t>SCH_25EC : Small Demand General Service</t>
  </si>
  <si>
    <t>SCH_25EI : Small Demand General Service</t>
  </si>
  <si>
    <t>SCH_25EL : Small Demand General Service</t>
  </si>
  <si>
    <t>SCH_26EI : Large Demand General Service</t>
  </si>
  <si>
    <t>SCH_29E : Seasonal Irrigation &amp; Drainage Pumping</t>
  </si>
  <si>
    <t>SCH_31EC : Primary General Service</t>
  </si>
  <si>
    <t>SCH_31EI : Primary General Service</t>
  </si>
  <si>
    <t>SCH_35E : Seasonal Primary Irrigation &amp; Drainage</t>
  </si>
  <si>
    <t>SCH_40EC : Large Demand Gen Service greater 3 aMW</t>
  </si>
  <si>
    <t>SCH_40EI :  Large Demand Gen Service greater 3 aMW</t>
  </si>
  <si>
    <t>SCH_43E :  Interruptible Pri Service for Schools</t>
  </si>
  <si>
    <t>SCH_449EC : Schedule 449 Commercial</t>
  </si>
  <si>
    <t>SCH_449EI : Schedule 449 Industrial</t>
  </si>
  <si>
    <t>SCH_459EI : Schedule 459 Industrial</t>
  </si>
  <si>
    <t>SCH_46EC : High Voltage Interruptible Service</t>
  </si>
  <si>
    <t>SCH_46EI : High Voltage Interruptible Service</t>
  </si>
  <si>
    <t>SCH_49EC : High Voltage General Service</t>
  </si>
  <si>
    <t>SCH_49EI : High Voltage General Service</t>
  </si>
  <si>
    <t>SCH_50E : Limited Street Lighting Service</t>
  </si>
  <si>
    <t>SCH_51E : LED Lighting Service - Company Owned</t>
  </si>
  <si>
    <t>SCH_52E : Custom Lighting Service - Company Owned</t>
  </si>
  <si>
    <t>SCH_53E : Street Lighting Service</t>
  </si>
  <si>
    <t>SCH_54E : Customer Owned Street Lighting Service</t>
  </si>
  <si>
    <t>SCH_55E : Area Lighting Service</t>
  </si>
  <si>
    <t>SCH_56E : Residential &amp; Farm Area Lighting Service</t>
  </si>
  <si>
    <t>SCH_57E : Continuous Lighting Service - Traffic</t>
  </si>
  <si>
    <t>SCH_58E : Flood Lighting Service</t>
  </si>
  <si>
    <t>SCH_59E : Residential&amp;Farm Flood Lighting Service</t>
  </si>
  <si>
    <t>SCH_628E : Substation Rental</t>
  </si>
  <si>
    <t>SCH_7AE : Master Meter Residential Service</t>
  </si>
  <si>
    <t>SCH_7E : Residential Service</t>
  </si>
  <si>
    <t>SCH_8E : Res &amp; Farm General Service</t>
  </si>
  <si>
    <t>SCH_91E : Co-Generation</t>
  </si>
  <si>
    <t>SCH_997E : Electric Company Use</t>
  </si>
  <si>
    <t>SCH_998E : Check Meters</t>
  </si>
  <si>
    <t>SCH_NETWEC : BPA - Network - Commercial</t>
  </si>
  <si>
    <t>SCH_P2PEI : BPA - Point to Point - Industrial</t>
  </si>
  <si>
    <t>SCH_SGENEI : BPA - Self Generation - Industrial</t>
  </si>
  <si>
    <t>Electric Customer Count Summary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</si>
  <si>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</si>
  <si>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</si>
  <si>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</si>
  <si>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</si>
  <si>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</si>
  <si>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</si>
  <si>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</si>
  <si>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</si>
  <si>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</si>
  <si>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</si>
  <si>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</si>
  <si>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</si>
  <si>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</si>
  <si>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</si>
  <si>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</si>
  <si>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Units</t>
  </si>
  <si>
    <t>Energy Charge</t>
  </si>
  <si>
    <t>Present</t>
  </si>
  <si>
    <t>Adjusted Test Year Twelve Months ended September 2016 @ Proforma Rev Requirement</t>
  </si>
  <si>
    <t>Peak Credit Allocation</t>
  </si>
  <si>
    <t>% Applicable to Energy</t>
  </si>
  <si>
    <t>% Applicable to Demand</t>
  </si>
  <si>
    <t>Total Allocation to Class</t>
  </si>
  <si>
    <t>Fixed PCA Costs</t>
  </si>
  <si>
    <t>Variable PCA Costs</t>
  </si>
  <si>
    <t>Allocate Fixed PCA Costs on PC-3</t>
  </si>
  <si>
    <t>Allocate Variable PCA Costs on PC-3</t>
  </si>
  <si>
    <t>PUGET SOUND ENERGY</t>
  </si>
  <si>
    <t>STATE OF WASHINGTON</t>
  </si>
  <si>
    <t>(Including Effects of Unbilled Revenue, Unbilled MWh and Weather Normalization)</t>
  </si>
  <si>
    <t>Residential Rate Design</t>
  </si>
  <si>
    <t>Proposed Effective December 2017</t>
  </si>
  <si>
    <t>Actual</t>
  </si>
  <si>
    <t>Price</t>
  </si>
  <si>
    <t>Dollars</t>
  </si>
  <si>
    <t xml:space="preserve">SCHEDULE 7 </t>
  </si>
  <si>
    <t>Residential Service</t>
  </si>
  <si>
    <t xml:space="preserve">  Single Phase</t>
  </si>
  <si>
    <t xml:space="preserve">  Three Phase</t>
  </si>
  <si>
    <t>Adjust for residual</t>
  </si>
  <si>
    <t>Over 600 kWh</t>
  </si>
  <si>
    <t>Retain Block 1/ Block 2 Relationship</t>
  </si>
  <si>
    <t>Target Dollars</t>
  </si>
  <si>
    <t>Secondary Voltage Rate Design</t>
  </si>
  <si>
    <t>SCHEDULES 8 &amp; 24</t>
  </si>
  <si>
    <t>Secondary Voltage General Service</t>
  </si>
  <si>
    <t>Winter (October to March) kWh</t>
  </si>
  <si>
    <t>Summer (April to September) kWh</t>
  </si>
  <si>
    <t xml:space="preserve">  Total</t>
  </si>
  <si>
    <t>Target</t>
  </si>
  <si>
    <t>SCHEDULES 7A, 11 &amp; 25</t>
  </si>
  <si>
    <t>Secondary Voltage Small Demand General Service</t>
  </si>
  <si>
    <t>First 20,000 kWh (Winter Oct to Mar)</t>
  </si>
  <si>
    <t>First 20,000 kWh (Summer Apr to Sep)</t>
  </si>
  <si>
    <t>All additional kWh</t>
  </si>
  <si>
    <t>Winter Demand over 50 kW</t>
  </si>
  <si>
    <t>Summer Demand over 50 kW</t>
  </si>
  <si>
    <t>Target Dollars Sch 25/29</t>
  </si>
  <si>
    <t>SCHEDULES 12 &amp; 26</t>
  </si>
  <si>
    <t>Secondary Voltage Large Demand General Service</t>
  </si>
  <si>
    <t>Winter Demand (Oct to Mar)</t>
  </si>
  <si>
    <t>Summer Demand (Apr to Sep)</t>
  </si>
  <si>
    <t>Target Dollars Sch 26/26P</t>
  </si>
  <si>
    <t>SCHEDULE 26P</t>
  </si>
  <si>
    <t>Same as Sch 26</t>
  </si>
  <si>
    <t>Primary Discount</t>
  </si>
  <si>
    <t>Loss Adj</t>
  </si>
  <si>
    <t>Reactive Power Charge Reduction to Base Rates:</t>
  </si>
  <si>
    <t>SCHEDULE 29</t>
  </si>
  <si>
    <t>Secondary Voltage Irrigation &amp; Pumping Service</t>
  </si>
  <si>
    <t>Over 20,000 kWh (Winter Oct to Mar)</t>
  </si>
  <si>
    <t>Over 20,000 kWh (Summer Apr to Sep)</t>
  </si>
  <si>
    <t>Primary Voltage Rate Design</t>
  </si>
  <si>
    <t>SCHEDULES 10 &amp; 31</t>
  </si>
  <si>
    <t>Primary Voltage General Service</t>
  </si>
  <si>
    <t>SCHEDULE 35</t>
  </si>
  <si>
    <t>SCHEDULE 43</t>
  </si>
  <si>
    <t>Primary Voltage Interruptible Schools</t>
  </si>
  <si>
    <t>All Demand</t>
  </si>
  <si>
    <t>Critical Demand</t>
  </si>
  <si>
    <t>Sch 43 vs Sch 31 Winter Demand</t>
  </si>
  <si>
    <t>Target Dollars Sch 43</t>
  </si>
  <si>
    <t>Campus Rate Design</t>
  </si>
  <si>
    <t>SCHEDULE 40</t>
  </si>
  <si>
    <t>Campus Service Demand &gt; 3aMW</t>
  </si>
  <si>
    <t>Secondary Voltage Demand &lt;= 350 kW</t>
  </si>
  <si>
    <t xml:space="preserve"> = Sch 25</t>
  </si>
  <si>
    <t>Secondary Voltage Demand &gt; 350 kW</t>
  </si>
  <si>
    <t xml:space="preserve"> = Sch 26</t>
  </si>
  <si>
    <t xml:space="preserve"> = Sch 31</t>
  </si>
  <si>
    <t xml:space="preserve"> = Sch 49 Adjusted for Losses</t>
  </si>
  <si>
    <t>Temperature Adjustment - Secondary Voltage</t>
  </si>
  <si>
    <t>Temperature Adjustment - Primary Voltage</t>
  </si>
  <si>
    <t>Average Class Increase</t>
  </si>
  <si>
    <t>Secondary Voltage (Coincident)</t>
  </si>
  <si>
    <t xml:space="preserve"> = Sch 49 Adjusted for Losses &amp; Power Factor</t>
  </si>
  <si>
    <t>Primary Voltage (Coincident)</t>
  </si>
  <si>
    <t>Reactive Power Charge</t>
  </si>
  <si>
    <t>Distribution Demand Charge</t>
  </si>
  <si>
    <t>Direct Assignment</t>
  </si>
  <si>
    <t>Target Dollars Sch 40</t>
  </si>
  <si>
    <t>Difference (Set to zero in goal seek for rate spread)</t>
  </si>
  <si>
    <t>Demand and Energy Rate Calculation:</t>
  </si>
  <si>
    <t>Power Factor Calculation:</t>
  </si>
  <si>
    <t>HV Power Factor</t>
  </si>
  <si>
    <t>Load Research Loss Factors:</t>
  </si>
  <si>
    <t>Schedule 49</t>
  </si>
  <si>
    <t>Schedule 26</t>
  </si>
  <si>
    <t>Present Sch 40</t>
  </si>
  <si>
    <t>$/kVa</t>
  </si>
  <si>
    <t>Proposed Sch 49</t>
  </si>
  <si>
    <t>Proposed Sch 40</t>
  </si>
  <si>
    <t>HV Demand</t>
  </si>
  <si>
    <t>PV Demand</t>
  </si>
  <si>
    <t>SV Demand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</si>
  <si>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</si>
  <si>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</si>
  <si>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</si>
  <si>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</si>
  <si>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</si>
  <si>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Total Non-Coincident 
Distribution Charge</t>
  </si>
  <si>
    <t>Non-Coincident Transformer
Charge</t>
  </si>
  <si>
    <t>Non-Coincident Feeder
Charge</t>
  </si>
  <si>
    <t>Non-Coincident Substation
Charge</t>
  </si>
  <si>
    <t>High Voltage Rate Design</t>
  </si>
  <si>
    <t>SCHEDULE 46</t>
  </si>
  <si>
    <t>High Voltage Interruptible Service</t>
  </si>
  <si>
    <t>Annual Customer Count</t>
  </si>
  <si>
    <t xml:space="preserve"> = Sch 49</t>
  </si>
  <si>
    <t>Demand Charge (kVa)</t>
  </si>
  <si>
    <t>Annual Energy Minimum Charge</t>
  </si>
  <si>
    <t>Annual Demand Charge</t>
  </si>
  <si>
    <t>SCHEDULE 49</t>
  </si>
  <si>
    <t>High Voltage General Service</t>
  </si>
  <si>
    <t>Twelve Months Ended September 2016</t>
  </si>
  <si>
    <t>Total
YE 9-2016</t>
  </si>
  <si>
    <t>Sum of TY Ending 09/2016 - $</t>
  </si>
  <si>
    <t>Sum of 010/2015 $</t>
  </si>
  <si>
    <t>Sum of 011/2015 $</t>
  </si>
  <si>
    <t>Sum of 012/2015 $</t>
  </si>
  <si>
    <t>Sum of 001/2016 $</t>
  </si>
  <si>
    <t>Sum of 002/2016 $</t>
  </si>
  <si>
    <t>Sum of 003/2016 $</t>
  </si>
  <si>
    <t>Sum of 004/2016 $</t>
  </si>
  <si>
    <t>Sum of 005/2016 $</t>
  </si>
  <si>
    <t>Sum of 006/2016 $</t>
  </si>
  <si>
    <t>Sum of 007/2016 $</t>
  </si>
  <si>
    <t>Sum of 008/2016 $</t>
  </si>
  <si>
    <t>Sum of 009/2016 $</t>
  </si>
  <si>
    <t xml:space="preserve">     54.27000000</t>
  </si>
  <si>
    <t xml:space="preserve">      0.05909900</t>
  </si>
  <si>
    <t xml:space="preserve">      0.05714200</t>
  </si>
  <si>
    <t xml:space="preserve">      8.96000000</t>
  </si>
  <si>
    <t xml:space="preserve">      9.31000000</t>
  </si>
  <si>
    <t xml:space="preserve">     12.58000000</t>
  </si>
  <si>
    <t xml:space="preserve">     12.93000000</t>
  </si>
  <si>
    <t>ECI_95</t>
  </si>
  <si>
    <t>ECI_95A</t>
  </si>
  <si>
    <t>ECI_120</t>
  </si>
  <si>
    <t>ECI_129</t>
  </si>
  <si>
    <t>ECI_132</t>
  </si>
  <si>
    <t>ECI_133</t>
  </si>
  <si>
    <t>ECI_135</t>
  </si>
  <si>
    <t>ECI_136</t>
  </si>
  <si>
    <t>ECI_137</t>
  </si>
  <si>
    <t>ECI_151</t>
  </si>
  <si>
    <t>ECI_194</t>
  </si>
  <si>
    <t>Property Tax Estimate</t>
  </si>
  <si>
    <t>Sch 140 Property Tax Estimate - 5-15</t>
  </si>
  <si>
    <t>Sch 140 Property Tax Estimate - 5-16</t>
  </si>
  <si>
    <t>Total Property Tax Estimate</t>
  </si>
  <si>
    <t>ERF Estimate</t>
  </si>
  <si>
    <t>Sch 141 ERF kW - Winter</t>
  </si>
  <si>
    <t>Sch 141 ERF kW - Summer</t>
  </si>
  <si>
    <t>Sch 141 ERF All Reactive Power</t>
  </si>
  <si>
    <t>Total ERF Estimate</t>
  </si>
  <si>
    <t>Decoupling Estimate</t>
  </si>
  <si>
    <t>Sch 142 Decoupling All kW Eff 5-15</t>
  </si>
  <si>
    <t>Sch 142 Decoupling All kW Eff 5-16</t>
  </si>
  <si>
    <t>Total Decoupling Estimate</t>
  </si>
  <si>
    <t>Total 140, 141 &amp; 142 Rider Revenue</t>
  </si>
  <si>
    <t>Total Proforma Base Revenue</t>
  </si>
  <si>
    <t>Proforma + Riders</t>
  </si>
  <si>
    <t>Difference BW Base vs. Proforma &amp; Base</t>
  </si>
  <si>
    <t>Proforma Schedule 26P Revenue</t>
  </si>
  <si>
    <t>Primary Discount - Energy / Reactive Power</t>
  </si>
  <si>
    <t>Proforma Schedule 31 Revenue</t>
  </si>
  <si>
    <t xml:space="preserve">      0.05664900</t>
  </si>
  <si>
    <t xml:space="preserve">      8.64000000</t>
  </si>
  <si>
    <t xml:space="preserve">      9.29000000</t>
  </si>
  <si>
    <t xml:space="preserve">     12.53000000</t>
  </si>
  <si>
    <t>Sum of All Usage</t>
  </si>
  <si>
    <t>Year</t>
  </si>
  <si>
    <t>ECI_DM10CH</t>
  </si>
  <si>
    <t>ECI_DM10CH Total</t>
  </si>
  <si>
    <t>ECI_CONS</t>
  </si>
  <si>
    <t>ECI_FSTAX</t>
  </si>
  <si>
    <t>ECI_KVARH</t>
  </si>
  <si>
    <t>ECI_KW</t>
  </si>
  <si>
    <t>Development of Delivery Revenue Per Unit Rates ($/KW)</t>
  </si>
  <si>
    <t>Net Proforma Delivery Revenue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</si>
  <si>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</si>
  <si>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</si>
  <si>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</si>
  <si>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</si>
  <si>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</si>
  <si>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</si>
  <si>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Total Proforma Revenue</t>
  </si>
  <si>
    <t>Net Proforma Revenue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</si>
  <si>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</si>
  <si>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</si>
  <si>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</si>
  <si>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</si>
  <si>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</si>
  <si>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</si>
  <si>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</si>
  <si>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Delivered kWh</t>
  </si>
  <si>
    <t>Twelve Months ended September 2016</t>
  </si>
  <si>
    <t>Summary</t>
  </si>
  <si>
    <t>Rate Sch</t>
  </si>
  <si>
    <t>Residential Master Meters</t>
  </si>
  <si>
    <t>8 / 24</t>
  </si>
  <si>
    <t>Gen Svc &lt; 50kW</t>
  </si>
  <si>
    <t>11 / 25</t>
  </si>
  <si>
    <t>Gen Svc &gt;50 &amp; &lt; 350kW</t>
  </si>
  <si>
    <t>12 / 26</t>
  </si>
  <si>
    <t>Gen Svc &gt; 350kW</t>
  </si>
  <si>
    <t>Gen Svc &gt; 350kW (pv)</t>
  </si>
  <si>
    <t>Irrigation Service</t>
  </si>
  <si>
    <t>10 / 31</t>
  </si>
  <si>
    <t>General Service</t>
  </si>
  <si>
    <t>Interruptible Elec Schools</t>
  </si>
  <si>
    <t>Campus</t>
  </si>
  <si>
    <t>Interruptible Service</t>
  </si>
  <si>
    <t>Street &amp; Area Lighting</t>
  </si>
  <si>
    <t>449 / 459</t>
  </si>
  <si>
    <t>Retail Wheeling</t>
  </si>
  <si>
    <t>Total Retail Delivered Sales</t>
  </si>
  <si>
    <t>005</t>
  </si>
  <si>
    <t>Firm Resale</t>
  </si>
  <si>
    <t>Total Delivered Sales</t>
  </si>
  <si>
    <t>SOE</t>
  </si>
  <si>
    <t>Retail Sales</t>
  </si>
  <si>
    <t>Transportation</t>
  </si>
  <si>
    <t>Subtotal SOE</t>
  </si>
  <si>
    <t>Meter Adjustment</t>
  </si>
  <si>
    <t>Total Delivered</t>
  </si>
  <si>
    <t>Total PCA Costs Net of Other Revenue</t>
  </si>
  <si>
    <t>UE-170033 WP</t>
  </si>
  <si>
    <t>Exhibit JAP-39</t>
  </si>
  <si>
    <t>JAP-41 Page 1</t>
  </si>
  <si>
    <t>JAP-41 Page 2</t>
  </si>
  <si>
    <t>Development of Decoupled Delivery Revenue by Decoupling Group</t>
  </si>
  <si>
    <t>Development of Allowed Delivery Revenue Per Customer</t>
  </si>
  <si>
    <t>Development of Delivery Revenue Per Unit Rates ($/kWh)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</si>
  <si>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</si>
  <si>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</si>
  <si>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</si>
  <si>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</si>
  <si>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</si>
  <si>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</si>
  <si>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</si>
  <si>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</si>
  <si>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</si>
  <si>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</si>
  <si>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</si>
  <si>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</si>
  <si>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</si>
  <si>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</si>
  <si>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</si>
  <si>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</si>
  <si>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</si>
  <si>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</si>
  <si>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</si>
  <si>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</si>
  <si>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</si>
  <si>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</si>
  <si>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</si>
  <si>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</si>
  <si>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</si>
  <si>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</si>
  <si>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</si>
  <si>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</si>
  <si>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</si>
  <si>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</si>
  <si>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</si>
  <si>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</si>
  <si>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</si>
  <si>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</si>
  <si>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</si>
  <si>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</si>
  <si>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</si>
  <si>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</si>
  <si>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</si>
  <si>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</si>
  <si>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</si>
  <si>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</si>
  <si>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</si>
  <si>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</si>
  <si>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</si>
  <si>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</si>
  <si>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</si>
  <si>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</si>
  <si>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</si>
  <si>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</si>
  <si>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</si>
  <si>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</si>
  <si>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</si>
  <si>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</si>
  <si>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</si>
  <si>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</si>
  <si>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</si>
  <si>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</si>
  <si>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</si>
  <si>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Schedule 40</t>
  </si>
  <si>
    <t>No increase</t>
  </si>
  <si>
    <t>Same as Tail Block</t>
  </si>
  <si>
    <t>Winter Energy Block Rounding Adjustment =</t>
  </si>
  <si>
    <t>Increase Demand portion of energy by demand increase over tail block</t>
  </si>
  <si>
    <t>No Increase</t>
  </si>
  <si>
    <t>Remaining Increase %</t>
  </si>
  <si>
    <t>Demand Related Revenue</t>
  </si>
  <si>
    <t>First Energy Block Rounding Adjustment =</t>
  </si>
  <si>
    <t>Schedule 25 &amp; 29 Increase</t>
  </si>
  <si>
    <t>Winter Difference First Block vs. Second Block</t>
  </si>
  <si>
    <t>Sch 29 Increase</t>
  </si>
  <si>
    <t>Summer Difference First Block vs. Second Block</t>
  </si>
  <si>
    <t>Difference = Sch 25 Increase</t>
  </si>
  <si>
    <t>Winter First Block Billed kWh</t>
  </si>
  <si>
    <t>Remove Sch 25 Cust Revenue</t>
  </si>
  <si>
    <t>Summer First Block Billed kWh</t>
  </si>
  <si>
    <t>Remove Sch 25 Change in Unbilled Revenue</t>
  </si>
  <si>
    <t>Demand Related Rev Incl in Energy Rev</t>
  </si>
  <si>
    <t>Schedule 25 Net Increase to be applied to Demand</t>
  </si>
  <si>
    <t>kW &amp; Reactive Rev</t>
  </si>
  <si>
    <t>Present Demand Revenue</t>
  </si>
  <si>
    <t>Total Demand Revenue</t>
  </si>
  <si>
    <t>Remaining Increase to allocate to Demand &amp; Reactive Charge</t>
  </si>
  <si>
    <t>Avg Energy Block 1</t>
  </si>
  <si>
    <t>Avg Demand</t>
  </si>
  <si>
    <t>Energy Rounding Adjustment =</t>
  </si>
  <si>
    <t>Schedule 25 &amp; 29 Class Average Increase</t>
  </si>
  <si>
    <t>Avg Energy Block 2</t>
  </si>
  <si>
    <t>Target Dollars Sch 10/31</t>
  </si>
  <si>
    <t>Class Adjusted Average % Increase</t>
  </si>
  <si>
    <t>Target Dollars Sch 35</t>
  </si>
  <si>
    <t>Basic Charge Increase</t>
  </si>
  <si>
    <t>Net Increase</t>
  </si>
  <si>
    <t>Note:  Distribution Charge FCR at 7.60% ROR</t>
  </si>
  <si>
    <t>Remaining Difference</t>
  </si>
  <si>
    <t>Target $ Average Increase</t>
  </si>
  <si>
    <t>Target $ - Proposed Sch 46</t>
  </si>
  <si>
    <t>Rounding</t>
  </si>
  <si>
    <t>Remaining Difference %</t>
  </si>
  <si>
    <t>Increase by 48% per Settlement Stipulation</t>
  </si>
  <si>
    <t>Demand Charge Revenue</t>
  </si>
  <si>
    <t>Current Energy Revenue</t>
  </si>
  <si>
    <t>Unbilled Change Revenue</t>
  </si>
  <si>
    <t>Change to Energy Charge</t>
  </si>
  <si>
    <t>Exhibit A-1 Power Cost Baseline Rate</t>
  </si>
  <si>
    <t>Exhibit H to Settlement Agreement</t>
  </si>
  <si>
    <t>2017 GRC (Per Settlement)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</si>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</sst>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%"/>
    <numFmt numFmtId="168" formatCode="_(&quot;$&quot;* #,##0.00000_);_(&quot;$&quot;* \(#,##0.00000\);_(&quot;$&quot;* &quot;-&quot;??_);_(@_)"/>
    <numFmt numFmtId="169" formatCode="0.0%"/>
    <numFmt numFmtId="170" formatCode="&quot;$&quot;#,##0"/>
    <numFmt numFmtId="171" formatCode="_(&quot;$&quot;* #,##0.000000_);_(&quot;$&quot;* \(#,##0.000000\);_(&quot;$&quot;* &quot;-&quot;??_);_(@_)"/>
    <numFmt numFmtId="172" formatCode="#,##0;&quot;-&quot;#,##0"/>
    <numFmt numFmtId="173" formatCode="_(* #,##0.000000_);_(* \(#,##0.000000\);_(* &quot;-&quot;??_);_(@_)"/>
    <numFmt numFmtId="174" formatCode="0.000000"/>
    <numFmt numFmtId="175" formatCode="0.00_)"/>
    <numFmt numFmtId="176" formatCode="0.000000_)"/>
    <numFmt numFmtId="177" formatCode="0.000000000_)"/>
    <numFmt numFmtId="178" formatCode="0.0000%"/>
    <numFmt numFmtId="179" formatCode="&quot;$ &quot;#,##0.00;&quot;$ -&quot;#,##0.00"/>
    <numFmt numFmtId="180" formatCode="_(&quot;$&quot;* #,##0.000_);_(&quot;$&quot;* \(#,##0.000\);_(&quot;$&quot;* &quot;-&quot;??_);_(@_)"/>
    <numFmt numFmtId="181" formatCode="_(* #,##0.0000000_);_(* \(#,##0.0000000\);_(* &quot;-&quot;??_);_(@_)"/>
    <numFmt numFmtId="182" formatCode="&quot;Adj.&quot;\ 0.00"/>
    <numFmt numFmtId="183" formatCode="0.000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0"/>
      <name val="Arial"/>
    </font>
    <font>
      <sz val="12"/>
      <color theme="1"/>
      <name val="Times New Roman"/>
      <family val="1"/>
    </font>
    <font>
      <b/>
      <sz val="14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rgb="FF00B050"/>
      <name val="Times New Roman"/>
      <family val="1"/>
    </font>
    <font>
      <b/>
      <sz val="14"/>
      <name val="Times New Roman"/>
      <family val="1"/>
    </font>
    <font>
      <sz val="12"/>
      <color indexed="5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56"/>
      <name val="Arial"/>
      <family val="2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1" fillId="0" borderId="0"/>
  </cellStyleXfs>
  <cellXfs count="5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/>
    <xf numFmtId="0" fontId="2" fillId="0" borderId="0" xfId="0" applyFont="1" applyAlignment="1"/>
    <xf numFmtId="4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10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1" fillId="0" borderId="0" xfId="0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165" fontId="4" fillId="0" borderId="4" xfId="0" applyNumberFormat="1" applyFont="1" applyFill="1" applyBorder="1"/>
    <xf numFmtId="165" fontId="4" fillId="0" borderId="0" xfId="0" applyNumberFormat="1" applyFont="1" applyFill="1"/>
    <xf numFmtId="10" fontId="1" fillId="0" borderId="0" xfId="0" applyNumberFormat="1" applyFont="1" applyFill="1"/>
    <xf numFmtId="0" fontId="4" fillId="0" borderId="4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8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10" fillId="0" borderId="0" xfId="0" applyFont="1" applyFill="1"/>
    <xf numFmtId="0" fontId="6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71" fontId="0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5" fontId="1" fillId="0" borderId="0" xfId="0" applyNumberFormat="1" applyFont="1" applyFill="1"/>
    <xf numFmtId="164" fontId="8" fillId="0" borderId="0" xfId="0" applyNumberFormat="1" applyFont="1" applyFill="1" applyBorder="1"/>
    <xf numFmtId="165" fontId="4" fillId="0" borderId="3" xfId="0" applyNumberFormat="1" applyFont="1" applyFill="1" applyBorder="1"/>
    <xf numFmtId="165" fontId="8" fillId="0" borderId="4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71" fontId="4" fillId="0" borderId="1" xfId="0" applyNumberFormat="1" applyFont="1" applyFill="1" applyBorder="1"/>
    <xf numFmtId="44" fontId="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 vertical="top"/>
    </xf>
    <xf numFmtId="0" fontId="12" fillId="0" borderId="0" xfId="0" applyFont="1"/>
    <xf numFmtId="0" fontId="12" fillId="0" borderId="6" xfId="0" applyFont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172" fontId="12" fillId="2" borderId="6" xfId="0" applyNumberFormat="1" applyFont="1" applyFill="1" applyBorder="1" applyAlignment="1">
      <alignment horizontal="right" vertical="top"/>
    </xf>
    <xf numFmtId="172" fontId="12" fillId="0" borderId="6" xfId="0" applyNumberFormat="1" applyFont="1" applyBorder="1" applyAlignment="1">
      <alignment horizontal="right" vertical="top"/>
    </xf>
    <xf numFmtId="0" fontId="12" fillId="2" borderId="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6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0" fillId="0" borderId="0" xfId="0" applyNumberFormat="1" applyFont="1"/>
    <xf numFmtId="164" fontId="12" fillId="0" borderId="0" xfId="0" applyNumberFormat="1" applyFont="1"/>
    <xf numFmtId="0" fontId="1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wrapText="1"/>
    </xf>
    <xf numFmtId="41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/>
    <xf numFmtId="0" fontId="3" fillId="0" borderId="0" xfId="0" applyFont="1" applyAlignment="1"/>
    <xf numFmtId="41" fontId="2" fillId="0" borderId="0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wrapText="1"/>
    </xf>
    <xf numFmtId="0" fontId="14" fillId="3" borderId="0" xfId="0" applyNumberFormat="1" applyFont="1" applyFill="1" applyAlignment="1"/>
    <xf numFmtId="0" fontId="2" fillId="3" borderId="4" xfId="0" applyNumberFormat="1" applyFont="1" applyFill="1" applyBorder="1" applyAlignment="1">
      <alignment horizontal="center" wrapText="1"/>
    </xf>
    <xf numFmtId="0" fontId="2" fillId="3" borderId="0" xfId="0" applyNumberFormat="1" applyFont="1" applyFill="1" applyAlignment="1">
      <alignment wrapText="1"/>
    </xf>
    <xf numFmtId="0" fontId="2" fillId="3" borderId="0" xfId="0" applyNumberFormat="1" applyFont="1" applyFill="1" applyAlignment="1">
      <alignment horizontal="center" wrapText="1"/>
    </xf>
    <xf numFmtId="165" fontId="7" fillId="0" borderId="0" xfId="0" quotePrefix="1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/>
    <xf numFmtId="164" fontId="4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1" fillId="3" borderId="0" xfId="0" applyNumberFormat="1" applyFont="1" applyFill="1" applyAlignment="1"/>
    <xf numFmtId="0" fontId="2" fillId="3" borderId="0" xfId="0" quotePrefix="1" applyNumberFormat="1" applyFont="1" applyFill="1" applyAlignment="1">
      <alignment horizontal="left"/>
    </xf>
    <xf numFmtId="173" fontId="4" fillId="0" borderId="0" xfId="0" quotePrefix="1" applyNumberFormat="1" applyFont="1" applyFill="1" applyAlignment="1">
      <alignment horizontal="left"/>
    </xf>
    <xf numFmtId="173" fontId="1" fillId="3" borderId="0" xfId="0" applyNumberFormat="1" applyFont="1" applyFill="1" applyAlignment="1"/>
    <xf numFmtId="0" fontId="2" fillId="3" borderId="0" xfId="0" quotePrefix="1" applyNumberFormat="1" applyFont="1" applyFill="1" applyAlignment="1">
      <alignment horizontal="left" indent="1"/>
    </xf>
    <xf numFmtId="9" fontId="14" fillId="0" borderId="15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0" fontId="14" fillId="0" borderId="0" xfId="0" applyNumberFormat="1" applyFont="1" applyFill="1" applyAlignment="1"/>
    <xf numFmtId="173" fontId="1" fillId="0" borderId="0" xfId="0" applyNumberFormat="1" applyFont="1" applyFill="1" applyAlignment="1"/>
    <xf numFmtId="173" fontId="1" fillId="0" borderId="0" xfId="0" applyNumberFormat="1" applyFont="1" applyFill="1" applyAlignment="1"/>
    <xf numFmtId="0" fontId="14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165" fontId="8" fillId="0" borderId="0" xfId="0" quotePrefix="1" applyNumberFormat="1" applyFont="1" applyFill="1" applyAlignment="1">
      <alignment horizontal="left"/>
    </xf>
    <xf numFmtId="0" fontId="23" fillId="0" borderId="0" xfId="0" applyFont="1" applyFill="1" applyBorder="1"/>
    <xf numFmtId="3" fontId="23" fillId="0" borderId="0" xfId="0" applyNumberFormat="1" applyFont="1" applyFill="1" applyBorder="1"/>
    <xf numFmtId="0" fontId="23" fillId="0" borderId="0" xfId="0" applyFont="1" applyFill="1"/>
    <xf numFmtId="0" fontId="16" fillId="0" borderId="0" xfId="0" applyFont="1" applyFill="1" applyAlignment="1"/>
    <xf numFmtId="0" fontId="22" fillId="0" borderId="0" xfId="0" quotePrefix="1" applyNumberFormat="1" applyFont="1" applyFill="1" applyAlignment="1"/>
    <xf numFmtId="0" fontId="24" fillId="0" borderId="0" xfId="0" quotePrefix="1" applyFont="1" applyFill="1" applyAlignment="1" applyProtection="1"/>
    <xf numFmtId="0" fontId="24" fillId="0" borderId="0" xfId="0" quotePrefix="1" applyFont="1" applyFill="1" applyAlignment="1" applyProtection="1">
      <alignment horizontal="centerContinuous"/>
    </xf>
    <xf numFmtId="0" fontId="22" fillId="0" borderId="0" xfId="0" applyFont="1" applyFill="1" applyAlignment="1" applyProtection="1">
      <alignment horizontal="centerContinuous"/>
    </xf>
    <xf numFmtId="37" fontId="22" fillId="0" borderId="0" xfId="0" applyNumberFormat="1" applyFont="1" applyFill="1" applyAlignment="1" applyProtection="1">
      <alignment horizontal="centerContinuous"/>
    </xf>
    <xf numFmtId="3" fontId="23" fillId="0" borderId="0" xfId="0" applyNumberFormat="1" applyFont="1" applyFill="1"/>
    <xf numFmtId="0" fontId="22" fillId="0" borderId="0" xfId="0" applyFont="1" applyFill="1" applyProtection="1"/>
    <xf numFmtId="37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37" fontId="24" fillId="0" borderId="21" xfId="0" applyNumberFormat="1" applyFont="1" applyFill="1" applyBorder="1" applyAlignment="1" applyProtection="1">
      <alignment horizontal="center"/>
    </xf>
    <xf numFmtId="0" fontId="24" fillId="0" borderId="21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quotePrefix="1" applyFont="1" applyFill="1" applyAlignment="1" applyProtection="1">
      <alignment horizontal="left"/>
    </xf>
    <xf numFmtId="0" fontId="26" fillId="0" borderId="0" xfId="0" applyFont="1" applyFill="1" applyProtection="1"/>
    <xf numFmtId="37" fontId="26" fillId="0" borderId="0" xfId="0" applyNumberFormat="1" applyFont="1" applyFill="1" applyProtection="1"/>
    <xf numFmtId="0" fontId="26" fillId="0" borderId="0" xfId="0" quotePrefix="1" applyFont="1" applyFill="1" applyAlignment="1" applyProtection="1">
      <alignment horizontal="left"/>
    </xf>
    <xf numFmtId="3" fontId="19" fillId="0" borderId="0" xfId="0" applyNumberFormat="1" applyFont="1" applyFill="1" applyBorder="1" applyAlignment="1">
      <alignment horizontal="center"/>
    </xf>
    <xf numFmtId="44" fontId="27" fillId="0" borderId="0" xfId="0" applyNumberFormat="1" applyFont="1" applyFill="1" applyProtection="1">
      <protection locked="0"/>
    </xf>
    <xf numFmtId="5" fontId="26" fillId="0" borderId="0" xfId="0" applyNumberFormat="1" applyFont="1" applyFill="1" applyProtection="1"/>
    <xf numFmtId="0" fontId="26" fillId="0" borderId="0" xfId="0" applyFont="1" applyFill="1" applyAlignment="1" applyProtection="1">
      <alignment horizontal="left" indent="2"/>
    </xf>
    <xf numFmtId="37" fontId="26" fillId="0" borderId="1" xfId="0" applyNumberFormat="1" applyFont="1" applyFill="1" applyBorder="1" applyProtection="1"/>
    <xf numFmtId="7" fontId="27" fillId="0" borderId="0" xfId="0" applyNumberFormat="1" applyFont="1" applyFill="1" applyProtection="1">
      <protection locked="0"/>
    </xf>
    <xf numFmtId="5" fontId="26" fillId="0" borderId="1" xfId="0" applyNumberFormat="1" applyFont="1" applyFill="1" applyBorder="1" applyProtection="1"/>
    <xf numFmtId="37" fontId="26" fillId="0" borderId="0" xfId="0" applyNumberFormat="1" applyFont="1" applyFill="1" applyBorder="1" applyProtection="1"/>
    <xf numFmtId="5" fontId="26" fillId="0" borderId="0" xfId="0" applyNumberFormat="1" applyFont="1" applyFill="1" applyBorder="1" applyProtection="1"/>
    <xf numFmtId="0" fontId="26" fillId="0" borderId="0" xfId="0" quotePrefix="1" applyFont="1" applyFill="1" applyAlignment="1" applyProtection="1">
      <alignment horizontal="left" indent="1"/>
    </xf>
    <xf numFmtId="171" fontId="27" fillId="0" borderId="0" xfId="0" applyNumberFormat="1" applyFont="1" applyFill="1" applyProtection="1">
      <protection locked="0"/>
    </xf>
    <xf numFmtId="171" fontId="28" fillId="0" borderId="0" xfId="0" applyNumberFormat="1" applyFont="1" applyFill="1" applyProtection="1">
      <protection locked="0"/>
    </xf>
    <xf numFmtId="0" fontId="23" fillId="0" borderId="0" xfId="0" quotePrefix="1" applyFont="1" applyFill="1" applyAlignment="1">
      <alignment wrapText="1"/>
    </xf>
    <xf numFmtId="5" fontId="26" fillId="0" borderId="0" xfId="0" applyNumberFormat="1" applyFont="1" applyFill="1" applyProtection="1">
      <protection locked="0"/>
    </xf>
    <xf numFmtId="0" fontId="26" fillId="0" borderId="0" xfId="0" applyFont="1" applyFill="1" applyAlignment="1" applyProtection="1">
      <alignment horizontal="left" indent="1"/>
    </xf>
    <xf numFmtId="164" fontId="26" fillId="0" borderId="0" xfId="0" applyNumberFormat="1" applyFont="1" applyFill="1" applyProtection="1"/>
    <xf numFmtId="0" fontId="23" fillId="0" borderId="0" xfId="0" applyFont="1" applyFill="1" applyProtection="1"/>
    <xf numFmtId="37" fontId="26" fillId="0" borderId="3" xfId="0" applyNumberFormat="1" applyFont="1" applyFill="1" applyBorder="1" applyProtection="1"/>
    <xf numFmtId="5" fontId="26" fillId="0" borderId="3" xfId="0" applyNumberFormat="1" applyFont="1" applyFill="1" applyBorder="1" applyProtection="1"/>
    <xf numFmtId="5" fontId="26" fillId="0" borderId="22" xfId="0" applyNumberFormat="1" applyFont="1" applyFill="1" applyBorder="1" applyProtection="1"/>
    <xf numFmtId="37" fontId="23" fillId="0" borderId="0" xfId="0" applyNumberFormat="1" applyFont="1" applyFill="1" applyBorder="1" applyProtection="1"/>
    <xf numFmtId="37" fontId="23" fillId="0" borderId="0" xfId="0" applyNumberFormat="1" applyFont="1" applyFill="1" applyProtection="1"/>
    <xf numFmtId="5" fontId="23" fillId="0" borderId="0" xfId="0" applyNumberFormat="1" applyFont="1" applyFill="1" applyProtection="1"/>
    <xf numFmtId="0" fontId="20" fillId="0" borderId="0" xfId="0" quotePrefix="1" applyFont="1" applyAlignment="1">
      <alignment horizontal="right"/>
    </xf>
    <xf numFmtId="171" fontId="20" fillId="0" borderId="0" xfId="0" applyNumberFormat="1" applyFont="1" applyFill="1"/>
    <xf numFmtId="5" fontId="23" fillId="0" borderId="0" xfId="0" applyNumberFormat="1" applyFont="1" applyFill="1"/>
    <xf numFmtId="10" fontId="0" fillId="0" borderId="0" xfId="0" applyNumberFormat="1" applyFont="1" applyFill="1" applyBorder="1"/>
    <xf numFmtId="0" fontId="19" fillId="0" borderId="0" xfId="0" applyFont="1" applyFill="1"/>
    <xf numFmtId="176" fontId="26" fillId="0" borderId="0" xfId="0" applyNumberFormat="1" applyFont="1" applyFill="1" applyProtection="1"/>
    <xf numFmtId="171" fontId="0" fillId="0" borderId="0" xfId="0" applyNumberFormat="1" applyFont="1" applyFill="1"/>
    <xf numFmtId="0" fontId="23" fillId="0" borderId="0" xfId="0" quotePrefix="1" applyFont="1" applyFill="1" applyAlignment="1">
      <alignment horizontal="left"/>
    </xf>
    <xf numFmtId="0" fontId="19" fillId="0" borderId="0" xfId="0" applyFont="1" applyFill="1" applyBorder="1"/>
    <xf numFmtId="3" fontId="19" fillId="0" borderId="0" xfId="0" applyNumberFormat="1" applyFont="1" applyFill="1" applyBorder="1"/>
    <xf numFmtId="0" fontId="29" fillId="0" borderId="0" xfId="0" applyFont="1" applyFill="1" applyAlignment="1"/>
    <xf numFmtId="0" fontId="24" fillId="0" borderId="0" xfId="0" quotePrefix="1" applyNumberFormat="1" applyFont="1" applyFill="1" applyAlignment="1"/>
    <xf numFmtId="0" fontId="24" fillId="0" borderId="0" xfId="0" applyFont="1" applyFill="1" applyAlignment="1" applyProtection="1">
      <alignment horizontal="centerContinuous"/>
    </xf>
    <xf numFmtId="37" fontId="24" fillId="0" borderId="0" xfId="0" applyNumberFormat="1" applyFont="1" applyFill="1" applyAlignment="1" applyProtection="1">
      <alignment horizontal="centerContinuous"/>
    </xf>
    <xf numFmtId="3" fontId="19" fillId="0" borderId="0" xfId="0" applyNumberFormat="1" applyFont="1" applyFill="1"/>
    <xf numFmtId="5" fontId="19" fillId="0" borderId="0" xfId="0" applyNumberFormat="1" applyFont="1" applyFill="1"/>
    <xf numFmtId="37" fontId="19" fillId="0" borderId="0" xfId="0" applyNumberFormat="1" applyFont="1" applyFill="1" applyProtection="1"/>
    <xf numFmtId="10" fontId="19" fillId="0" borderId="0" xfId="0" applyNumberFormat="1" applyFont="1" applyFill="1"/>
    <xf numFmtId="9" fontId="19" fillId="0" borderId="0" xfId="0" applyNumberFormat="1" applyFont="1" applyFill="1"/>
    <xf numFmtId="10" fontId="19" fillId="0" borderId="0" xfId="0" applyNumberFormat="1" applyFont="1" applyFill="1"/>
    <xf numFmtId="0" fontId="19" fillId="0" borderId="0" xfId="0" applyFont="1" applyFill="1" applyProtection="1"/>
    <xf numFmtId="5" fontId="19" fillId="0" borderId="0" xfId="0" applyNumberFormat="1" applyFont="1" applyFill="1" applyBorder="1" applyProtection="1"/>
    <xf numFmtId="169" fontId="19" fillId="0" borderId="0" xfId="0" applyNumberFormat="1" applyFont="1" applyFill="1"/>
    <xf numFmtId="0" fontId="27" fillId="0" borderId="0" xfId="0" applyFont="1" applyFill="1" applyProtection="1">
      <protection locked="0"/>
    </xf>
    <xf numFmtId="9" fontId="19" fillId="0" borderId="0" xfId="0" applyNumberFormat="1" applyFont="1" applyFill="1"/>
    <xf numFmtId="43" fontId="19" fillId="0" borderId="0" xfId="0" applyNumberFormat="1" applyFont="1" applyFill="1"/>
    <xf numFmtId="37" fontId="19" fillId="0" borderId="0" xfId="0" applyNumberFormat="1" applyFont="1" applyFill="1"/>
    <xf numFmtId="175" fontId="27" fillId="0" borderId="0" xfId="0" applyNumberFormat="1" applyFont="1" applyFill="1" applyProtection="1">
      <protection locked="0"/>
    </xf>
    <xf numFmtId="37" fontId="19" fillId="0" borderId="4" xfId="0" applyNumberFormat="1" applyFont="1" applyFill="1" applyBorder="1" applyProtection="1"/>
    <xf numFmtId="37" fontId="19" fillId="0" borderId="22" xfId="0" applyNumberFormat="1" applyFont="1" applyFill="1" applyBorder="1" applyProtection="1"/>
    <xf numFmtId="0" fontId="26" fillId="0" borderId="0" xfId="0" applyFont="1" applyFill="1" applyBorder="1" applyProtection="1"/>
    <xf numFmtId="5" fontId="19" fillId="0" borderId="22" xfId="0" applyNumberFormat="1" applyFont="1" applyFill="1" applyBorder="1" applyProtection="1"/>
    <xf numFmtId="0" fontId="19" fillId="0" borderId="23" xfId="0" applyFont="1" applyFill="1" applyBorder="1"/>
    <xf numFmtId="5" fontId="19" fillId="0" borderId="5" xfId="0" applyNumberFormat="1" applyFont="1" applyFill="1" applyBorder="1"/>
    <xf numFmtId="10" fontId="19" fillId="0" borderId="0" xfId="0" applyNumberFormat="1" applyFont="1" applyFill="1" applyBorder="1"/>
    <xf numFmtId="37" fontId="19" fillId="0" borderId="0" xfId="0" applyNumberFormat="1" applyFont="1" applyFill="1" applyBorder="1" applyProtection="1"/>
    <xf numFmtId="164" fontId="19" fillId="0" borderId="0" xfId="0" applyNumberFormat="1" applyFont="1" applyFill="1" applyBorder="1" applyProtection="1"/>
    <xf numFmtId="0" fontId="19" fillId="0" borderId="17" xfId="0" applyFont="1" applyFill="1" applyBorder="1"/>
    <xf numFmtId="5" fontId="19" fillId="0" borderId="4" xfId="0" applyNumberFormat="1" applyFont="1" applyFill="1" applyBorder="1"/>
    <xf numFmtId="37" fontId="27" fillId="0" borderId="0" xfId="0" applyNumberFormat="1" applyFont="1" applyFill="1" applyProtection="1"/>
    <xf numFmtId="44" fontId="26" fillId="0" borderId="0" xfId="0" applyNumberFormat="1" applyFont="1" applyFill="1" applyProtection="1">
      <protection locked="0"/>
    </xf>
    <xf numFmtId="5" fontId="19" fillId="0" borderId="0" xfId="0" applyNumberFormat="1" applyFont="1" applyFill="1" applyProtection="1"/>
    <xf numFmtId="7" fontId="25" fillId="0" borderId="0" xfId="0" applyNumberFormat="1" applyFont="1" applyFill="1" applyProtection="1"/>
    <xf numFmtId="171" fontId="15" fillId="0" borderId="0" xfId="0" applyNumberFormat="1" applyFont="1" applyFill="1" applyProtection="1">
      <protection locked="0"/>
    </xf>
    <xf numFmtId="37" fontId="19" fillId="0" borderId="1" xfId="0" applyNumberFormat="1" applyFont="1" applyFill="1" applyBorder="1" applyProtection="1"/>
    <xf numFmtId="7" fontId="26" fillId="0" borderId="0" xfId="0" applyNumberFormat="1" applyFont="1" applyFill="1" applyProtection="1">
      <protection locked="0"/>
    </xf>
    <xf numFmtId="0" fontId="15" fillId="0" borderId="0" xfId="0" applyFont="1" applyFill="1" applyBorder="1"/>
    <xf numFmtId="5" fontId="19" fillId="0" borderId="1" xfId="0" applyNumberFormat="1" applyFont="1" applyFill="1" applyBorder="1" applyProtection="1"/>
    <xf numFmtId="165" fontId="15" fillId="0" borderId="0" xfId="0" applyNumberFormat="1" applyFont="1" applyFill="1" applyBorder="1"/>
    <xf numFmtId="0" fontId="19" fillId="0" borderId="23" xfId="0" quotePrefix="1" applyFont="1" applyFill="1" applyBorder="1" applyAlignment="1">
      <alignment horizontal="left"/>
    </xf>
    <xf numFmtId="177" fontId="19" fillId="0" borderId="0" xfId="0" applyNumberFormat="1" applyFont="1" applyFill="1" applyProtection="1"/>
    <xf numFmtId="3" fontId="31" fillId="0" borderId="4" xfId="0" quotePrefix="1" applyNumberFormat="1" applyFont="1" applyFill="1" applyBorder="1" applyAlignment="1"/>
    <xf numFmtId="3" fontId="31" fillId="0" borderId="4" xfId="0" applyNumberFormat="1" applyFont="1" applyFill="1" applyBorder="1" applyAlignment="1"/>
    <xf numFmtId="0" fontId="20" fillId="0" borderId="0" xfId="0" applyFont="1" applyAlignment="1">
      <alignment horizontal="right"/>
    </xf>
    <xf numFmtId="3" fontId="15" fillId="0" borderId="0" xfId="0" applyNumberFormat="1" applyFont="1" applyFill="1" applyBorder="1"/>
    <xf numFmtId="0" fontId="15" fillId="0" borderId="0" xfId="0" applyFont="1" applyFill="1"/>
    <xf numFmtId="3" fontId="15" fillId="0" borderId="0" xfId="0" applyNumberFormat="1" applyFont="1" applyFill="1"/>
    <xf numFmtId="3" fontId="19" fillId="0" borderId="0" xfId="0" quotePrefix="1" applyNumberFormat="1" applyFont="1" applyFill="1" applyBorder="1" applyAlignment="1">
      <alignment horizontal="left"/>
    </xf>
    <xf numFmtId="165" fontId="19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0" fontId="19" fillId="0" borderId="0" xfId="0" applyFont="1" applyFill="1" applyAlignment="1" applyProtection="1">
      <alignment horizontal="left" indent="1"/>
    </xf>
    <xf numFmtId="0" fontId="32" fillId="0" borderId="9" xfId="0" quotePrefix="1" applyFont="1" applyFill="1" applyBorder="1" applyAlignment="1">
      <alignment horizontal="left"/>
    </xf>
    <xf numFmtId="44" fontId="32" fillId="0" borderId="0" xfId="0" applyNumberFormat="1" applyFont="1" applyFill="1" applyBorder="1"/>
    <xf numFmtId="0" fontId="32" fillId="0" borderId="10" xfId="0" applyFont="1" applyFill="1" applyBorder="1"/>
    <xf numFmtId="0" fontId="32" fillId="0" borderId="11" xfId="0" quotePrefix="1" applyFont="1" applyFill="1" applyBorder="1" applyAlignment="1">
      <alignment horizontal="left"/>
    </xf>
    <xf numFmtId="0" fontId="20" fillId="0" borderId="0" xfId="0" quotePrefix="1" applyFont="1" applyFill="1" applyBorder="1" applyAlignment="1">
      <alignment horizontal="left"/>
    </xf>
    <xf numFmtId="9" fontId="20" fillId="0" borderId="0" xfId="0" applyNumberFormat="1" applyFont="1" applyFill="1" applyBorder="1"/>
    <xf numFmtId="171" fontId="20" fillId="0" borderId="0" xfId="0" applyNumberFormat="1" applyFont="1" applyFill="1" applyBorder="1"/>
    <xf numFmtId="171" fontId="26" fillId="0" borderId="0" xfId="0" applyNumberFormat="1" applyFont="1" applyFill="1" applyProtection="1">
      <protection locked="0"/>
    </xf>
    <xf numFmtId="168" fontId="26" fillId="0" borderId="0" xfId="0" applyNumberFormat="1" applyFont="1" applyFill="1" applyProtection="1">
      <protection locked="0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5" fontId="26" fillId="0" borderId="4" xfId="0" applyNumberFormat="1" applyFont="1" applyFill="1" applyBorder="1" applyProtection="1"/>
    <xf numFmtId="0" fontId="26" fillId="0" borderId="0" xfId="0" quotePrefix="1" applyFont="1" applyFill="1" applyAlignment="1" applyProtection="1">
      <alignment horizontal="left" indent="3"/>
    </xf>
    <xf numFmtId="0" fontId="26" fillId="0" borderId="0" xfId="0" quotePrefix="1" applyFont="1" applyFill="1" applyAlignment="1" applyProtection="1">
      <alignment horizontal="left" indent="2"/>
    </xf>
    <xf numFmtId="0" fontId="1" fillId="0" borderId="0" xfId="0" quotePrefix="1" applyFont="1" applyFill="1" applyBorder="1" applyAlignment="1">
      <alignment horizontal="left" indent="1"/>
    </xf>
    <xf numFmtId="10" fontId="1" fillId="0" borderId="0" xfId="0" applyNumberFormat="1" applyFont="1" applyFill="1"/>
    <xf numFmtId="37" fontId="34" fillId="0" borderId="0" xfId="0" quotePrefix="1" applyNumberFormat="1" applyFont="1" applyFill="1" applyAlignment="1" applyProtection="1">
      <alignment horizontal="center"/>
    </xf>
    <xf numFmtId="0" fontId="34" fillId="0" borderId="0" xfId="0" applyFont="1" applyFill="1"/>
    <xf numFmtId="0" fontId="34" fillId="0" borderId="0" xfId="0" quotePrefix="1" applyFont="1" applyFill="1" applyAlignment="1">
      <alignment horizontal="left"/>
    </xf>
    <xf numFmtId="0" fontId="26" fillId="0" borderId="0" xfId="0" quotePrefix="1" applyFont="1" applyFill="1" applyAlignment="1" applyProtection="1">
      <alignment horizontal="left" indent="4"/>
    </xf>
    <xf numFmtId="37" fontId="24" fillId="0" borderId="27" xfId="0" applyNumberFormat="1" applyFont="1" applyFill="1" applyBorder="1" applyAlignment="1" applyProtection="1">
      <alignment horizontal="center" wrapText="1"/>
    </xf>
    <xf numFmtId="0" fontId="34" fillId="0" borderId="28" xfId="0" applyFont="1" applyFill="1" applyBorder="1" applyAlignment="1">
      <alignment horizontal="center" wrapText="1"/>
    </xf>
    <xf numFmtId="37" fontId="24" fillId="0" borderId="28" xfId="0" applyNumberFormat="1" applyFont="1" applyFill="1" applyBorder="1" applyAlignment="1" applyProtection="1">
      <alignment horizontal="center" wrapText="1"/>
    </xf>
    <xf numFmtId="37" fontId="24" fillId="0" borderId="28" xfId="0" quotePrefix="1" applyNumberFormat="1" applyFont="1" applyFill="1" applyBorder="1" applyAlignment="1" applyProtection="1">
      <alignment horizontal="center" wrapText="1"/>
    </xf>
    <xf numFmtId="37" fontId="24" fillId="0" borderId="29" xfId="0" quotePrefix="1" applyNumberFormat="1" applyFont="1" applyFill="1" applyBorder="1" applyAlignment="1" applyProtection="1">
      <alignment horizontal="center" wrapText="1"/>
    </xf>
    <xf numFmtId="3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44" fontId="0" fillId="0" borderId="0" xfId="0" applyNumberFormat="1" applyFont="1" applyFill="1"/>
    <xf numFmtId="10" fontId="23" fillId="0" borderId="0" xfId="0" applyNumberFormat="1" applyFont="1" applyFill="1"/>
    <xf numFmtId="171" fontId="27" fillId="0" borderId="0" xfId="0" quotePrefix="1" applyNumberFormat="1" applyFont="1" applyFill="1" applyAlignment="1" applyProtection="1">
      <alignment horizontal="left"/>
      <protection locked="0"/>
    </xf>
    <xf numFmtId="44" fontId="28" fillId="0" borderId="0" xfId="0" applyNumberFormat="1" applyFont="1" applyFill="1" applyProtection="1">
      <protection locked="0"/>
    </xf>
    <xf numFmtId="9" fontId="1" fillId="0" borderId="0" xfId="0" applyNumberFormat="1" applyFont="1" applyFill="1"/>
    <xf numFmtId="44" fontId="1" fillId="0" borderId="0" xfId="0" applyNumberFormat="1" applyFont="1" applyFill="1"/>
    <xf numFmtId="7" fontId="27" fillId="0" borderId="0" xfId="0" applyNumberFormat="1" applyFont="1" applyFill="1" applyProtection="1"/>
    <xf numFmtId="7" fontId="19" fillId="0" borderId="0" xfId="0" applyNumberFormat="1" applyFont="1" applyFill="1" applyProtection="1"/>
    <xf numFmtId="0" fontId="12" fillId="0" borderId="0" xfId="0" applyFont="1"/>
    <xf numFmtId="0" fontId="2" fillId="0" borderId="4" xfId="0" quotePrefix="1" applyFont="1" applyBorder="1" applyAlignment="1">
      <alignment horizontal="center" wrapText="1"/>
    </xf>
    <xf numFmtId="17" fontId="2" fillId="0" borderId="4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quotePrefix="1" applyFont="1" applyBorder="1" applyAlignment="1">
      <alignment horizontal="left" wrapText="1"/>
    </xf>
    <xf numFmtId="0" fontId="12" fillId="0" borderId="0" xfId="0" applyFont="1" applyAlignment="1">
      <alignment wrapText="1"/>
    </xf>
    <xf numFmtId="44" fontId="8" fillId="0" borderId="0" xfId="0" applyNumberFormat="1" applyFont="1" applyFill="1" applyAlignment="1"/>
    <xf numFmtId="171" fontId="0" fillId="0" borderId="0" xfId="0" applyNumberFormat="1" applyFont="1"/>
    <xf numFmtId="165" fontId="0" fillId="0" borderId="0" xfId="0" applyNumberFormat="1" applyFont="1"/>
    <xf numFmtId="171" fontId="0" fillId="0" borderId="0" xfId="0" applyNumberFormat="1" applyFont="1" applyFill="1"/>
    <xf numFmtId="0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 wrapText="1"/>
    </xf>
    <xf numFmtId="164" fontId="26" fillId="0" borderId="0" xfId="1" applyNumberFormat="1" applyFont="1" applyFill="1" applyProtection="1"/>
    <xf numFmtId="0" fontId="0" fillId="0" borderId="0" xfId="0" applyFill="1" applyProtection="1"/>
    <xf numFmtId="0" fontId="0" fillId="0" borderId="23" xfId="0" applyFill="1" applyBorder="1"/>
    <xf numFmtId="170" fontId="0" fillId="0" borderId="5" xfId="0" applyNumberFormat="1" applyFill="1" applyBorder="1"/>
    <xf numFmtId="10" fontId="0" fillId="0" borderId="24" xfId="3" applyNumberFormat="1" applyFont="1" applyFill="1" applyBorder="1"/>
    <xf numFmtId="37" fontId="0" fillId="0" borderId="0" xfId="0" applyNumberFormat="1" applyFont="1" applyFill="1" applyBorder="1" applyProtection="1"/>
    <xf numFmtId="0" fontId="0" fillId="0" borderId="17" xfId="0" applyFill="1" applyBorder="1"/>
    <xf numFmtId="170" fontId="0" fillId="0" borderId="4" xfId="2" applyNumberFormat="1" applyFont="1" applyFill="1" applyBorder="1"/>
    <xf numFmtId="0" fontId="0" fillId="0" borderId="19" xfId="0" applyFill="1" applyBorder="1"/>
    <xf numFmtId="165" fontId="26" fillId="0" borderId="0" xfId="2" applyNumberFormat="1" applyFont="1" applyFill="1" applyProtection="1"/>
    <xf numFmtId="10" fontId="19" fillId="0" borderId="24" xfId="3" applyNumberFormat="1" applyFont="1" applyFill="1" applyBorder="1"/>
    <xf numFmtId="164" fontId="19" fillId="0" borderId="0" xfId="1" applyNumberFormat="1" applyFont="1" applyFill="1" applyBorder="1" applyProtection="1"/>
    <xf numFmtId="169" fontId="19" fillId="0" borderId="19" xfId="3" applyNumberFormat="1" applyFont="1" applyFill="1" applyBorder="1"/>
    <xf numFmtId="171" fontId="19" fillId="0" borderId="0" xfId="2" applyNumberFormat="1" applyFont="1" applyFill="1" applyProtection="1"/>
    <xf numFmtId="171" fontId="20" fillId="0" borderId="0" xfId="2" applyNumberFormat="1" applyFont="1" applyFill="1"/>
    <xf numFmtId="10" fontId="30" fillId="0" borderId="0" xfId="4" applyNumberFormat="1" applyFont="1" applyFill="1" applyBorder="1"/>
    <xf numFmtId="7" fontId="19" fillId="0" borderId="0" xfId="4" applyNumberFormat="1" applyFont="1" applyFill="1" applyBorder="1"/>
    <xf numFmtId="178" fontId="19" fillId="0" borderId="19" xfId="3" applyNumberFormat="1" applyFont="1" applyFill="1" applyBorder="1"/>
    <xf numFmtId="171" fontId="15" fillId="0" borderId="0" xfId="2" applyNumberFormat="1" applyFont="1" applyFill="1" applyBorder="1"/>
    <xf numFmtId="0" fontId="0" fillId="0" borderId="0" xfId="0" quotePrefix="1" applyAlignment="1">
      <alignment horizontal="left"/>
    </xf>
    <xf numFmtId="165" fontId="15" fillId="0" borderId="0" xfId="2" applyNumberFormat="1" applyFont="1" applyFill="1"/>
    <xf numFmtId="165" fontId="15" fillId="0" borderId="0" xfId="2" applyNumberFormat="1" applyFont="1" applyFill="1" applyBorder="1"/>
    <xf numFmtId="169" fontId="15" fillId="0" borderId="0" xfId="3" applyNumberFormat="1" applyFont="1" applyFill="1"/>
    <xf numFmtId="9" fontId="15" fillId="0" borderId="0" xfId="3" applyFont="1" applyFill="1"/>
    <xf numFmtId="44" fontId="15" fillId="0" borderId="0" xfId="2" applyFont="1" applyFill="1" applyBorder="1"/>
    <xf numFmtId="10" fontId="32" fillId="4" borderId="0" xfId="3" applyNumberFormat="1" applyFont="1" applyFill="1" applyBorder="1"/>
    <xf numFmtId="44" fontId="32" fillId="0" borderId="10" xfId="2" applyFont="1" applyFill="1" applyBorder="1"/>
    <xf numFmtId="10" fontId="32" fillId="0" borderId="0" xfId="3" applyNumberFormat="1" applyFont="1" applyBorder="1"/>
    <xf numFmtId="171" fontId="32" fillId="0" borderId="10" xfId="2" applyNumberFormat="1" applyFont="1" applyFill="1" applyBorder="1"/>
    <xf numFmtId="10" fontId="32" fillId="0" borderId="2" xfId="3" applyNumberFormat="1" applyFont="1" applyBorder="1"/>
    <xf numFmtId="168" fontId="32" fillId="0" borderId="12" xfId="2" applyNumberFormat="1" applyFont="1" applyFill="1" applyBorder="1"/>
    <xf numFmtId="10" fontId="20" fillId="0" borderId="0" xfId="3" applyNumberFormat="1" applyFont="1" applyBorder="1"/>
    <xf numFmtId="167" fontId="20" fillId="0" borderId="0" xfId="3" applyNumberFormat="1" applyFont="1" applyBorder="1"/>
    <xf numFmtId="171" fontId="26" fillId="0" borderId="0" xfId="2" applyNumberFormat="1" applyFont="1" applyFill="1" applyProtection="1">
      <protection locked="0"/>
    </xf>
    <xf numFmtId="168" fontId="26" fillId="0" borderId="0" xfId="2" applyNumberFormat="1" applyFont="1" applyFill="1" applyProtection="1">
      <protection locked="0"/>
    </xf>
    <xf numFmtId="37" fontId="0" fillId="0" borderId="0" xfId="0" applyNumberFormat="1" applyFill="1" applyProtection="1"/>
    <xf numFmtId="5" fontId="0" fillId="0" borderId="0" xfId="0" applyNumberFormat="1" applyFill="1" applyProtection="1"/>
    <xf numFmtId="0" fontId="0" fillId="0" borderId="0" xfId="0" applyFont="1" applyFill="1" applyProtection="1"/>
    <xf numFmtId="37" fontId="0" fillId="0" borderId="0" xfId="0" applyNumberFormat="1" applyFont="1" applyFill="1" applyProtection="1"/>
    <xf numFmtId="5" fontId="0" fillId="0" borderId="0" xfId="0" applyNumberFormat="1" applyFont="1" applyFill="1" applyProtection="1"/>
    <xf numFmtId="37" fontId="0" fillId="0" borderId="1" xfId="0" applyNumberFormat="1" applyFont="1" applyFill="1" applyBorder="1" applyProtection="1"/>
    <xf numFmtId="7" fontId="21" fillId="0" borderId="0" xfId="4" applyNumberFormat="1" applyFont="1" applyFill="1" applyBorder="1"/>
    <xf numFmtId="5" fontId="0" fillId="0" borderId="1" xfId="0" applyNumberFormat="1" applyFont="1" applyFill="1" applyBorder="1" applyProtection="1"/>
    <xf numFmtId="10" fontId="33" fillId="0" borderId="0" xfId="4" applyNumberFormat="1" applyFont="1" applyFill="1" applyBorder="1"/>
    <xf numFmtId="5" fontId="0" fillId="0" borderId="22" xfId="0" applyNumberFormat="1" applyFont="1" applyFill="1" applyBorder="1" applyProtection="1"/>
    <xf numFmtId="5" fontId="0" fillId="0" borderId="0" xfId="0" applyNumberFormat="1" applyFont="1" applyFill="1" applyBorder="1" applyProtection="1"/>
    <xf numFmtId="177" fontId="0" fillId="0" borderId="0" xfId="0" applyNumberFormat="1" applyFont="1" applyFill="1" applyProtection="1"/>
    <xf numFmtId="0" fontId="0" fillId="0" borderId="23" xfId="0" quotePrefix="1" applyFill="1" applyBorder="1" applyAlignment="1">
      <alignment horizontal="left"/>
    </xf>
    <xf numFmtId="5" fontId="0" fillId="0" borderId="5" xfId="0" applyNumberFormat="1" applyFill="1" applyBorder="1"/>
    <xf numFmtId="5" fontId="0" fillId="0" borderId="4" xfId="0" applyNumberFormat="1" applyFill="1" applyBorder="1"/>
    <xf numFmtId="3" fontId="0" fillId="0" borderId="0" xfId="0" applyNumberFormat="1" applyFill="1"/>
    <xf numFmtId="0" fontId="0" fillId="0" borderId="16" xfId="0" applyFill="1" applyBorder="1"/>
    <xf numFmtId="5" fontId="0" fillId="0" borderId="0" xfId="0" applyNumberFormat="1" applyFill="1" applyBorder="1"/>
    <xf numFmtId="0" fontId="0" fillId="0" borderId="18" xfId="0" applyFill="1" applyBorder="1"/>
    <xf numFmtId="10" fontId="0" fillId="0" borderId="18" xfId="3" applyNumberFormat="1" applyFont="1" applyFill="1" applyBorder="1"/>
    <xf numFmtId="0" fontId="0" fillId="0" borderId="17" xfId="0" quotePrefix="1" applyFill="1" applyBorder="1" applyAlignment="1">
      <alignment horizontal="left"/>
    </xf>
    <xf numFmtId="44" fontId="0" fillId="0" borderId="0" xfId="2" applyNumberFormat="1" applyFont="1" applyFill="1" applyBorder="1" applyProtection="1"/>
    <xf numFmtId="0" fontId="0" fillId="0" borderId="0" xfId="0" applyFill="1" applyAlignment="1">
      <alignment horizontal="left"/>
    </xf>
    <xf numFmtId="5" fontId="0" fillId="0" borderId="23" xfId="0" applyNumberFormat="1" applyFill="1" applyBorder="1"/>
    <xf numFmtId="0" fontId="0" fillId="0" borderId="5" xfId="0" applyFill="1" applyBorder="1"/>
    <xf numFmtId="5" fontId="0" fillId="0" borderId="16" xfId="0" applyNumberFormat="1" applyFill="1" applyBorder="1"/>
    <xf numFmtId="10" fontId="0" fillId="0" borderId="17" xfId="3" applyNumberFormat="1" applyFont="1" applyFill="1" applyBorder="1"/>
    <xf numFmtId="0" fontId="0" fillId="0" borderId="4" xfId="0" quotePrefix="1" applyFill="1" applyBorder="1" applyAlignment="1">
      <alignment horizontal="left" wrapText="1"/>
    </xf>
    <xf numFmtId="3" fontId="0" fillId="0" borderId="4" xfId="0" applyNumberFormat="1" applyFill="1" applyBorder="1"/>
    <xf numFmtId="9" fontId="0" fillId="0" borderId="0" xfId="3" applyNumberFormat="1" applyFont="1" applyFill="1" applyProtection="1"/>
    <xf numFmtId="10" fontId="0" fillId="0" borderId="0" xfId="3" applyNumberFormat="1" applyFont="1" applyFill="1" applyProtection="1"/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0" fontId="0" fillId="0" borderId="0" xfId="0" quotePrefix="1" applyFill="1" applyAlignment="1">
      <alignment horizontal="left"/>
    </xf>
    <xf numFmtId="171" fontId="0" fillId="0" borderId="0" xfId="2" applyNumberFormat="1" applyFont="1" applyFill="1"/>
    <xf numFmtId="171" fontId="0" fillId="0" borderId="0" xfId="0" applyNumberFormat="1" applyFill="1"/>
    <xf numFmtId="0" fontId="0" fillId="0" borderId="28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27" xfId="0" applyFill="1" applyBorder="1"/>
    <xf numFmtId="0" fontId="0" fillId="0" borderId="28" xfId="0" applyFill="1" applyBorder="1"/>
    <xf numFmtId="44" fontId="0" fillId="0" borderId="28" xfId="0" applyNumberFormat="1" applyFill="1" applyBorder="1"/>
    <xf numFmtId="9" fontId="0" fillId="0" borderId="28" xfId="3" applyNumberFormat="1" applyFont="1" applyFill="1" applyBorder="1" applyProtection="1"/>
    <xf numFmtId="44" fontId="0" fillId="0" borderId="29" xfId="0" applyNumberFormat="1" applyFill="1" applyBorder="1"/>
    <xf numFmtId="44" fontId="0" fillId="0" borderId="0" xfId="2" applyFont="1" applyFill="1"/>
    <xf numFmtId="0" fontId="0" fillId="0" borderId="9" xfId="0" applyFill="1" applyBorder="1"/>
    <xf numFmtId="44" fontId="0" fillId="0" borderId="0" xfId="0" applyNumberFormat="1" applyFill="1" applyBorder="1"/>
    <xf numFmtId="9" fontId="0" fillId="0" borderId="0" xfId="3" applyNumberFormat="1" applyFont="1" applyFill="1" applyBorder="1" applyProtection="1"/>
    <xf numFmtId="44" fontId="0" fillId="0" borderId="10" xfId="0" applyNumberFormat="1" applyFill="1" applyBorder="1"/>
    <xf numFmtId="0" fontId="0" fillId="0" borderId="9" xfId="0" quotePrefix="1" applyFill="1" applyBorder="1" applyAlignment="1">
      <alignment horizontal="left"/>
    </xf>
    <xf numFmtId="3" fontId="0" fillId="0" borderId="10" xfId="0" applyNumberFormat="1" applyFill="1" applyBorder="1"/>
    <xf numFmtId="0" fontId="0" fillId="0" borderId="11" xfId="0" quotePrefix="1" applyFill="1" applyBorder="1" applyAlignment="1">
      <alignment horizontal="left"/>
    </xf>
    <xf numFmtId="0" fontId="0" fillId="0" borderId="2" xfId="0" applyFill="1" applyBorder="1"/>
    <xf numFmtId="3" fontId="0" fillId="0" borderId="12" xfId="0" applyNumberFormat="1" applyFill="1" applyBorder="1"/>
    <xf numFmtId="10" fontId="0" fillId="0" borderId="0" xfId="0" applyNumberFormat="1" applyFill="1"/>
    <xf numFmtId="37" fontId="0" fillId="0" borderId="4" xfId="0" applyNumberFormat="1" applyFont="1" applyFill="1" applyBorder="1" applyProtection="1"/>
    <xf numFmtId="10" fontId="19" fillId="0" borderId="0" xfId="3" applyNumberFormat="1" applyFont="1" applyFill="1"/>
    <xf numFmtId="164" fontId="0" fillId="0" borderId="0" xfId="0" applyNumberFormat="1" applyFont="1" applyFill="1" applyBorder="1" applyProtection="1"/>
    <xf numFmtId="171" fontId="1" fillId="0" borderId="0" xfId="2" applyNumberFormat="1" applyFont="1" applyFill="1"/>
    <xf numFmtId="165" fontId="0" fillId="0" borderId="23" xfId="2" applyNumberFormat="1" applyFont="1" applyFill="1" applyBorder="1"/>
    <xf numFmtId="165" fontId="0" fillId="0" borderId="16" xfId="2" applyNumberFormat="1" applyFont="1" applyFill="1" applyBorder="1"/>
    <xf numFmtId="165" fontId="0" fillId="0" borderId="17" xfId="0" applyNumberFormat="1" applyFill="1" applyBorder="1"/>
    <xf numFmtId="0" fontId="0" fillId="0" borderId="16" xfId="0" quotePrefix="1" applyFill="1" applyBorder="1" applyAlignment="1">
      <alignment horizontal="left"/>
    </xf>
    <xf numFmtId="3" fontId="0" fillId="0" borderId="18" xfId="0" applyNumberFormat="1" applyFill="1" applyBorder="1"/>
    <xf numFmtId="0" fontId="16" fillId="0" borderId="0" xfId="0" applyNumberFormat="1" applyFont="1" applyFill="1" applyAlignment="1">
      <alignment horizontal="left"/>
    </xf>
    <xf numFmtId="0" fontId="36" fillId="0" borderId="0" xfId="0" applyNumberFormat="1" applyFont="1" applyAlignment="1"/>
    <xf numFmtId="0" fontId="16" fillId="0" borderId="0" xfId="0" applyFont="1" applyFill="1" applyAlignment="1">
      <alignment horizontal="left"/>
    </xf>
    <xf numFmtId="0" fontId="11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36" fillId="0" borderId="0" xfId="0" applyNumberFormat="1" applyFont="1" applyAlignment="1"/>
    <xf numFmtId="182" fontId="18" fillId="0" borderId="0" xfId="0" applyNumberFormat="1" applyFont="1" applyFill="1" applyBorder="1" applyAlignment="1"/>
    <xf numFmtId="0" fontId="37" fillId="0" borderId="0" xfId="0" applyNumberFormat="1" applyFont="1" applyFill="1" applyAlignment="1">
      <alignment horizontal="center"/>
    </xf>
    <xf numFmtId="0" fontId="37" fillId="0" borderId="0" xfId="0" quotePrefix="1" applyNumberFormat="1" applyFont="1" applyFill="1" applyAlignment="1">
      <alignment horizontal="left"/>
    </xf>
    <xf numFmtId="0" fontId="38" fillId="0" borderId="0" xfId="0" applyNumberFormat="1" applyFont="1" applyFill="1" applyBorder="1" applyAlignment="1">
      <alignment horizontal="center"/>
    </xf>
    <xf numFmtId="0" fontId="39" fillId="0" borderId="0" xfId="0" applyNumberFormat="1" applyFont="1" applyAlignment="1"/>
    <xf numFmtId="0" fontId="37" fillId="0" borderId="0" xfId="0" applyNumberFormat="1" applyFont="1" applyFill="1" applyAlignment="1">
      <alignment horizontal="left"/>
    </xf>
    <xf numFmtId="165" fontId="37" fillId="0" borderId="0" xfId="0" applyNumberFormat="1" applyFont="1" applyFill="1" applyBorder="1" applyAlignment="1"/>
    <xf numFmtId="0" fontId="37" fillId="0" borderId="0" xfId="0" applyNumberFormat="1" applyFont="1" applyAlignment="1"/>
    <xf numFmtId="164" fontId="37" fillId="0" borderId="0" xfId="0" applyNumberFormat="1" applyFont="1" applyFill="1" applyAlignment="1">
      <alignment horizontal="right"/>
    </xf>
    <xf numFmtId="164" fontId="37" fillId="0" borderId="0" xfId="0" applyNumberFormat="1" applyFont="1" applyFill="1" applyBorder="1" applyAlignment="1">
      <alignment horizontal="right"/>
    </xf>
    <xf numFmtId="164" fontId="37" fillId="0" borderId="0" xfId="0" applyNumberFormat="1" applyFont="1" applyAlignment="1"/>
    <xf numFmtId="43" fontId="37" fillId="0" borderId="0" xfId="0" applyNumberFormat="1" applyFont="1" applyAlignment="1"/>
    <xf numFmtId="0" fontId="37" fillId="0" borderId="0" xfId="0" applyNumberFormat="1" applyFont="1" applyFill="1" applyAlignment="1"/>
    <xf numFmtId="165" fontId="37" fillId="0" borderId="5" xfId="0" applyNumberFormat="1" applyFont="1" applyFill="1" applyBorder="1" applyAlignment="1">
      <alignment horizontal="right"/>
    </xf>
    <xf numFmtId="10" fontId="37" fillId="0" borderId="0" xfId="0" applyNumberFormat="1" applyFont="1" applyAlignment="1"/>
    <xf numFmtId="43" fontId="37" fillId="0" borderId="0" xfId="0" applyNumberFormat="1" applyFont="1" applyFill="1" applyAlignment="1">
      <alignment horizontal="right"/>
    </xf>
    <xf numFmtId="165" fontId="37" fillId="0" borderId="0" xfId="0" applyNumberFormat="1" applyFont="1" applyFill="1" applyAlignment="1">
      <alignment horizontal="left"/>
    </xf>
    <xf numFmtId="43" fontId="37" fillId="0" borderId="0" xfId="0" applyNumberFormat="1" applyFont="1" applyFill="1" applyAlignment="1">
      <alignment horizontal="left"/>
    </xf>
    <xf numFmtId="0" fontId="37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80" fontId="37" fillId="0" borderId="0" xfId="0" applyNumberFormat="1" applyFont="1" applyFill="1" applyBorder="1" applyAlignment="1"/>
    <xf numFmtId="164" fontId="37" fillId="0" borderId="0" xfId="0" applyNumberFormat="1" applyFont="1" applyFill="1" applyAlignment="1">
      <alignment horizontal="center"/>
    </xf>
    <xf numFmtId="165" fontId="37" fillId="0" borderId="0" xfId="0" applyNumberFormat="1" applyFont="1" applyAlignment="1"/>
    <xf numFmtId="164" fontId="37" fillId="0" borderId="0" xfId="0" applyNumberFormat="1" applyFont="1" applyFill="1" applyBorder="1" applyAlignment="1"/>
    <xf numFmtId="0" fontId="37" fillId="0" borderId="0" xfId="0" applyNumberFormat="1" applyFont="1" applyFill="1" applyBorder="1" applyAlignment="1">
      <alignment horizontal="left" indent="1"/>
    </xf>
    <xf numFmtId="0" fontId="37" fillId="0" borderId="0" xfId="0" applyNumberFormat="1" applyFont="1" applyFill="1" applyAlignment="1">
      <alignment horizontal="center" vertical="top"/>
    </xf>
    <xf numFmtId="0" fontId="37" fillId="0" borderId="0" xfId="0" applyNumberFormat="1" applyFont="1" applyFill="1" applyAlignment="1">
      <alignment vertical="top"/>
    </xf>
    <xf numFmtId="0" fontId="37" fillId="0" borderId="0" xfId="0" quotePrefix="1" applyNumberFormat="1" applyFont="1" applyFill="1" applyBorder="1" applyAlignment="1">
      <alignment horizontal="left"/>
    </xf>
    <xf numFmtId="0" fontId="40" fillId="0" borderId="0" xfId="0" applyNumberFormat="1" applyFont="1" applyAlignment="1"/>
    <xf numFmtId="0" fontId="39" fillId="0" borderId="0" xfId="0" applyNumberFormat="1" applyFont="1" applyFill="1" applyAlignment="1"/>
    <xf numFmtId="0" fontId="37" fillId="0" borderId="0" xfId="0" applyNumberFormat="1" applyFont="1" applyFill="1" applyAlignment="1">
      <alignment horizontal="left" vertical="center" indent="1"/>
    </xf>
    <xf numFmtId="165" fontId="37" fillId="0" borderId="5" xfId="0" applyNumberFormat="1" applyFont="1" applyFill="1" applyBorder="1" applyAlignment="1"/>
    <xf numFmtId="180" fontId="37" fillId="0" borderId="5" xfId="0" applyNumberFormat="1" applyFont="1" applyBorder="1" applyAlignment="1"/>
    <xf numFmtId="181" fontId="37" fillId="0" borderId="0" xfId="0" applyNumberFormat="1" applyFont="1" applyFill="1" applyAlignment="1">
      <alignment horizontal="right"/>
    </xf>
    <xf numFmtId="181" fontId="37" fillId="0" borderId="0" xfId="0" applyNumberFormat="1" applyFont="1" applyAlignment="1"/>
    <xf numFmtId="164" fontId="37" fillId="0" borderId="0" xfId="5" applyNumberFormat="1" applyFont="1" applyFill="1" applyBorder="1"/>
    <xf numFmtId="0" fontId="37" fillId="0" borderId="0" xfId="0" applyNumberFormat="1" applyFont="1" applyAlignment="1">
      <alignment horizontal="center" wrapText="1"/>
    </xf>
    <xf numFmtId="165" fontId="39" fillId="0" borderId="0" xfId="0" applyNumberFormat="1" applyFont="1" applyAlignment="1"/>
    <xf numFmtId="180" fontId="37" fillId="0" borderId="0" xfId="0" applyNumberFormat="1" applyFont="1" applyBorder="1" applyAlignment="1"/>
    <xf numFmtId="0" fontId="17" fillId="0" borderId="0" xfId="0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41" fillId="0" borderId="0" xfId="0" applyNumberFormat="1" applyFont="1" applyFill="1" applyBorder="1" applyAlignment="1">
      <alignment horizontal="center"/>
    </xf>
    <xf numFmtId="174" fontId="42" fillId="0" borderId="27" xfId="0" applyNumberFormat="1" applyFont="1" applyFill="1" applyBorder="1" applyAlignment="1">
      <alignment horizontal="left"/>
    </xf>
    <xf numFmtId="0" fontId="41" fillId="0" borderId="28" xfId="0" applyNumberFormat="1" applyFont="1" applyFill="1" applyBorder="1" applyAlignment="1"/>
    <xf numFmtId="0" fontId="42" fillId="0" borderId="28" xfId="0" applyNumberFormat="1" applyFont="1" applyFill="1" applyBorder="1" applyAlignment="1">
      <alignment horizontal="center"/>
    </xf>
    <xf numFmtId="183" fontId="42" fillId="0" borderId="29" xfId="0" applyNumberFormat="1" applyFont="1" applyFill="1" applyBorder="1" applyAlignment="1"/>
    <xf numFmtId="174" fontId="41" fillId="0" borderId="30" xfId="0" applyNumberFormat="1" applyFont="1" applyFill="1" applyBorder="1" applyAlignment="1">
      <alignment horizontal="left"/>
    </xf>
    <xf numFmtId="0" fontId="41" fillId="0" borderId="5" xfId="0" applyNumberFormat="1" applyFont="1" applyFill="1" applyBorder="1" applyAlignment="1">
      <alignment horizontal="center"/>
    </xf>
    <xf numFmtId="41" fontId="41" fillId="0" borderId="5" xfId="0" applyNumberFormat="1" applyFont="1" applyFill="1" applyBorder="1" applyAlignment="1"/>
    <xf numFmtId="164" fontId="41" fillId="0" borderId="31" xfId="0" applyNumberFormat="1" applyFont="1" applyFill="1" applyBorder="1" applyAlignment="1"/>
    <xf numFmtId="174" fontId="41" fillId="0" borderId="9" xfId="0" applyNumberFormat="1" applyFont="1" applyFill="1" applyBorder="1" applyAlignment="1">
      <alignment horizontal="left"/>
    </xf>
    <xf numFmtId="41" fontId="41" fillId="0" borderId="0" xfId="0" applyNumberFormat="1" applyFont="1" applyFill="1" applyBorder="1" applyAlignment="1"/>
    <xf numFmtId="41" fontId="41" fillId="0" borderId="10" xfId="0" applyNumberFormat="1" applyFont="1" applyFill="1" applyBorder="1" applyAlignment="1"/>
    <xf numFmtId="0" fontId="41" fillId="0" borderId="9" xfId="0" applyNumberFormat="1" applyFont="1" applyFill="1" applyBorder="1" applyAlignment="1"/>
    <xf numFmtId="41" fontId="41" fillId="0" borderId="4" xfId="0" applyNumberFormat="1" applyFont="1" applyFill="1" applyBorder="1" applyAlignment="1"/>
    <xf numFmtId="41" fontId="41" fillId="0" borderId="32" xfId="0" applyNumberFormat="1" applyFont="1" applyFill="1" applyBorder="1" applyAlignment="1"/>
    <xf numFmtId="0" fontId="41" fillId="0" borderId="0" xfId="0" applyNumberFormat="1" applyFont="1" applyFill="1" applyBorder="1" applyAlignment="1"/>
    <xf numFmtId="0" fontId="41" fillId="0" borderId="11" xfId="0" applyNumberFormat="1" applyFont="1" applyBorder="1" applyAlignment="1"/>
    <xf numFmtId="0" fontId="41" fillId="0" borderId="2" xfId="0" applyNumberFormat="1" applyFont="1" applyBorder="1" applyAlignment="1">
      <alignment horizontal="right"/>
    </xf>
    <xf numFmtId="41" fontId="41" fillId="0" borderId="2" xfId="0" applyNumberFormat="1" applyFont="1" applyBorder="1" applyAlignment="1"/>
    <xf numFmtId="10" fontId="41" fillId="0" borderId="12" xfId="0" applyNumberFormat="1" applyFont="1" applyBorder="1" applyAlignment="1"/>
    <xf numFmtId="0" fontId="0" fillId="0" borderId="0" xfId="0" applyNumberFormat="1" applyFont="1" applyAlignment="1"/>
    <xf numFmtId="0" fontId="0" fillId="0" borderId="0" xfId="0" applyAlignment="1">
      <alignment horizontal="center"/>
    </xf>
    <xf numFmtId="164" fontId="0" fillId="0" borderId="0" xfId="0" applyNumberFormat="1" applyFont="1" applyFill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0" fillId="0" borderId="0" xfId="0" quotePrefix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Font="1" applyFill="1"/>
    <xf numFmtId="0" fontId="0" fillId="0" borderId="0" xfId="0" applyAlignment="1">
      <alignment horizontal="left" indent="1"/>
    </xf>
    <xf numFmtId="165" fontId="0" fillId="0" borderId="0" xfId="0" applyNumberFormat="1"/>
    <xf numFmtId="0" fontId="0" fillId="0" borderId="0" xfId="0" quotePrefix="1" applyAlignment="1">
      <alignment horizontal="left" indent="3"/>
    </xf>
    <xf numFmtId="168" fontId="0" fillId="0" borderId="0" xfId="0" applyNumberFormat="1" applyFont="1" applyFill="1"/>
    <xf numFmtId="165" fontId="0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2" fontId="0" fillId="0" borderId="0" xfId="0" applyNumberFormat="1"/>
    <xf numFmtId="44" fontId="0" fillId="0" borderId="0" xfId="0" applyNumberFormat="1" applyFont="1"/>
    <xf numFmtId="168" fontId="0" fillId="0" borderId="0" xfId="0" applyNumberFormat="1" applyFont="1"/>
    <xf numFmtId="171" fontId="0" fillId="0" borderId="0" xfId="2" applyNumberFormat="1" applyFont="1"/>
    <xf numFmtId="165" fontId="0" fillId="0" borderId="0" xfId="2" applyNumberFormat="1" applyFont="1"/>
    <xf numFmtId="0" fontId="0" fillId="0" borderId="0" xfId="0" pivotButton="1"/>
    <xf numFmtId="0" fontId="0" fillId="0" borderId="0" xfId="0" pivotButton="1" applyAlignment="1">
      <alignment horizontal="center" wrapText="1"/>
    </xf>
    <xf numFmtId="0" fontId="0" fillId="0" borderId="0" xfId="0" applyNumberFormat="1" applyFont="1" applyFill="1"/>
    <xf numFmtId="10" fontId="0" fillId="0" borderId="0" xfId="3" applyNumberFormat="1" applyFont="1" applyFill="1"/>
    <xf numFmtId="44" fontId="0" fillId="0" borderId="0" xfId="0" applyNumberFormat="1"/>
    <xf numFmtId="0" fontId="0" fillId="0" borderId="0" xfId="0" pivotButton="1" applyAlignment="1">
      <alignment wrapText="1"/>
    </xf>
    <xf numFmtId="164" fontId="0" fillId="0" borderId="0" xfId="0" quotePrefix="1" applyNumberFormat="1" applyFont="1" applyFill="1" applyAlignment="1">
      <alignment horizontal="left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Fill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0" xfId="0" quotePrefix="1" applyNumberFormat="1" applyFont="1" applyFill="1" applyAlignment="1">
      <alignment horizontal="center"/>
    </xf>
    <xf numFmtId="0" fontId="24" fillId="0" borderId="0" xfId="0" quotePrefix="1" applyFont="1" applyFill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</xf>
    <xf numFmtId="0" fontId="24" fillId="0" borderId="13" xfId="0" quotePrefix="1" applyFont="1" applyFill="1" applyBorder="1" applyAlignment="1" applyProtection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quotePrefix="1" applyFont="1" applyFill="1" applyAlignment="1">
      <alignment horizontal="left"/>
    </xf>
    <xf numFmtId="0" fontId="32" fillId="0" borderId="2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24" fillId="0" borderId="1" xfId="0" quotePrefix="1" applyFont="1" applyFill="1" applyBorder="1" applyAlignment="1" applyProtection="1">
      <alignment horizontal="center"/>
    </xf>
    <xf numFmtId="0" fontId="24" fillId="0" borderId="14" xfId="0" quotePrefix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3" fontId="0" fillId="0" borderId="0" xfId="0" quotePrefix="1" applyNumberFormat="1" applyFill="1" applyBorder="1" applyAlignment="1">
      <alignment horizontal="left"/>
    </xf>
    <xf numFmtId="3" fontId="0" fillId="0" borderId="18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24" xfId="0" quotePrefix="1" applyNumberFormat="1" applyFill="1" applyBorder="1" applyAlignment="1">
      <alignment horizontal="left"/>
    </xf>
    <xf numFmtId="3" fontId="0" fillId="0" borderId="4" xfId="0" quotePrefix="1" applyNumberFormat="1" applyFill="1" applyBorder="1" applyAlignment="1">
      <alignment horizontal="left"/>
    </xf>
    <xf numFmtId="3" fontId="0" fillId="0" borderId="19" xfId="0" quotePrefix="1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0" fillId="0" borderId="0" xfId="0" quotePrefix="1" applyAlignment="1">
      <alignment horizontal="left" indent="1"/>
    </xf>
  </cellXfs>
  <cellStyles count="6">
    <cellStyle name="Comma" xfId="1" builtinId="3"/>
    <cellStyle name="Comma 10 2 2 3" xfId="5"/>
    <cellStyle name="Currency" xfId="2" builtinId="4"/>
    <cellStyle name="Normal" xfId="0" builtinId="0"/>
    <cellStyle name="Normal_East for 38.6M" xfId="4"/>
    <cellStyle name="Percent" xfId="3" builtinId="5"/>
  </cellStyles>
  <dxfs count="74"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wrapText="1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34" formatCode="_(&quot;$&quot;* #,##0.00_);_(&quot;$&quot;* \(#,##0.00\);_(&quot;$&quot;* &quot;-&quot;??_);_(@_)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</dxfs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84" Type="http://schemas.openxmlformats.org/officeDocument/2006/relationships/styles" Target="styles.xml"/><Relationship Id="rId89" Type="http://schemas.openxmlformats.org/officeDocument/2006/relationships/customXml" Target="../customXml/item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80" Type="http://schemas.openxmlformats.org/officeDocument/2006/relationships/pivotCacheDefinition" Target="pivotCache/pivotCacheDefinition1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83" Type="http://schemas.openxmlformats.org/officeDocument/2006/relationships/theme" Target="theme/theme1.xml"/><Relationship Id="rId8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pivotCacheDefinition" Target="pivotCache/pivotCacheDefinition2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6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48.xml"/><Relationship Id="rId87" Type="http://schemas.openxmlformats.org/officeDocument/2006/relationships/customXml" Target="../customXml/item1.xml"/><Relationship Id="rId61" Type="http://schemas.openxmlformats.org/officeDocument/2006/relationships/externalLink" Target="externalLinks/externalLink43.xml"/><Relationship Id="rId82" Type="http://schemas.openxmlformats.org/officeDocument/2006/relationships/pivotCacheDefinition" Target="pivotCache/pivotCacheDefinition3.xml"/><Relationship Id="rId1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%20%202017%20GRC\Supplemental%204-3-2017\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an\Downloads\01-2015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21.13E%20Production%20Factor%2017GRC%20(REBUTTAL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_TR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PM Electric Summary"/>
      <sheetName val="E Reasonableness"/>
      <sheetName val="Billed Electric"/>
      <sheetName val="Electric Reconciliation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Detailed Rates - Prior"/>
      <sheetName val="Summary Rates - Current"/>
      <sheetName val="Summary Rates - Prior"/>
      <sheetName val="Electric SCH 140"/>
      <sheetName val="Electric SCH 141"/>
      <sheetName val="Electric SCH 142"/>
      <sheetName val="Electric SCH 95A"/>
      <sheetName val="Electric SCH 120"/>
      <sheetName val="Electric SCH 129"/>
      <sheetName val="Electric SCH 132"/>
      <sheetName val="Electric SCH 133"/>
      <sheetName val="Electric SCH 133 (formulas)"/>
      <sheetName val="Electric SCH 137"/>
      <sheetName val="Electric SCH 194"/>
      <sheetName val="Electric Stats"/>
      <sheetName val="E Schedule Stats"/>
      <sheetName val="Electric Unbilled JE"/>
      <sheetName val="Electric Loss Tracking"/>
      <sheetName val="Electric History"/>
      <sheetName val="Supporting Doc List"/>
    </sheetNames>
    <sheetDataSet>
      <sheetData sheetId="0"/>
      <sheetData sheetId="1"/>
      <sheetData sheetId="2">
        <row r="11">
          <cell r="B11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22311829039.999996</v>
          </cell>
          <cell r="E9">
            <v>11362694034.5944</v>
          </cell>
          <cell r="F9">
            <v>2983833723.3713889</v>
          </cell>
          <cell r="G9">
            <v>3080584885.4856691</v>
          </cell>
          <cell r="H9">
            <v>2051022389.543107</v>
          </cell>
          <cell r="I9">
            <v>1342870567.1184549</v>
          </cell>
          <cell r="J9">
            <v>4594563.3633324662</v>
          </cell>
          <cell r="K9">
            <v>124979540.86316925</v>
          </cell>
          <cell r="L9">
            <v>639599439.09802258</v>
          </cell>
          <cell r="M9">
            <v>632887813.72208166</v>
          </cell>
          <cell r="N9">
            <v>0</v>
          </cell>
          <cell r="O9">
            <v>0</v>
          </cell>
          <cell r="P9">
            <v>81534389.017231286</v>
          </cell>
          <cell r="Q9">
            <v>7227693.8231415441</v>
          </cell>
        </row>
        <row r="10">
          <cell r="C10">
            <v>3941657.8585261339</v>
          </cell>
          <cell r="E10">
            <v>2401760.8159533199</v>
          </cell>
          <cell r="F10">
            <v>483797.35950569448</v>
          </cell>
          <cell r="G10">
            <v>452472.55815379717</v>
          </cell>
          <cell r="H10">
            <v>261562.891393383</v>
          </cell>
          <cell r="I10">
            <v>179157.07260351363</v>
          </cell>
          <cell r="J10">
            <v>4.0419526549894496</v>
          </cell>
          <cell r="K10">
            <v>0</v>
          </cell>
          <cell r="L10">
            <v>80420.565981487191</v>
          </cell>
          <cell r="M10">
            <v>67179.705291231017</v>
          </cell>
          <cell r="N10">
            <v>0</v>
          </cell>
          <cell r="O10">
            <v>0</v>
          </cell>
          <cell r="P10">
            <v>13772.381425311305</v>
          </cell>
          <cell r="Q10">
            <v>1530.4662657410647</v>
          </cell>
        </row>
        <row r="15">
          <cell r="E15">
            <v>1199530845.961303</v>
          </cell>
          <cell r="F15">
            <v>267214405.57393074</v>
          </cell>
          <cell r="G15">
            <v>251912322.65464625</v>
          </cell>
          <cell r="H15">
            <v>153008096.02665669</v>
          </cell>
          <cell r="I15">
            <v>104103146.19852759</v>
          </cell>
          <cell r="J15">
            <v>429180.35752772924</v>
          </cell>
          <cell r="K15">
            <v>10935459.949142268</v>
          </cell>
          <cell r="L15">
            <v>46953616.608873129</v>
          </cell>
          <cell r="M15">
            <v>42557366.967938654</v>
          </cell>
          <cell r="N15">
            <v>1121279.5765295029</v>
          </cell>
          <cell r="O15">
            <v>11216018.725058943</v>
          </cell>
          <cell r="P15">
            <v>18495472.952828079</v>
          </cell>
          <cell r="Q15">
            <v>723376.15572802676</v>
          </cell>
        </row>
        <row r="17">
          <cell r="E17">
            <v>60792526.492355719</v>
          </cell>
          <cell r="F17">
            <v>16929189.203066148</v>
          </cell>
          <cell r="G17">
            <v>11900165.035182636</v>
          </cell>
          <cell r="H17">
            <v>7202400.4051362295</v>
          </cell>
          <cell r="I17">
            <v>5549720.1749180267</v>
          </cell>
          <cell r="J17">
            <v>22319.875382678936</v>
          </cell>
          <cell r="K17">
            <v>479441.21714901226</v>
          </cell>
          <cell r="L17">
            <v>2170923.4248753381</v>
          </cell>
          <cell r="M17">
            <v>4835975.8716102857</v>
          </cell>
          <cell r="N17">
            <v>2850.6248341625537</v>
          </cell>
          <cell r="O17">
            <v>875638.69411477575</v>
          </cell>
          <cell r="P17">
            <v>425733.74896333064</v>
          </cell>
          <cell r="Q17">
            <v>38941.217548381959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  <row r="19">
          <cell r="AT19">
            <v>36228866.83523047</v>
          </cell>
        </row>
        <row r="32">
          <cell r="AT32">
            <v>138209148.65181684</v>
          </cell>
        </row>
      </sheetData>
      <sheetData sheetId="2"/>
      <sheetData sheetId="3">
        <row r="5">
          <cell r="D5" t="str">
            <v>PUGET SOUND ENERGY-ELECTRIC</v>
          </cell>
        </row>
        <row r="19">
          <cell r="H19">
            <v>6.9699999999999998E-2</v>
          </cell>
          <cell r="M19">
            <v>0.95238599999999995</v>
          </cell>
        </row>
      </sheetData>
      <sheetData sheetId="4">
        <row r="4">
          <cell r="E4" t="str">
            <v>Common Adj 01</v>
          </cell>
        </row>
        <row r="14">
          <cell r="AW14">
            <v>10379.814252257231</v>
          </cell>
          <cell r="CC14">
            <v>130546.64316428918</v>
          </cell>
        </row>
      </sheetData>
      <sheetData sheetId="5">
        <row r="4">
          <cell r="E4" t="str">
            <v>Electric Adj 01 Pg. 1 of 2</v>
          </cell>
        </row>
        <row r="17">
          <cell r="BM17">
            <v>0</v>
          </cell>
        </row>
        <row r="19">
          <cell r="BL19">
            <v>8206061.1260157973</v>
          </cell>
          <cell r="BM19">
            <v>0</v>
          </cell>
        </row>
        <row r="21">
          <cell r="BL21">
            <v>2763777.09</v>
          </cell>
          <cell r="BM21">
            <v>0</v>
          </cell>
        </row>
        <row r="23">
          <cell r="BB23">
            <v>6553640.5497812936</v>
          </cell>
        </row>
        <row r="28">
          <cell r="BL28">
            <v>161583689.16694248</v>
          </cell>
          <cell r="BM28">
            <v>0</v>
          </cell>
        </row>
        <row r="31">
          <cell r="BL31">
            <v>1313077.5681575285</v>
          </cell>
          <cell r="BM31">
            <v>-50414.300151840151</v>
          </cell>
        </row>
        <row r="32">
          <cell r="BL32">
            <v>2119540.3036357597</v>
          </cell>
          <cell r="BM32">
            <v>0</v>
          </cell>
        </row>
        <row r="40">
          <cell r="AC40">
            <v>2885052</v>
          </cell>
        </row>
        <row r="45">
          <cell r="AC45">
            <v>687420</v>
          </cell>
        </row>
        <row r="47">
          <cell r="AC47">
            <v>561126.34087998548</v>
          </cell>
          <cell r="BL47">
            <v>19415532.153878614</v>
          </cell>
          <cell r="BM47">
            <v>0</v>
          </cell>
        </row>
        <row r="48">
          <cell r="AC48">
            <v>2203436.1529896799</v>
          </cell>
        </row>
        <row r="49">
          <cell r="AC49">
            <v>4520422.508572978</v>
          </cell>
        </row>
        <row r="50">
          <cell r="AC50">
            <v>-400021.52129608387</v>
          </cell>
        </row>
        <row r="51">
          <cell r="AC51">
            <v>-1381851.7170492394</v>
          </cell>
        </row>
        <row r="52">
          <cell r="AC52">
            <v>3786307.8400000003</v>
          </cell>
        </row>
        <row r="53">
          <cell r="AC53">
            <v>19415532.153878614</v>
          </cell>
        </row>
        <row r="73">
          <cell r="BN73">
            <v>1961447671.7378278</v>
          </cell>
        </row>
        <row r="94">
          <cell r="BN94">
            <v>199079031.3739852</v>
          </cell>
        </row>
      </sheetData>
      <sheetData sheetId="6">
        <row r="9">
          <cell r="N9">
            <v>1</v>
          </cell>
        </row>
        <row r="15">
          <cell r="N15">
            <v>69962949.456452519</v>
          </cell>
        </row>
        <row r="16">
          <cell r="N16">
            <v>171115373.90212974</v>
          </cell>
        </row>
        <row r="17">
          <cell r="N17">
            <v>378349379.60972166</v>
          </cell>
        </row>
        <row r="18">
          <cell r="N18">
            <v>7097340.7299999986</v>
          </cell>
        </row>
        <row r="19">
          <cell r="N19">
            <v>313332.07420681993</v>
          </cell>
        </row>
        <row r="20">
          <cell r="N20">
            <v>108374278.4084733</v>
          </cell>
        </row>
        <row r="22">
          <cell r="N22">
            <v>-16223873.273980575</v>
          </cell>
        </row>
        <row r="26">
          <cell r="N26">
            <v>662134.87</v>
          </cell>
        </row>
        <row r="27">
          <cell r="N27">
            <v>-11639833.365925668</v>
          </cell>
        </row>
        <row r="28">
          <cell r="N28">
            <v>4769481.1386719989</v>
          </cell>
        </row>
      </sheetData>
      <sheetData sheetId="7">
        <row r="1">
          <cell r="A1" t="str">
            <v>Exhibit A-1 Power Cost Baseline Rate</v>
          </cell>
        </row>
        <row r="13">
          <cell r="C13">
            <v>17564314.5402111</v>
          </cell>
        </row>
        <row r="15">
          <cell r="C15">
            <v>7564532.2684628917</v>
          </cell>
        </row>
        <row r="16">
          <cell r="C16">
            <v>173054307.24066657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  <cell r="F62">
            <v>3490805.0455442886</v>
          </cell>
        </row>
      </sheetData>
      <sheetData sheetId="1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Cost Production Factor"/>
      <sheetName val="Fixed Cost Production Factor"/>
      <sheetName val="Temperature Adj YE 9-2016"/>
      <sheetName val="Delivered Load YE 9-2016"/>
      <sheetName val="Customer Counts YE 9-2016"/>
      <sheetName val="F2016 Delivered Load"/>
      <sheetName val="F2016 Customer Count"/>
    </sheetNames>
    <sheetDataSet>
      <sheetData sheetId="0">
        <row r="26">
          <cell r="F26">
            <v>20723206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E8">
            <v>7.49</v>
          </cell>
        </row>
        <row r="9">
          <cell r="E9">
            <v>17.989999999999998</v>
          </cell>
        </row>
        <row r="11">
          <cell r="E11">
            <v>8.5578000000000001E-2</v>
          </cell>
        </row>
        <row r="12">
          <cell r="E12">
            <v>0.104157</v>
          </cell>
        </row>
        <row r="15">
          <cell r="E15">
            <v>9.66</v>
          </cell>
        </row>
        <row r="16">
          <cell r="E16">
            <v>24.55</v>
          </cell>
        </row>
        <row r="18">
          <cell r="E18">
            <v>8.9456999999999995E-2</v>
          </cell>
        </row>
        <row r="19">
          <cell r="E19">
            <v>8.6359000000000005E-2</v>
          </cell>
        </row>
        <row r="22">
          <cell r="E22">
            <v>51.67</v>
          </cell>
        </row>
        <row r="24">
          <cell r="E24">
            <v>8.9582999999999996E-2</v>
          </cell>
        </row>
        <row r="25">
          <cell r="E25">
            <v>8.1430000000000002E-2</v>
          </cell>
        </row>
        <row r="26">
          <cell r="E26">
            <v>6.4072000000000004E-2</v>
          </cell>
        </row>
        <row r="29">
          <cell r="E29">
            <v>9.01</v>
          </cell>
        </row>
        <row r="30">
          <cell r="E30">
            <v>6.01</v>
          </cell>
        </row>
        <row r="32">
          <cell r="E32">
            <v>2.8300000000000001E-3</v>
          </cell>
        </row>
        <row r="35">
          <cell r="E35">
            <v>104.46</v>
          </cell>
        </row>
        <row r="37">
          <cell r="E37">
            <v>5.6732999999999999E-2</v>
          </cell>
        </row>
        <row r="39">
          <cell r="E39">
            <v>11.65</v>
          </cell>
        </row>
        <row r="40">
          <cell r="E40">
            <v>7.76</v>
          </cell>
        </row>
        <row r="42">
          <cell r="E42">
            <v>1.24E-3</v>
          </cell>
        </row>
        <row r="45">
          <cell r="E45">
            <v>235.05</v>
          </cell>
        </row>
        <row r="46">
          <cell r="E46">
            <v>-0.35</v>
          </cell>
        </row>
        <row r="51">
          <cell r="E51">
            <v>5.4775999999999998E-2</v>
          </cell>
        </row>
        <row r="52">
          <cell r="E52">
            <v>1.1999999999999999E-3</v>
          </cell>
        </row>
        <row r="55">
          <cell r="E55">
            <v>9.56</v>
          </cell>
        </row>
        <row r="56">
          <cell r="E56">
            <v>24.28</v>
          </cell>
        </row>
        <row r="58">
          <cell r="E58">
            <v>8.9582999999999996E-2</v>
          </cell>
        </row>
        <row r="59">
          <cell r="E59">
            <v>6.8035999999999999E-2</v>
          </cell>
        </row>
        <row r="60">
          <cell r="E60">
            <v>6.2075999999999999E-2</v>
          </cell>
        </row>
        <row r="61">
          <cell r="E61">
            <v>5.3189E-2</v>
          </cell>
        </row>
        <row r="64">
          <cell r="E64">
            <v>8.83</v>
          </cell>
        </row>
        <row r="65">
          <cell r="E65">
            <v>4.3499999999999996</v>
          </cell>
        </row>
        <row r="67">
          <cell r="E67">
            <v>2.81E-3</v>
          </cell>
        </row>
        <row r="70">
          <cell r="E70">
            <v>339.51</v>
          </cell>
        </row>
        <row r="72">
          <cell r="E72">
            <v>5.4346999999999999E-2</v>
          </cell>
        </row>
        <row r="74">
          <cell r="E74">
            <v>11.32</v>
          </cell>
        </row>
        <row r="75">
          <cell r="E75">
            <v>7.55</v>
          </cell>
        </row>
        <row r="77">
          <cell r="E77">
            <v>1.06E-3</v>
          </cell>
        </row>
        <row r="80">
          <cell r="E80">
            <v>339.51</v>
          </cell>
        </row>
        <row r="82">
          <cell r="E82">
            <v>4.8598000000000002E-2</v>
          </cell>
        </row>
        <row r="84">
          <cell r="E84">
            <v>4.49</v>
          </cell>
        </row>
        <row r="85">
          <cell r="E85">
            <v>2.99</v>
          </cell>
        </row>
        <row r="87">
          <cell r="E87">
            <v>1.08E-3</v>
          </cell>
        </row>
        <row r="90">
          <cell r="E90">
            <v>339.51</v>
          </cell>
        </row>
        <row r="92">
          <cell r="E92">
            <v>5.5893999999999999E-2</v>
          </cell>
        </row>
        <row r="94">
          <cell r="E94">
            <v>4.75</v>
          </cell>
        </row>
        <row r="98">
          <cell r="E98">
            <v>3.0000000000000001E-3</v>
          </cell>
        </row>
        <row r="103">
          <cell r="E103">
            <v>51.67</v>
          </cell>
        </row>
        <row r="104">
          <cell r="E104">
            <v>104.46</v>
          </cell>
        </row>
        <row r="105">
          <cell r="E105">
            <v>339.51</v>
          </cell>
        </row>
        <row r="108">
          <cell r="E108">
            <v>5.6638000000000001E-2</v>
          </cell>
        </row>
        <row r="109">
          <cell r="E109">
            <v>5.6638000000000001E-2</v>
          </cell>
        </row>
        <row r="110">
          <cell r="E110">
            <v>5.5190999999999997E-2</v>
          </cell>
        </row>
        <row r="111">
          <cell r="E111">
            <v>5.4413000000000003E-2</v>
          </cell>
        </row>
        <row r="114">
          <cell r="E114">
            <v>4.2</v>
          </cell>
        </row>
        <row r="115">
          <cell r="E115">
            <v>4.1100000000000003</v>
          </cell>
        </row>
        <row r="116">
          <cell r="E116">
            <v>4.0199999999999996</v>
          </cell>
        </row>
        <row r="120">
          <cell r="E120">
            <v>1.08E-3</v>
          </cell>
        </row>
        <row r="154">
          <cell r="E154">
            <v>5.4413000000000003E-2</v>
          </cell>
        </row>
        <row r="156">
          <cell r="E156">
            <v>2.09</v>
          </cell>
        </row>
        <row r="162">
          <cell r="E162">
            <v>5.4413000000000003E-2</v>
          </cell>
        </row>
        <row r="164">
          <cell r="E164">
            <v>3.7</v>
          </cell>
        </row>
      </sheetData>
      <sheetData sheetId="2"/>
      <sheetData sheetId="3"/>
      <sheetData sheetId="4">
        <row r="8">
          <cell r="K8">
            <v>1086695.7651479591</v>
          </cell>
        </row>
        <row r="11">
          <cell r="K11">
            <v>270724.13040566456</v>
          </cell>
        </row>
        <row r="12">
          <cell r="K12">
            <v>256769.0544249308</v>
          </cell>
          <cell r="M12">
            <v>3102308.4249307895</v>
          </cell>
        </row>
        <row r="13">
          <cell r="K13">
            <v>155746.29775726225</v>
          </cell>
        </row>
        <row r="17">
          <cell r="K17">
            <v>104149.0508548877</v>
          </cell>
        </row>
        <row r="18">
          <cell r="M18">
            <v>7005.3100210298608</v>
          </cell>
        </row>
        <row r="19">
          <cell r="K19">
            <v>10532.331885134106</v>
          </cell>
        </row>
        <row r="22">
          <cell r="K22">
            <v>45113.185500063344</v>
          </cell>
        </row>
        <row r="24">
          <cell r="K24">
            <v>40853.688192164955</v>
          </cell>
        </row>
      </sheetData>
      <sheetData sheetId="5"/>
      <sheetData sheetId="6">
        <row r="6">
          <cell r="B6" t="str">
            <v>12 MONTHS ENDED SEPTEMBER 2016</v>
          </cell>
        </row>
      </sheetData>
      <sheetData sheetId="7">
        <row r="9">
          <cell r="G9" t="str">
            <v>Proposed Effective December 2017</v>
          </cell>
        </row>
        <row r="18">
          <cell r="G18">
            <v>8.7335999999999997E-2</v>
          </cell>
        </row>
      </sheetData>
      <sheetData sheetId="8">
        <row r="27">
          <cell r="L27">
            <v>-3.9999999999999998E-6</v>
          </cell>
        </row>
        <row r="31">
          <cell r="G31">
            <v>52.3</v>
          </cell>
        </row>
        <row r="49">
          <cell r="L49">
            <v>-9.9999999999999995E-7</v>
          </cell>
        </row>
        <row r="65">
          <cell r="G65">
            <v>105.74</v>
          </cell>
        </row>
        <row r="77">
          <cell r="G77">
            <v>1.2600000000000001E-3</v>
          </cell>
        </row>
        <row r="83">
          <cell r="L83">
            <v>-9.9999999999999995E-7</v>
          </cell>
        </row>
        <row r="101">
          <cell r="D101">
            <v>1.24E-3</v>
          </cell>
        </row>
      </sheetData>
      <sheetData sheetId="9">
        <row r="15">
          <cell r="G15">
            <v>343.66</v>
          </cell>
        </row>
        <row r="17">
          <cell r="G17">
            <v>5.5014E-2</v>
          </cell>
        </row>
        <row r="23">
          <cell r="G23">
            <v>11.46</v>
          </cell>
        </row>
        <row r="24">
          <cell r="G24">
            <v>7.64</v>
          </cell>
        </row>
        <row r="27">
          <cell r="G27">
            <v>1.07E-3</v>
          </cell>
        </row>
        <row r="33">
          <cell r="L33">
            <v>1.9999999999999999E-6</v>
          </cell>
        </row>
        <row r="56">
          <cell r="L56">
            <v>-9.0000000000000002E-6</v>
          </cell>
        </row>
      </sheetData>
      <sheetData sheetId="10"/>
      <sheetData sheetId="11">
        <row r="31">
          <cell r="G31">
            <v>5.0738999999999999E-2</v>
          </cell>
        </row>
        <row r="35">
          <cell r="G35">
            <v>5.48</v>
          </cell>
        </row>
      </sheetData>
      <sheetData sheetId="12"/>
      <sheetData sheetId="1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6">
          <cell r="E16">
            <v>788389063.69857621</v>
          </cell>
          <cell r="F16">
            <v>1028566034.8299937</v>
          </cell>
          <cell r="G16">
            <v>1248946353.8319292</v>
          </cell>
          <cell r="H16">
            <v>1225806465.9287825</v>
          </cell>
          <cell r="I16">
            <v>1038920912.9571128</v>
          </cell>
          <cell r="J16">
            <v>1001139736.2453095</v>
          </cell>
          <cell r="K16">
            <v>795874664.78726423</v>
          </cell>
          <cell r="L16">
            <v>715559108.06809902</v>
          </cell>
          <cell r="M16">
            <v>618674823.07889044</v>
          </cell>
          <cell r="N16">
            <v>693231423.69833016</v>
          </cell>
          <cell r="O16">
            <v>671821991.57801056</v>
          </cell>
          <cell r="P16">
            <v>615495906.36459756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4">
          <cell r="E14">
            <v>186387</v>
          </cell>
          <cell r="F14">
            <v>224606</v>
          </cell>
          <cell r="G14">
            <v>264188</v>
          </cell>
          <cell r="H14">
            <v>252203</v>
          </cell>
          <cell r="I14">
            <v>208180</v>
          </cell>
          <cell r="J14">
            <v>204824</v>
          </cell>
          <cell r="K14">
            <v>151818.66666666666</v>
          </cell>
          <cell r="L14">
            <v>43551.333333333343</v>
          </cell>
          <cell r="M14">
            <v>359958</v>
          </cell>
          <cell r="N14">
            <v>216736</v>
          </cell>
          <cell r="O14">
            <v>233522</v>
          </cell>
          <cell r="P14">
            <v>184874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0">
          <cell r="E20">
            <v>215710510.70449299</v>
          </cell>
          <cell r="F20">
            <v>233750370.5283455</v>
          </cell>
          <cell r="G20">
            <v>269174607.97716194</v>
          </cell>
          <cell r="H20">
            <v>281640441.24406934</v>
          </cell>
          <cell r="I20">
            <v>229077398.29324535</v>
          </cell>
          <cell r="J20">
            <v>253484969.25955233</v>
          </cell>
          <cell r="K20">
            <v>204141936.02314135</v>
          </cell>
          <cell r="L20">
            <v>220142117.8939862</v>
          </cell>
          <cell r="M20">
            <v>204102525.23337504</v>
          </cell>
          <cell r="N20">
            <v>225364756.61116701</v>
          </cell>
          <cell r="O20">
            <v>235005860.14518324</v>
          </cell>
          <cell r="P20">
            <v>215988619.95737374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19">
          <cell r="E19">
            <v>230957617.26316127</v>
          </cell>
          <cell r="F19">
            <v>234344320.96242312</v>
          </cell>
          <cell r="G19">
            <v>265091061.17093679</v>
          </cell>
          <cell r="H19">
            <v>253003850.89031228</v>
          </cell>
          <cell r="I19">
            <v>231949219.05921569</v>
          </cell>
          <cell r="J19">
            <v>255012360.21982524</v>
          </cell>
          <cell r="K19">
            <v>204172913.40056416</v>
          </cell>
          <cell r="L19">
            <v>217091048.63104883</v>
          </cell>
          <cell r="M19">
            <v>234815782.30494633</v>
          </cell>
          <cell r="N19">
            <v>238882137.3704122</v>
          </cell>
          <cell r="O19">
            <v>227833243.08518243</v>
          </cell>
          <cell r="P19">
            <v>243774555.11386013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45">
          <cell r="D45">
            <v>0</v>
          </cell>
        </row>
        <row r="46">
          <cell r="D46">
            <v>2643147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18">
          <cell r="E18">
            <v>156520796.95407352</v>
          </cell>
          <cell r="F18">
            <v>153493925.22492501</v>
          </cell>
          <cell r="G18">
            <v>165388665.69247249</v>
          </cell>
          <cell r="H18">
            <v>154124686.34980652</v>
          </cell>
          <cell r="I18">
            <v>147927273.11820722</v>
          </cell>
          <cell r="J18">
            <v>154413376.86746776</v>
          </cell>
          <cell r="K18">
            <v>150359140.90693125</v>
          </cell>
          <cell r="L18">
            <v>137050894.28021634</v>
          </cell>
          <cell r="M18">
            <v>170963320.99076775</v>
          </cell>
          <cell r="N18">
            <v>167170572.0508343</v>
          </cell>
          <cell r="O18">
            <v>160342817.62628406</v>
          </cell>
          <cell r="P18">
            <v>161066974.31965962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</sheetData>
      <sheetData sheetId="9">
        <row r="6">
          <cell r="D6">
            <v>24</v>
          </cell>
          <cell r="E6">
            <v>2</v>
          </cell>
          <cell r="F6">
            <v>-2</v>
          </cell>
          <cell r="G6">
            <v>6</v>
          </cell>
          <cell r="H6">
            <v>1</v>
          </cell>
          <cell r="I6">
            <v>3</v>
          </cell>
          <cell r="J6">
            <v>2</v>
          </cell>
          <cell r="K6">
            <v>1</v>
          </cell>
          <cell r="L6">
            <v>0</v>
          </cell>
          <cell r="M6">
            <v>2</v>
          </cell>
          <cell r="N6">
            <v>4</v>
          </cell>
          <cell r="O6">
            <v>3</v>
          </cell>
          <cell r="P6">
            <v>2</v>
          </cell>
        </row>
        <row r="9">
          <cell r="D9">
            <v>13232300</v>
          </cell>
          <cell r="E9">
            <v>1043200</v>
          </cell>
          <cell r="F9">
            <v>-1522500</v>
          </cell>
          <cell r="G9">
            <v>4001000</v>
          </cell>
          <cell r="H9">
            <v>326700</v>
          </cell>
          <cell r="I9">
            <v>2315100</v>
          </cell>
          <cell r="J9">
            <v>1170900</v>
          </cell>
          <cell r="K9">
            <v>763000</v>
          </cell>
          <cell r="L9">
            <v>0</v>
          </cell>
          <cell r="M9">
            <v>1320900</v>
          </cell>
          <cell r="N9">
            <v>1118700</v>
          </cell>
          <cell r="O9">
            <v>1754900</v>
          </cell>
          <cell r="P9">
            <v>940400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E12">
            <v>1043200</v>
          </cell>
          <cell r="F12">
            <v>-1522500</v>
          </cell>
          <cell r="G12">
            <v>4001000</v>
          </cell>
          <cell r="H12">
            <v>326700</v>
          </cell>
          <cell r="I12">
            <v>2315100</v>
          </cell>
          <cell r="J12">
            <v>1170900</v>
          </cell>
          <cell r="K12">
            <v>763000</v>
          </cell>
          <cell r="L12">
            <v>0</v>
          </cell>
          <cell r="M12">
            <v>1320900</v>
          </cell>
          <cell r="N12">
            <v>1118700</v>
          </cell>
          <cell r="O12">
            <v>1754900</v>
          </cell>
          <cell r="P12">
            <v>940400</v>
          </cell>
        </row>
        <row r="15">
          <cell r="D15">
            <v>16911</v>
          </cell>
          <cell r="E15">
            <v>1758</v>
          </cell>
          <cell r="F15">
            <v>-1370</v>
          </cell>
          <cell r="G15">
            <v>7320</v>
          </cell>
          <cell r="H15">
            <v>554</v>
          </cell>
          <cell r="I15">
            <v>5208</v>
          </cell>
          <cell r="J15">
            <v>2764</v>
          </cell>
          <cell r="K15">
            <v>544</v>
          </cell>
          <cell r="L15">
            <v>0</v>
          </cell>
          <cell r="M15">
            <v>0</v>
          </cell>
          <cell r="N15">
            <v>133</v>
          </cell>
          <cell r="O15">
            <v>0</v>
          </cell>
          <cell r="P15">
            <v>0</v>
          </cell>
        </row>
        <row r="16">
          <cell r="D16">
            <v>14150</v>
          </cell>
          <cell r="E16">
            <v>728</v>
          </cell>
          <cell r="F16">
            <v>-2398</v>
          </cell>
          <cell r="G16">
            <v>2398</v>
          </cell>
          <cell r="H16">
            <v>0</v>
          </cell>
          <cell r="I16">
            <v>0</v>
          </cell>
          <cell r="J16">
            <v>0</v>
          </cell>
          <cell r="K16">
            <v>1427</v>
          </cell>
          <cell r="L16">
            <v>0</v>
          </cell>
          <cell r="M16">
            <v>3527</v>
          </cell>
          <cell r="N16">
            <v>2095</v>
          </cell>
          <cell r="O16">
            <v>4162</v>
          </cell>
          <cell r="P16">
            <v>2211</v>
          </cell>
        </row>
        <row r="19">
          <cell r="D19">
            <v>4625110</v>
          </cell>
          <cell r="E19">
            <v>416606</v>
          </cell>
          <cell r="F19">
            <v>-553701</v>
          </cell>
          <cell r="G19">
            <v>1331598</v>
          </cell>
          <cell r="H19">
            <v>148504</v>
          </cell>
          <cell r="I19">
            <v>625701</v>
          </cell>
          <cell r="J19">
            <v>363197</v>
          </cell>
          <cell r="K19">
            <v>220504</v>
          </cell>
          <cell r="L19">
            <v>0</v>
          </cell>
          <cell r="M19">
            <v>455701</v>
          </cell>
          <cell r="N19">
            <v>579598</v>
          </cell>
          <cell r="O19">
            <v>659701</v>
          </cell>
          <cell r="P19">
            <v>377701</v>
          </cell>
        </row>
        <row r="26">
          <cell r="E26">
            <v>679</v>
          </cell>
          <cell r="F26">
            <v>-679</v>
          </cell>
          <cell r="G26">
            <v>2037</v>
          </cell>
          <cell r="H26">
            <v>339</v>
          </cell>
          <cell r="I26">
            <v>1018</v>
          </cell>
          <cell r="J26">
            <v>679</v>
          </cell>
          <cell r="K26">
            <v>339</v>
          </cell>
          <cell r="L26">
            <v>0</v>
          </cell>
          <cell r="M26">
            <v>679</v>
          </cell>
          <cell r="N26">
            <v>1358</v>
          </cell>
          <cell r="O26">
            <v>1018</v>
          </cell>
          <cell r="P26">
            <v>679</v>
          </cell>
        </row>
        <row r="34">
          <cell r="E34">
            <v>57142</v>
          </cell>
          <cell r="F34">
            <v>-83396</v>
          </cell>
          <cell r="G34">
            <v>219159</v>
          </cell>
          <cell r="H34">
            <v>17896</v>
          </cell>
          <cell r="I34">
            <v>126812</v>
          </cell>
          <cell r="J34">
            <v>64138</v>
          </cell>
          <cell r="K34">
            <v>41794</v>
          </cell>
          <cell r="L34">
            <v>0</v>
          </cell>
          <cell r="M34">
            <v>72354</v>
          </cell>
          <cell r="N34">
            <v>61278</v>
          </cell>
          <cell r="O34">
            <v>96127</v>
          </cell>
          <cell r="P34">
            <v>51512</v>
          </cell>
        </row>
        <row r="43">
          <cell r="E43">
            <v>25260</v>
          </cell>
          <cell r="F43">
            <v>-33250</v>
          </cell>
          <cell r="G43">
            <v>100485</v>
          </cell>
          <cell r="H43">
            <v>6260</v>
          </cell>
          <cell r="I43">
            <v>58850</v>
          </cell>
          <cell r="J43">
            <v>31234</v>
          </cell>
          <cell r="K43">
            <v>16722</v>
          </cell>
          <cell r="L43">
            <v>0</v>
          </cell>
          <cell r="M43">
            <v>26136</v>
          </cell>
          <cell r="N43">
            <v>17026</v>
          </cell>
          <cell r="O43">
            <v>30840</v>
          </cell>
          <cell r="P43">
            <v>16383</v>
          </cell>
        </row>
        <row r="48">
          <cell r="E48">
            <v>500</v>
          </cell>
          <cell r="F48">
            <v>-665</v>
          </cell>
          <cell r="G48">
            <v>1598</v>
          </cell>
          <cell r="H48">
            <v>178</v>
          </cell>
          <cell r="I48">
            <v>751</v>
          </cell>
          <cell r="J48">
            <v>435</v>
          </cell>
          <cell r="K48">
            <v>264</v>
          </cell>
          <cell r="L48">
            <v>0</v>
          </cell>
          <cell r="M48">
            <v>547</v>
          </cell>
          <cell r="N48">
            <v>696</v>
          </cell>
          <cell r="O48">
            <v>792</v>
          </cell>
          <cell r="P48">
            <v>453</v>
          </cell>
        </row>
        <row r="50">
          <cell r="E50">
            <v>83581</v>
          </cell>
          <cell r="F50">
            <v>-117990</v>
          </cell>
          <cell r="G50">
            <v>323279</v>
          </cell>
          <cell r="H50">
            <v>24673</v>
          </cell>
          <cell r="I50">
            <v>187431</v>
          </cell>
          <cell r="J50">
            <v>96486</v>
          </cell>
          <cell r="K50">
            <v>59119</v>
          </cell>
          <cell r="L50">
            <v>0</v>
          </cell>
          <cell r="M50">
            <v>99716</v>
          </cell>
          <cell r="N50">
            <v>80358</v>
          </cell>
          <cell r="O50">
            <v>128777</v>
          </cell>
          <cell r="P50">
            <v>69027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18">
          <cell r="E18">
            <v>355044.79382672033</v>
          </cell>
          <cell r="F18">
            <v>311574.04639389709</v>
          </cell>
          <cell r="G18">
            <v>426572.75880937552</v>
          </cell>
          <cell r="H18">
            <v>231144.09494143631</v>
          </cell>
          <cell r="I18">
            <v>309268.2396042769</v>
          </cell>
          <cell r="J18">
            <v>165319.2869411725</v>
          </cell>
          <cell r="K18">
            <v>615258.4868407693</v>
          </cell>
          <cell r="L18">
            <v>3094654.959494072</v>
          </cell>
          <cell r="M18">
            <v>805968.18113837903</v>
          </cell>
          <cell r="N18">
            <v>3527356.3994582877</v>
          </cell>
          <cell r="O18">
            <v>3121560.4136990095</v>
          </cell>
          <cell r="P18">
            <v>1363107.7280454212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5">
          <cell r="E15">
            <v>106565055.36138692</v>
          </cell>
          <cell r="F15">
            <v>103524461.90904701</v>
          </cell>
          <cell r="G15">
            <v>113212345.64403586</v>
          </cell>
          <cell r="H15">
            <v>104846532.38647696</v>
          </cell>
          <cell r="I15">
            <v>112799481.29066783</v>
          </cell>
          <cell r="J15">
            <v>106235133.21365285</v>
          </cell>
          <cell r="K15">
            <v>95566793.209115341</v>
          </cell>
          <cell r="L15">
            <v>88670200.915264264</v>
          </cell>
          <cell r="M15">
            <v>115990767.48060417</v>
          </cell>
          <cell r="N15">
            <v>111249832.76293805</v>
          </cell>
          <cell r="O15">
            <v>115523001.3090072</v>
          </cell>
          <cell r="P15">
            <v>110217968.9765002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2">
          <cell r="E12">
            <v>782400</v>
          </cell>
          <cell r="F12">
            <v>-776400</v>
          </cell>
          <cell r="G12">
            <v>3600</v>
          </cell>
          <cell r="H12">
            <v>3000</v>
          </cell>
          <cell r="I12">
            <v>2400</v>
          </cell>
          <cell r="J12">
            <v>3600</v>
          </cell>
          <cell r="K12">
            <v>299400</v>
          </cell>
          <cell r="L12">
            <v>802200</v>
          </cell>
          <cell r="M12">
            <v>811200</v>
          </cell>
          <cell r="N12">
            <v>912600</v>
          </cell>
          <cell r="O12">
            <v>848400</v>
          </cell>
          <cell r="P12">
            <v>760200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2">
          <cell r="E12">
            <v>9337075.4695151523</v>
          </cell>
          <cell r="F12">
            <v>12485354.643910935</v>
          </cell>
          <cell r="G12">
            <v>15850434.107288616</v>
          </cell>
          <cell r="H12">
            <v>14123147.660224725</v>
          </cell>
          <cell r="I12">
            <v>12927959.375655247</v>
          </cell>
          <cell r="J12">
            <v>13179188.19975958</v>
          </cell>
          <cell r="K12">
            <v>8623983.9683423489</v>
          </cell>
          <cell r="L12">
            <v>7590553.5698564323</v>
          </cell>
          <cell r="M12">
            <v>6694592.3161879135</v>
          </cell>
          <cell r="N12">
            <v>5879296.8919463623</v>
          </cell>
          <cell r="O12">
            <v>5535078.0361081427</v>
          </cell>
          <cell r="P12">
            <v>7433737.2259813203</v>
          </cell>
        </row>
        <row r="14">
          <cell r="D14">
            <v>604733</v>
          </cell>
        </row>
        <row r="16">
          <cell r="D16">
            <v>49257775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22">
          <cell r="E22">
            <v>53144004.08998695</v>
          </cell>
          <cell r="F22">
            <v>48441755.184000134</v>
          </cell>
          <cell r="G22">
            <v>56839388.722935259</v>
          </cell>
          <cell r="H22">
            <v>57172868.537418649</v>
          </cell>
          <cell r="I22">
            <v>44963441.933640912</v>
          </cell>
          <cell r="J22">
            <v>45820828.074154593</v>
          </cell>
          <cell r="K22">
            <v>45739724.977565609</v>
          </cell>
          <cell r="L22">
            <v>58590734.122435242</v>
          </cell>
          <cell r="M22">
            <v>49835181.137705147</v>
          </cell>
          <cell r="N22">
            <v>50172203.627229638</v>
          </cell>
          <cell r="O22">
            <v>64817278.500200994</v>
          </cell>
          <cell r="P22">
            <v>46141317.431857787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84">
          <cell r="D84">
            <v>64497</v>
          </cell>
        </row>
        <row r="85">
          <cell r="D85">
            <v>-570722</v>
          </cell>
        </row>
        <row r="111">
          <cell r="D111">
            <v>3441161.8012620001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2">
          <cell r="E12">
            <v>5929499</v>
          </cell>
          <cell r="F12">
            <v>11395712</v>
          </cell>
          <cell r="G12">
            <v>4434417</v>
          </cell>
          <cell r="H12">
            <v>2497569</v>
          </cell>
          <cell r="I12">
            <v>6617739.7769999998</v>
          </cell>
          <cell r="J12">
            <v>1740893.2230000002</v>
          </cell>
          <cell r="K12">
            <v>7058841</v>
          </cell>
          <cell r="L12">
            <v>6233064</v>
          </cell>
          <cell r="M12">
            <v>4103891</v>
          </cell>
          <cell r="N12">
            <v>4834580</v>
          </cell>
          <cell r="O12">
            <v>3971862.6979999915</v>
          </cell>
          <cell r="P12">
            <v>5457289</v>
          </cell>
        </row>
        <row r="14">
          <cell r="D14">
            <v>334461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0">
          <cell r="E10">
            <v>49551390</v>
          </cell>
          <cell r="F10">
            <v>74570548.046999991</v>
          </cell>
          <cell r="G10">
            <v>16078171.793000001</v>
          </cell>
          <cell r="H10">
            <v>51561516.159999996</v>
          </cell>
          <cell r="I10">
            <v>89295334.787</v>
          </cell>
          <cell r="J10">
            <v>7444497.2130000032</v>
          </cell>
          <cell r="K10">
            <v>39924274</v>
          </cell>
          <cell r="L10">
            <v>43936996</v>
          </cell>
          <cell r="M10">
            <v>47284949</v>
          </cell>
          <cell r="N10">
            <v>49438522</v>
          </cell>
          <cell r="O10">
            <v>42063164</v>
          </cell>
          <cell r="P10">
            <v>56834496</v>
          </cell>
        </row>
        <row r="12">
          <cell r="D12">
            <v>1412545</v>
          </cell>
        </row>
      </sheetData>
      <sheetData sheetId="17">
        <row r="6">
          <cell r="D6">
            <v>240</v>
          </cell>
        </row>
        <row r="12">
          <cell r="E12">
            <v>177852881.88600001</v>
          </cell>
          <cell r="F12">
            <v>171908908.32499999</v>
          </cell>
          <cell r="G12">
            <v>175155725.25000003</v>
          </cell>
          <cell r="H12">
            <v>180036575.97700003</v>
          </cell>
          <cell r="I12">
            <v>163429294.68999997</v>
          </cell>
          <cell r="J12">
            <v>187804403.67699999</v>
          </cell>
          <cell r="K12">
            <v>171772051.655</v>
          </cell>
          <cell r="L12">
            <v>175463775.18899998</v>
          </cell>
          <cell r="M12">
            <v>172168450.53099999</v>
          </cell>
          <cell r="N12">
            <v>175173145.68300003</v>
          </cell>
          <cell r="O12">
            <v>171255107.55899999</v>
          </cell>
          <cell r="P12">
            <v>176083316.204</v>
          </cell>
        </row>
      </sheetData>
      <sheetData sheetId="18">
        <row r="17">
          <cell r="E17">
            <v>6940542.4285000004</v>
          </cell>
          <cell r="F17">
            <v>5116837.171000001</v>
          </cell>
          <cell r="G17">
            <v>6909456.5325000007</v>
          </cell>
          <cell r="H17">
            <v>8982104.0499999989</v>
          </cell>
          <cell r="I17">
            <v>5840346.4930000007</v>
          </cell>
          <cell r="J17">
            <v>4626216.9330000002</v>
          </cell>
          <cell r="K17">
            <v>6131290.6915000016</v>
          </cell>
          <cell r="L17">
            <v>8258809.4964999985</v>
          </cell>
          <cell r="M17">
            <v>4366334.0478139166</v>
          </cell>
          <cell r="N17">
            <v>6275458.2116860822</v>
          </cell>
          <cell r="O17">
            <v>6395082.9170000004</v>
          </cell>
          <cell r="P17">
            <v>8129870.3335000006</v>
          </cell>
        </row>
      </sheetData>
      <sheetData sheetId="19">
        <row r="7">
          <cell r="D7">
            <v>6797340</v>
          </cell>
        </row>
        <row r="10">
          <cell r="E10">
            <v>472878.08816908946</v>
          </cell>
          <cell r="F10">
            <v>720195.36010173254</v>
          </cell>
          <cell r="G10">
            <v>954376.15630294813</v>
          </cell>
          <cell r="H10">
            <v>993626.39159838611</v>
          </cell>
          <cell r="I10">
            <v>856039.19330273825</v>
          </cell>
          <cell r="J10">
            <v>781417.16849282722</v>
          </cell>
          <cell r="K10">
            <v>535014.30113615491</v>
          </cell>
          <cell r="L10">
            <v>400773.10317194398</v>
          </cell>
          <cell r="M10">
            <v>354758.87880689255</v>
          </cell>
          <cell r="N10">
            <v>237403.97905303221</v>
          </cell>
          <cell r="O10">
            <v>292303.01491862367</v>
          </cell>
          <cell r="P10">
            <v>331017.78712645965</v>
          </cell>
        </row>
      </sheetData>
      <sheetData sheetId="20"/>
      <sheetData sheetId="21">
        <row r="9">
          <cell r="C9">
            <v>154975405.507</v>
          </cell>
          <cell r="D9">
            <v>143957270.98899999</v>
          </cell>
          <cell r="E9">
            <v>165139329.55899999</v>
          </cell>
          <cell r="F9">
            <v>153082552.69999999</v>
          </cell>
          <cell r="G9">
            <v>168575478.03599998</v>
          </cell>
          <cell r="H9">
            <v>148884121.139</v>
          </cell>
          <cell r="I9">
            <v>146171356.46200001</v>
          </cell>
          <cell r="J9">
            <v>139683944.98000002</v>
          </cell>
          <cell r="K9">
            <v>156576833.02700001</v>
          </cell>
          <cell r="L9">
            <v>164669311.81799999</v>
          </cell>
          <cell r="M9">
            <v>171590945.87599999</v>
          </cell>
          <cell r="N9">
            <v>177374709.80500001</v>
          </cell>
        </row>
        <row r="11">
          <cell r="C11">
            <v>109053867.52000001</v>
          </cell>
          <cell r="D11">
            <v>93118408.108999997</v>
          </cell>
          <cell r="E11">
            <v>124261477.088</v>
          </cell>
          <cell r="F11">
            <v>99517418.877000004</v>
          </cell>
          <cell r="G11">
            <v>117569070.256</v>
          </cell>
          <cell r="H11">
            <v>106099438.755</v>
          </cell>
          <cell r="I11">
            <v>92950178.434</v>
          </cell>
          <cell r="J11">
            <v>94591911.449000001</v>
          </cell>
          <cell r="K11">
            <v>107946736.596</v>
          </cell>
          <cell r="L11">
            <v>98942735.914999992</v>
          </cell>
          <cell r="M11">
            <v>144891319.664</v>
          </cell>
          <cell r="N11">
            <v>109649120.34199999</v>
          </cell>
        </row>
      </sheetData>
      <sheetData sheetId="22"/>
      <sheetData sheetId="23"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F83">
            <v>810551.73131766543</v>
          </cell>
          <cell r="G83">
            <v>-19285196.78030704</v>
          </cell>
          <cell r="H83">
            <v>6272060.0911717396</v>
          </cell>
          <cell r="I83">
            <v>4796183.2545916503</v>
          </cell>
          <cell r="J83">
            <v>-2647617.9208985856</v>
          </cell>
          <cell r="K83">
            <v>16447544.589760652</v>
          </cell>
          <cell r="L83">
            <v>3762045.2395644933</v>
          </cell>
          <cell r="M83">
            <v>-7584187.4945688918</v>
          </cell>
          <cell r="N83">
            <v>-15758444.434573879</v>
          </cell>
          <cell r="O83">
            <v>2515944.4096726701</v>
          </cell>
          <cell r="P83">
            <v>8534162.6797397994</v>
          </cell>
          <cell r="Q83">
            <v>3742425.6922847982</v>
          </cell>
        </row>
        <row r="85">
          <cell r="F85">
            <v>4840444.8797686379</v>
          </cell>
          <cell r="G85">
            <v>-5621683.1051861122</v>
          </cell>
          <cell r="H85">
            <v>-251583.01040536817</v>
          </cell>
          <cell r="I85">
            <v>2448319.2610121556</v>
          </cell>
          <cell r="J85">
            <v>-5941642.7565214206</v>
          </cell>
          <cell r="K85">
            <v>8361320.7438094094</v>
          </cell>
          <cell r="L85">
            <v>12368130.530093901</v>
          </cell>
          <cell r="M85">
            <v>-28551275.393078938</v>
          </cell>
          <cell r="N85">
            <v>401963.38193879277</v>
          </cell>
          <cell r="O85">
            <v>-2567592.990401349</v>
          </cell>
          <cell r="P85">
            <v>10862127.79738168</v>
          </cell>
          <cell r="Q85">
            <v>-11495872.583449567</v>
          </cell>
        </row>
      </sheetData>
      <sheetData sheetId="24">
        <row r="83">
          <cell r="F83">
            <v>153082552.69999999</v>
          </cell>
          <cell r="G83">
            <v>168575478.03599998</v>
          </cell>
          <cell r="H83">
            <v>148884121.139</v>
          </cell>
          <cell r="I83">
            <v>146171356.46200001</v>
          </cell>
          <cell r="J83">
            <v>139683944.98000002</v>
          </cell>
          <cell r="K83">
            <v>156576833.02700001</v>
          </cell>
          <cell r="L83">
            <v>164669311.81799999</v>
          </cell>
          <cell r="M83">
            <v>171590945.87599999</v>
          </cell>
          <cell r="N83">
            <v>177374709.80500001</v>
          </cell>
          <cell r="O83">
            <v>154975405.507</v>
          </cell>
          <cell r="P83">
            <v>143957270.98899999</v>
          </cell>
          <cell r="Q83">
            <v>165139329.55899999</v>
          </cell>
        </row>
        <row r="85">
          <cell r="F85">
            <v>99517418.877000004</v>
          </cell>
          <cell r="G85">
            <v>117569070.256</v>
          </cell>
          <cell r="H85">
            <v>106099438.755</v>
          </cell>
          <cell r="I85">
            <v>92950178.434</v>
          </cell>
          <cell r="J85">
            <v>94591911.449000001</v>
          </cell>
          <cell r="K85">
            <v>107946736.596</v>
          </cell>
          <cell r="L85">
            <v>98942735.914999992</v>
          </cell>
          <cell r="M85">
            <v>144891319.664</v>
          </cell>
          <cell r="N85">
            <v>109649120.34199999</v>
          </cell>
          <cell r="O85">
            <v>109053867.52000001</v>
          </cell>
          <cell r="P85">
            <v>93118408.108999997</v>
          </cell>
          <cell r="Q85">
            <v>124261477.088</v>
          </cell>
        </row>
      </sheetData>
      <sheetData sheetId="25"/>
      <sheetData sheetId="26">
        <row r="54">
          <cell r="D54">
            <v>1580999369.615</v>
          </cell>
          <cell r="E54">
            <v>1949849778.957</v>
          </cell>
          <cell r="F54">
            <v>2122594833.9889998</v>
          </cell>
          <cell r="G54">
            <v>2109647579.7850001</v>
          </cell>
          <cell r="H54">
            <v>1829822241.2389998</v>
          </cell>
          <cell r="I54">
            <v>1792363775.7639999</v>
          </cell>
          <cell r="J54">
            <v>1488052248</v>
          </cell>
          <cell r="K54">
            <v>1492590366</v>
          </cell>
          <cell r="L54">
            <v>1471268485.3199999</v>
          </cell>
          <cell r="M54">
            <v>1560718751</v>
          </cell>
          <cell r="N54">
            <v>1592669652</v>
          </cell>
          <cell r="O54">
            <v>1468085745</v>
          </cell>
        </row>
        <row r="55">
          <cell r="D55">
            <v>177852881.86899999</v>
          </cell>
          <cell r="E55">
            <v>171908908.37</v>
          </cell>
          <cell r="F55">
            <v>175155725.21599999</v>
          </cell>
          <cell r="G55">
            <v>180036575.947</v>
          </cell>
          <cell r="H55">
            <v>163429294.692</v>
          </cell>
          <cell r="I55">
            <v>187804403.692</v>
          </cell>
          <cell r="J55">
            <v>171772052</v>
          </cell>
          <cell r="K55">
            <v>175463775</v>
          </cell>
          <cell r="L55">
            <v>172168450.509</v>
          </cell>
          <cell r="M55">
            <v>175173146</v>
          </cell>
          <cell r="N55">
            <v>171255108</v>
          </cell>
          <cell r="O55">
            <v>176083316</v>
          </cell>
        </row>
      </sheetData>
      <sheetData sheetId="27"/>
      <sheetData sheetId="28">
        <row r="27">
          <cell r="C27">
            <v>558281.61848886195</v>
          </cell>
          <cell r="D27">
            <v>952091.89851427195</v>
          </cell>
          <cell r="E27">
            <v>428095.77629602334</v>
          </cell>
          <cell r="F27">
            <v>154601.6523396041</v>
          </cell>
          <cell r="G27">
            <v>14567.20111491697</v>
          </cell>
          <cell r="H27">
            <v>-740156.59899292339</v>
          </cell>
          <cell r="I27">
            <v>-142085.18873017182</v>
          </cell>
          <cell r="J27">
            <v>-1909040.8791470625</v>
          </cell>
          <cell r="K27">
            <v>391108.75423350802</v>
          </cell>
          <cell r="L27">
            <v>72646.544400850558</v>
          </cell>
          <cell r="M27">
            <v>-520008.45481479669</v>
          </cell>
          <cell r="N27">
            <v>507910.00018769188</v>
          </cell>
        </row>
        <row r="29">
          <cell r="C29">
            <v>488668.50670832384</v>
          </cell>
          <cell r="D29">
            <v>852094.39585394401</v>
          </cell>
          <cell r="E29">
            <v>387277.2240582158</v>
          </cell>
          <cell r="F29">
            <v>168295.94810319183</v>
          </cell>
          <cell r="G29">
            <v>19932.671785689305</v>
          </cell>
          <cell r="H29">
            <v>-317290.26320523722</v>
          </cell>
          <cell r="I29">
            <v>-61033.767155856884</v>
          </cell>
          <cell r="J29">
            <v>-817043.29791386984</v>
          </cell>
          <cell r="K29">
            <v>166883.59456141185</v>
          </cell>
          <cell r="L29">
            <v>78780.35178826013</v>
          </cell>
          <cell r="M29">
            <v>-456073.88833467982</v>
          </cell>
          <cell r="N29">
            <v>446741.22748542775</v>
          </cell>
        </row>
        <row r="36">
          <cell r="C36">
            <v>45192535.036168337</v>
          </cell>
          <cell r="D36">
            <v>93453897.546413183</v>
          </cell>
          <cell r="E36">
            <v>52367415.719787337</v>
          </cell>
          <cell r="F36">
            <v>71171146.133725539</v>
          </cell>
          <cell r="G36">
            <v>14181372.511321284</v>
          </cell>
          <cell r="H36">
            <v>-11496156.920470042</v>
          </cell>
          <cell r="I36">
            <v>-2207170.5850217612</v>
          </cell>
          <cell r="J36">
            <v>-29579625.601903219</v>
          </cell>
          <cell r="K36">
            <v>6034588.9749646252</v>
          </cell>
          <cell r="L36">
            <v>44229678.104880236</v>
          </cell>
          <cell r="M36">
            <v>-45900458.080219798</v>
          </cell>
          <cell r="N36">
            <v>44259642.039111502</v>
          </cell>
        </row>
        <row r="37">
          <cell r="K37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  <cell r="F6">
            <v>-1</v>
          </cell>
          <cell r="G6">
            <v>-1</v>
          </cell>
          <cell r="H6">
            <v>-1</v>
          </cell>
          <cell r="I6">
            <v>-1</v>
          </cell>
          <cell r="J6">
            <v>-1</v>
          </cell>
          <cell r="K6">
            <v>-1</v>
          </cell>
          <cell r="L6">
            <v>-1</v>
          </cell>
          <cell r="M6">
            <v>-1</v>
          </cell>
          <cell r="N6">
            <v>-1</v>
          </cell>
          <cell r="O6">
            <v>-1</v>
          </cell>
          <cell r="P6">
            <v>-1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asan" refreshedDate="42676.496800231478" createdVersion="4" refreshedVersion="4" minRefreshableVersion="3" recordCount="1371">
  <cacheSource type="worksheet">
    <worksheetSource ref="A3:AT1374" sheet="Tariff Analysis" r:id="rId2"/>
  </cacheSource>
  <cacheFields count="46">
    <cacheField name="Division" numFmtId="0">
      <sharedItems/>
    </cacheField>
    <cacheField name="Fuel" numFmtId="0">
      <sharedItems/>
    </cacheField>
    <cacheField name="Tariff" numFmtId="0">
      <sharedItems containsMixedTypes="1" containsNumber="1" containsInteger="1" minValue="7" maxValue="49" count="14">
        <s v="Firm Resale"/>
        <n v="31"/>
        <n v="25"/>
        <n v="26"/>
        <n v="24"/>
        <n v="29"/>
        <n v="35"/>
        <n v="40"/>
        <n v="43"/>
        <s v="Transportation"/>
        <n v="46"/>
        <n v="49"/>
        <s v="7A"/>
        <n v="7"/>
      </sharedItems>
    </cacheField>
    <cacheField name="Rate Category" numFmtId="0">
      <sharedItems count="29">
        <s v="SCH_05E"/>
        <s v="SCH_10E"/>
        <s v="SCH_11E"/>
        <s v="SCH_12E"/>
        <s v="SCH_24EC"/>
        <s v="SCH_24EI"/>
        <s v="SCH_24EL"/>
        <s v="SCH_25EC"/>
        <s v="SCH_25EI"/>
        <s v="SCH_25EL"/>
        <s v="SCH_26EC"/>
        <s v="SCH_26EI"/>
        <s v="SCH_29E"/>
        <s v="SCH_31EC"/>
        <s v="SCH_31EI"/>
        <s v="SCH_35E"/>
        <s v="SCH_40EC"/>
        <s v="SCH_40EI"/>
        <s v="SCH_43E"/>
        <s v="SCH_449EC"/>
        <s v="SCH_449EI"/>
        <s v="SCH_459EI"/>
        <s v="SCH_46EC"/>
        <s v="SCH_46EI"/>
        <s v="SCH_49EC"/>
        <s v="SCH_49EI"/>
        <s v="SCH_7AE"/>
        <s v="SCH_7E"/>
        <s v="SCH_8E"/>
      </sharedItems>
    </cacheField>
    <cacheField name="Description" numFmtId="0">
      <sharedItems count="21">
        <s v="Wholesale for Resale"/>
        <s v="Res &amp; Farm Primary General Service"/>
        <s v="Res &amp; Farm Small Demand General Service"/>
        <s v="Res &amp; Farm Large Demand General Service"/>
        <s v="General Service"/>
        <s v="Small Demand General Service"/>
        <s v="Large Demand General Service"/>
        <s v="Seasonal Irrigation &amp; Drainage Pumping"/>
        <s v="Primary General Service"/>
        <s v="Seasonal Primary Irrigation &amp; Drainage"/>
        <s v="Large Demand Gen Service greater 3 aMW"/>
        <s v=" Large Demand Gen Service greater 3 aMW"/>
        <s v=" Interruptible Pri Service for Schools"/>
        <s v="Schedule 449 Commercial"/>
        <s v="Schedule 449 Industrial"/>
        <s v="Schedule 459 Industrial"/>
        <s v="High Voltage Interruptible Service"/>
        <s v="High Voltage General Service"/>
        <s v="Master Meter Residential Service"/>
        <s v="Residential Service"/>
        <s v="Res &amp; Farm General Service"/>
      </sharedItems>
    </cacheField>
    <cacheField name="Statistical Rate" numFmtId="0">
      <sharedItems count="90">
        <s v="ECI_05ETAX"/>
        <s v="ECI_CONS"/>
        <s v="ECI_DMD05E"/>
        <s v="ECI_KVARH"/>
        <s v="ECI_KW"/>
        <s v="ECI_NRG"/>
        <s v="ECI_RPWR"/>
        <s v="ECI_120"/>
        <s v="ECI_129"/>
        <s v="ECI_132"/>
        <s v="ECI_133"/>
        <s v="ECI_137"/>
        <s v="ECI_194"/>
        <s v="ECI_95"/>
        <s v="ECI_95A"/>
        <s v="ECI_BASIC"/>
        <s v="ECI_DM10CH"/>
        <s v="ECI_FSTAX"/>
        <s v="ECI_135"/>
        <s v="ECI_151"/>
        <s v="ECI_KWCH"/>
        <s v="ECI_KWHKWI"/>
        <s v="ECI_NET_I"/>
        <s v="ECI_PROD"/>
        <s v="ECI_136"/>
        <s v="ECI_150"/>
        <s v="ECI_BASCUN"/>
        <s v="ECI_KVH_M"/>
        <s v="ECI_KW_M"/>
        <s v="ECI_NTMTR"/>
        <s v="ECI_PRODB"/>
        <s v="ECI_SIMBI"/>
        <s v="ECI_DEDT_I"/>
        <s v="ECI_DMD26"/>
        <s v="ECI_NRG_PS"/>
        <s v="ECI_DM31CH"/>
        <s v="ECI_95_40"/>
        <s v="ECI_BSC40"/>
        <s v="ECI_DIST40"/>
        <s v="ECI_DM40CH"/>
        <s v="ECI_RPWR40"/>
        <s v="ECI_120C"/>
        <s v="ECI_129C"/>
        <s v="ECI_132C"/>
        <s v="ECI_ANC1"/>
        <s v="ECI_ANC2"/>
        <s v="ECI_ANC3"/>
        <s v="ECI_ANC5"/>
        <s v="ECI_ANC6"/>
        <s v="ECI_CUSTCH"/>
        <s v="ECI_DIST"/>
        <s v="ECI_FRFEE"/>
        <s v="ECI_IMBAL"/>
        <s v="ECI_KVAI"/>
        <s v="ECI_KWHSI"/>
        <s v="ECI_NITSCN"/>
        <s v="ECI_OATTAX"/>
        <s v="ECI_449I"/>
        <s v="ECI_IMBPEN"/>
        <s v="ECI_IMBTAX"/>
        <s v="ECI_46I"/>
        <s v="ECI_46KVAC"/>
        <s v="ECI_ANMN46"/>
        <s v="ECI_49I"/>
        <s v="ECI_49KVAC"/>
        <s v="ERES_120"/>
        <s v="ERES_129"/>
        <s v="ERES_132"/>
        <s v="ERES_133"/>
        <s v="ERES_137"/>
        <s v="ERES_194"/>
        <s v="ERES_95"/>
        <s v="ERES_95A"/>
        <s v="ERES_BASIC"/>
        <s v="ERES_CONS"/>
        <s v="ERES_FSTAX"/>
        <s v="ERES_KVARH"/>
        <s v="ERES_KW"/>
        <s v="ERES_KWCH"/>
        <s v="ERES_NRG7A"/>
        <s v="ERES_RPWR"/>
        <s v="ERES_135"/>
        <s v="ERES_136"/>
        <s v="ERES_150"/>
        <s v="ERES_151"/>
        <s v="ERES_NRG"/>
        <s v="ERES_NTMTR"/>
        <s v="ERES_PROD"/>
        <s v="ERES_PRODB"/>
        <s v="ERES_SIMBI"/>
      </sharedItems>
    </cacheField>
    <cacheField name="Price Amount (char)" numFmtId="0">
      <sharedItems count="399">
        <s v="      0.00000000"/>
        <s v="      0.05990000"/>
        <s v="      5.25000000"/>
        <s v="      0.03514000"/>
        <s v="      0.00025000"/>
        <s v="      0.00400800"/>
        <s v="      0.00469200"/>
        <s v="      0.00066500"/>
        <s v="      0.00070300"/>
        <s v="      0.00022200-"/>
        <s v="      0.00025900-"/>
        <s v="      0.00011100-"/>
        <s v="      0.00006800-"/>
        <s v="      0.00015200-"/>
        <s v="      0.00679400-"/>
        <s v="      0.00927900-"/>
        <s v="      0.00128000-"/>
        <s v="      0.00228600-"/>
        <s v="      0.00249200-"/>
        <s v="    356.91000000"/>
        <s v="      8.61000000"/>
        <s v="      9.29000000"/>
        <s v="     12.53000000"/>
        <s v="      0.02290000"/>
        <s v="      0.06040000"/>
        <s v="      0.06250000"/>
        <s v="      0.10000000"/>
        <s v="      0.05654400"/>
        <s v="      0.05664900"/>
        <s v="      0.00109000"/>
        <s v="      0.00407900"/>
        <s v="      0.00444600"/>
        <s v="      0.00453800"/>
        <s v="      0.00073900"/>
        <s v="      0.00079900"/>
        <s v="      0.00025000-"/>
        <s v="      0.00026100-"/>
        <s v="      0.00026600-"/>
        <s v="      0.00010600-"/>
        <s v="      0.00287300-"/>
        <s v="      0.02237700-"/>
        <s v="      2.00000000"/>
        <s v="      0.00006500-"/>
        <s v="      0.00016200-"/>
        <s v="      0.00074900-"/>
        <s v="      0.01517000-"/>
        <s v="      0.00047800-"/>
        <s v="      0.00137000-"/>
        <s v="      0.00236000-"/>
        <s v="      0.00243700-"/>
        <s v="      0.00259600-"/>
        <s v="     54.27000000"/>
        <s v="      0.01020000"/>
        <s v="      0.02120000"/>
        <s v="      0.03020000"/>
        <s v="      0.04160000"/>
        <s v="      0.04330000"/>
        <s v="      0.05210000"/>
        <s v="      0.05480000"/>
        <s v="      0.06370000"/>
        <s v="      0.06420000"/>
        <s v="      0.06650000"/>
        <s v="      0.06690000"/>
        <s v="      0.08080000"/>
        <s v="      0.09060000"/>
        <s v="      6.02000000"/>
        <s v="      9.02000000"/>
        <s v="      0.06838600"/>
        <s v="      0.07073200"/>
        <s v="      0.07088700"/>
        <s v="      0.08601300"/>
        <s v="      0.08835900"/>
        <s v="      0.08851400"/>
        <s v="      0.09430000"/>
        <s v="      0.09664600"/>
        <s v="      0.00283000"/>
        <s v="      0.00432700"/>
        <s v="      0.00463800"/>
        <s v="      0.00067000"/>
        <s v="      0.00070900"/>
        <s v="      0.00021300-"/>
        <s v="      0.00022100-"/>
        <s v="      0.00007700-"/>
        <s v="      0.00016800-"/>
        <s v="      0.00141300-"/>
        <s v="      0.00247830-"/>
        <s v="      0.00253100-"/>
        <s v="    110.46000000"/>
        <s v="      8.88000000"/>
        <s v="      9.31000000"/>
        <s v="     12.93000000"/>
        <s v="      0.05880000"/>
        <s v="      0.05909900"/>
        <s v="      0.00127000"/>
        <s v="      0.00386900"/>
        <s v="      0.00398400"/>
        <s v="      0.00412300"/>
        <s v="      0.00421200"/>
        <s v="      0.00462000"/>
        <s v="      0.00481500"/>
        <s v="      0.00054900"/>
        <s v="      0.00072900"/>
        <s v="      0.00078800"/>
        <s v="      0.00085900"/>
        <s v="      0.00025700-"/>
        <s v="      0.00028000-"/>
        <s v="      0.00030300-"/>
        <s v="      0.00031100-"/>
        <s v="      0.00031500-"/>
        <s v="      0.00015400-"/>
        <s v="      0.00439900-"/>
        <s v="      0.02947600-"/>
        <s v="      0.01000000"/>
        <s v="      0.01250000"/>
        <s v="      0.00350000"/>
        <s v="      0.00600000"/>
        <s v="      0.00007000-"/>
        <s v="      0.00016500-"/>
        <s v="      0.00031800-"/>
        <s v="      0.00076300-"/>
        <s v="      0.00049000-"/>
        <s v="      0.00137500-"/>
        <s v="      0.00039100-"/>
        <s v="      0.00247800-"/>
        <s v="      0.00255600-"/>
        <s v="      0.00264200-"/>
        <s v="      0.00297200-"/>
        <s v="      7.87000000"/>
        <s v="      9.66000000"/>
        <s v="     10.16000000"/>
        <s v="     24.55000000"/>
        <s v="     25.81000000"/>
        <s v="      0.03240000"/>
        <s v="      0.04360000"/>
        <s v="      0.05510000"/>
        <s v="      0.05770000"/>
        <s v="      0.06290000"/>
        <s v="      0.07030000"/>
        <s v="      0.08900000"/>
        <s v="      0.08544900"/>
        <s v="      0.08828800"/>
        <s v="      0.08977900"/>
        <s v="      0.09114400"/>
        <s v="      0.09138600"/>
        <s v="      0.09292000"/>
        <s v="      0.09352100"/>
        <s v="      0.09352800"/>
        <s v="      0.09428500"/>
        <s v="      0.09666200"/>
        <s v="      0.00385200"/>
        <s v="      0.00414600"/>
        <s v="      0.00067400"/>
        <s v="      0.00023600-"/>
        <s v="      0.00031300-"/>
        <s v="      0.00290200-"/>
        <s v="     51.67000000"/>
        <s v="      6.01000000"/>
        <s v="      9.01000000"/>
        <s v="      0.06571400"/>
        <s v="      0.06704200"/>
        <s v="      0.08307200"/>
        <s v="      0.08466900"/>
        <s v="      0.09122500"/>
        <s v="      0.09295600"/>
        <s v="      0.00471500"/>
        <s v="      0.00020400-"/>
        <s v="      0.00210200-"/>
        <s v="      0.01684700-"/>
        <s v="      0.00077800-"/>
        <s v="      0.00048900-"/>
        <s v="      0.00269500-"/>
        <s v="      8.30000000"/>
        <s v="      8.53000000"/>
        <s v="      8.96000000"/>
        <s v="     12.35000000"/>
        <s v="     12.58000000"/>
        <s v="      0.05684300"/>
        <s v="      0.05714200"/>
        <s v="      0.05816400"/>
        <s v="      0.05864800"/>
        <s v="      0.00403400"/>
        <s v="      0.00413800"/>
        <s v="      0.00446400"/>
        <s v="      0.00071000"/>
        <s v="      0.00073300"/>
        <s v="      0.00014700-"/>
        <s v="      0.00068100-"/>
        <s v="      0.00044100-"/>
        <s v="      0.00129000-"/>
        <s v="      0.00220800-"/>
        <s v="      0.00237800-"/>
        <s v="     10.04000000"/>
        <s v="     25.50000000"/>
        <s v="      4.35000000"/>
        <s v="      8.83000000"/>
        <s v="      0.05962400"/>
        <s v="      0.05977900"/>
        <s v="      0.06629300"/>
        <s v="      0.06863900"/>
        <s v="      0.06879400"/>
        <s v="      0.07468500"/>
        <s v="      0.09419700"/>
        <s v="      0.09654300"/>
        <s v="      0.00281000"/>
        <s v="      0.00368800"/>
        <s v="      0.00387900"/>
        <s v="      0.00424500"/>
        <s v="      0.00061200"/>
        <s v="      0.00021200-"/>
        <s v="      0.00302100-"/>
        <s v="      0.01738100-"/>
        <s v="      0.00029300-"/>
        <s v="      0.00069900-"/>
        <s v="      0.00045800-"/>
        <s v="      0.00242100-"/>
        <s v="      0.00271100-"/>
        <s v="    339.51000000"/>
        <s v="      5.76000000"/>
        <s v="      5.88000000"/>
        <s v="      7.65000000"/>
        <s v="      7.66000000"/>
        <s v="      7.88000000"/>
        <s v="      8.64000000"/>
        <s v="      8.82000000"/>
        <s v="     11.57000000"/>
        <s v="     11.58000000"/>
        <s v="      0.05582700"/>
        <s v="      0.05616700"/>
        <s v="      0.06152200"/>
        <s v="      0.06242900"/>
        <s v="      0.00273900"/>
        <s v="      0.00345600"/>
        <s v="      0.00042100"/>
        <s v="      0.00050200"/>
        <s v="      0.00005000-"/>
        <s v="      0.00013500-"/>
        <s v="      0.00111300-"/>
        <s v="      0.00184500-"/>
        <s v="      0.00203600-"/>
        <s v="      2.99000000"/>
        <s v="      4.49000000"/>
        <s v="      0.05417200"/>
        <s v="      0.05418900"/>
        <s v="      0.00108000"/>
        <s v="      0.00422000"/>
        <s v="      0.00544000"/>
        <s v="      0.00056700"/>
        <s v="      0.00062300"/>
        <s v="      0.00010900-"/>
        <s v="      0.00015800-"/>
        <s v="      0.00008300-"/>
        <s v="      0.00008000-"/>
        <s v="      0.00016900-"/>
        <s v="      0.00254800-"/>
        <s v="      0.00293300-"/>
        <s v="      0.00141700-"/>
        <s v="      0.01151100"/>
        <s v="      0.01613100"/>
        <s v="      0.01637700"/>
        <s v="      0.58000000"/>
        <s v="      1.31000000"/>
        <s v="      1.55000000"/>
        <s v="      1.68000000"/>
        <s v="      1.80000000"/>
        <s v="      1.86000000"/>
        <s v="      2.09000000"/>
        <s v="      4.04000000"/>
        <s v="      5.28000000"/>
        <s v="      5.35000000"/>
        <s v="      3.78000000"/>
        <s v="      3.86000000"/>
        <s v="      4.11000000"/>
        <s v="      4.20000000"/>
        <s v="      0.06128400"/>
        <s v="      0.06152300"/>
        <s v="      0.06274300"/>
        <s v="      0.06298200"/>
        <s v="      0.83000000"/>
        <s v="      0.87000000"/>
        <s v="      0.00383700"/>
        <s v="      0.00385400"/>
        <s v="      0.00458100"/>
        <s v="      0.00072500"/>
        <s v="      0.00079200"/>
        <s v="      0.00013700-"/>
        <s v="      0.00125600-"/>
        <s v="      0.00205900-"/>
        <s v="      0.00249800-"/>
        <s v="      4.98000000"/>
        <s v="      0.06024200"/>
        <s v="      0.06349200"/>
        <s v="      0.06350800"/>
        <s v="      0.00315000"/>
        <s v="      0.00108200"/>
        <s v="      0.00002800"/>
        <s v="      0.00003100"/>
        <s v="      0.00003100-"/>
        <s v="      0.00003400-"/>
        <s v="      0.07110000"/>
        <s v="      0.07220000"/>
        <s v="      0.00628000"/>
        <s v="      0.12705000"/>
        <s v="      0.13875000"/>
        <s v="      0.13500000"/>
        <s v="   2037.94000000"/>
        <s v="   2099.08000000"/>
        <s v="      1.57100000"/>
        <s v="      1.61400000"/>
        <s v="      1.63600000"/>
        <s v="      1.79940000"/>
        <s v="      1.95010000"/>
        <s v="      0.04500000"/>
        <s v="      0.04900000"/>
        <s v="      0.07100000"/>
        <s v="      0.00283600"/>
        <s v="      0.00373400"/>
        <s v="      0.00054700"/>
        <s v="      0.00007800-"/>
        <s v="      0.00009500-"/>
        <s v="      0.00003200-"/>
        <s v="      0.00005300-"/>
        <s v="      0.00013600-"/>
        <s v="      0.00119800-"/>
        <s v="      0.00192600-"/>
        <s v="      0.00204500-"/>
        <s v="      0.05962200"/>
        <s v="      0.05963200"/>
        <s v="      0.00379000"/>
        <s v="      0.00426000"/>
        <s v="      0.00052500"/>
        <s v="      0.00057300"/>
        <s v="      0.00006200-"/>
        <s v="      0.00014200-"/>
        <s v="      3.70000000"/>
        <s v="      0.00104300-"/>
        <s v="      0.00214400-"/>
        <s v="      0.00224900-"/>
        <s v="      0.07201500"/>
        <s v="      0.07394500"/>
        <s v="      0.08964200"/>
        <s v="      0.09157200"/>
        <s v="      0.09792900"/>
        <s v="      0.00433600"/>
        <s v="      0.00435900"/>
        <s v="      0.00461700"/>
        <s v="      0.00463200"/>
        <s v="      0.00503300"/>
        <s v="      0.00529700"/>
        <s v="      0.00555700"/>
        <s v="      0.00057200"/>
        <s v="      0.00058700"/>
        <s v="      0.00077700"/>
        <s v="      0.00085600"/>
        <s v="      0.00091300"/>
        <s v="      0.00032500-"/>
        <s v="      0.00033200-"/>
        <s v="      0.00033500-"/>
        <s v="      0.00034500-"/>
        <s v="      0.00035400-"/>
        <s v="      0.00037000-"/>
        <s v="      0.00037400-"/>
        <s v="      0.00011300"/>
        <s v="      0.00020600-"/>
        <s v="      0.00607700-"/>
        <s v="      0.02911700-"/>
        <s v="      0.00018100-"/>
        <s v="      0.00034800-"/>
        <s v="      0.00057600-"/>
        <s v="      0.00085000-"/>
        <s v="      0.00262600-"/>
        <s v="      0.00629200-"/>
        <s v="      0.00678500-"/>
        <s v="      0.00052800-"/>
        <s v="      0.00149100-"/>
        <s v="      0.00022700-"/>
        <s v="      0.00043900-"/>
        <s v="      0.00047400-"/>
        <s v="      0.00272400-"/>
        <s v="      0.00294700-"/>
        <s v="      0.00301500-"/>
        <s v="      0.00332300-"/>
        <s v="      7.25000000"/>
        <s v="      7.49000000"/>
        <s v="     18.89000000"/>
        <s v="      0.02670000"/>
        <s v="      0.03210000"/>
        <s v="      0.07050000"/>
        <s v="      0.08499100"/>
        <s v="      0.08781700"/>
        <s v="      0.09055800"/>
        <s v="      0.09124700"/>
        <s v="      0.09462600"/>
        <s v="      0.09663000"/>
        <s v="      0.10297400"/>
        <s v="      0.10639500"/>
        <s v="      0.10938000"/>
        <s v="      0.11006900"/>
        <s v="      0.11344800"/>
        <s v="      0.11545200"/>
      </sharedItems>
    </cacheField>
    <cacheField name="TY Ending 09/2016 - $" numFmtId="44">
      <sharedItems containsSemiMixedTypes="0" containsString="0" containsNumber="1" minValue="-66579803.489999995" maxValue="382393266.88999999"/>
    </cacheField>
    <cacheField name="TY Ending 09/2016 - kW-kVa" numFmtId="170">
      <sharedItems containsSemiMixedTypes="0" containsString="0" containsNumber="1" minValue="0" maxValue="46929798.843766674"/>
    </cacheField>
    <cacheField name="TY Ending 09/2016 - kWh-kVarh" numFmtId="170">
      <sharedItems containsSemiMixedTypes="0" containsString="0" containsNumber="1" minValue="0" maxValue="10227816743.244001"/>
    </cacheField>
    <cacheField name="010/2015 $" numFmtId="0">
      <sharedItems containsString="0" containsBlank="1" containsNumber="1" minValue="-3805266.4" maxValue="44931197.229999997"/>
    </cacheField>
    <cacheField name="011/2015 $" numFmtId="0">
      <sharedItems containsString="0" containsBlank="1" containsNumber="1" minValue="-5566010.4800000004" maxValue="47835636.689999998"/>
    </cacheField>
    <cacheField name="012/2015 $" numFmtId="0">
      <sharedItems containsString="0" containsBlank="1" containsNumber="1" minValue="-7812342.21" maxValue="69456448.790000007"/>
    </cacheField>
    <cacheField name="001/2016 $" numFmtId="0">
      <sharedItems containsString="0" containsBlank="1" containsNumber="1" minValue="-8596920.4499999993" maxValue="81822044.519999996"/>
    </cacheField>
    <cacheField name="002/2016 $" numFmtId="0">
      <sharedItems containsString="0" containsBlank="1" containsNumber="1" minValue="-7441162.2699999996" maxValue="63828029.259999998"/>
    </cacheField>
    <cacheField name="003/2016 $" numFmtId="0">
      <sharedItems containsString="0" containsBlank="1" containsNumber="1" minValue="-6673417.4100000001" maxValue="52139820.520000003"/>
    </cacheField>
    <cacheField name="004/2016 $" numFmtId="0">
      <sharedItems containsString="0" containsBlank="1" containsNumber="1" minValue="-5708649.6299999999" maxValue="47437641.25"/>
    </cacheField>
    <cacheField name="005/2016 $" numFmtId="0">
      <sharedItems containsString="0" containsBlank="1" containsNumber="1" minValue="-4612964.01" maxValue="25570291.989999998"/>
    </cacheField>
    <cacheField name="006/2016 $" numFmtId="0">
      <sharedItems containsString="0" containsBlank="1" containsNumber="1" minValue="-4643908.4800000004" maxValue="45194433.079999998"/>
    </cacheField>
    <cacheField name="007/2016 $" numFmtId="0">
      <sharedItems containsString="0" containsBlank="1" containsNumber="1" minValue="-4431030.24" maxValue="44779372.329999998"/>
    </cacheField>
    <cacheField name="008/2016 $" numFmtId="0">
      <sharedItems containsString="0" containsBlank="1" containsNumber="1" minValue="-4623724.59" maxValue="45258097.700000003"/>
    </cacheField>
    <cacheField name="009/2016 $" numFmtId="0">
      <sharedItems containsString="0" containsBlank="1" containsNumber="1" minValue="-4605361.8899999997" maxValue="45601506.359999999"/>
    </cacheField>
    <cacheField name="010/2015 kW-kVa" numFmtId="0">
      <sharedItems containsString="0" containsBlank="1" containsNumber="1" minValue="11.618" maxValue="302821.88"/>
    </cacheField>
    <cacheField name="011/2015 kW-kVa" numFmtId="0">
      <sharedItems containsString="0" containsBlank="1" containsNumber="1" minValue="13" maxValue="20080204.646000002"/>
    </cacheField>
    <cacheField name="012/2015 kW-kVa" numFmtId="0">
      <sharedItems containsString="0" containsBlank="1" containsNumber="1" minValue="4.8" maxValue="5171798.7273333333"/>
    </cacheField>
    <cacheField name="001/2016 kW-kVa" numFmtId="0">
      <sharedItems containsString="0" containsBlank="1" containsNumber="1" minValue="4.8" maxValue="389249.90266666666"/>
    </cacheField>
    <cacheField name="002/2016 kW-kVa" numFmtId="0">
      <sharedItems containsString="0" containsBlank="1" containsNumber="1" minValue="4.8" maxValue="6057302.8260000004"/>
    </cacheField>
    <cacheField name="003/2016 kW-kVa" numFmtId="0">
      <sharedItems containsString="0" containsBlank="1" containsNumber="1" minValue="4.8" maxValue="388878.78466666664"/>
    </cacheField>
    <cacheField name="004/2016 kW-kVa" numFmtId="0">
      <sharedItems containsString="0" containsBlank="1" containsNumber="1" minValue="4.8" maxValue="377006.55533333332"/>
    </cacheField>
    <cacheField name="005/2016 kW-kVa" numFmtId="0">
      <sharedItems containsString="0" containsBlank="1" containsNumber="1" minValue="12.093" maxValue="374078.23200000002"/>
    </cacheField>
    <cacheField name="006/2016 kW-kVa" numFmtId="0">
      <sharedItems containsString="0" containsBlank="1" containsNumber="1" minValue="13" maxValue="403179.11866666668"/>
    </cacheField>
    <cacheField name="007/2016 kW-kVa" numFmtId="0">
      <sharedItems containsString="0" containsBlank="1" containsNumber="1" minValue="13" maxValue="15065966.449999999"/>
    </cacheField>
    <cacheField name="008/2016 kW-kVa" numFmtId="0">
      <sharedItems containsString="0" containsBlank="1" containsNumber="1" minValue="13" maxValue="411330.76"/>
    </cacheField>
    <cacheField name="009/2016 kW-kVa" numFmtId="0">
      <sharedItems containsString="0" containsBlank="1" containsNumber="1" minValue="13" maxValue="385411.61266666668"/>
    </cacheField>
    <cacheField name="010/2015 kWh-kVarh" numFmtId="0">
      <sharedItems containsString="0" containsBlank="1" containsNumber="1" minValue="966.35400000000004" maxValue="684451712.38699996"/>
    </cacheField>
    <cacheField name="011/2015 kWh-kVarh" numFmtId="0">
      <sharedItems containsString="0" containsBlank="1" containsNumber="1" minValue="1057.0440000000001" maxValue="834615687.98500001"/>
    </cacheField>
    <cacheField name="012/2015 kWh-kVarh" numFmtId="0">
      <sharedItems containsString="0" containsBlank="1" containsNumber="1" minValue="1794.58" maxValue="1150603706.0480001"/>
    </cacheField>
    <cacheField name="001/2016 kWh-kVarh" numFmtId="0">
      <sharedItems containsString="0" containsBlank="1" containsNumber="1" minValue="1794.58" maxValue="1265585312.434"/>
    </cacheField>
    <cacheField name="002/2016 kWh-kVarh" numFmtId="0">
      <sharedItems containsString="0" containsBlank="1" containsNumber="1" minValue="1794.58" maxValue="1096245431.2479999"/>
    </cacheField>
    <cacheField name="003/2016 kWh-kVarh" numFmtId="0">
      <sharedItems containsString="0" containsBlank="1" containsNumber="1" minValue="1794.58" maxValue="982451796.75699997"/>
    </cacheField>
    <cacheField name="004/2016 kWh-kVarh" numFmtId="0">
      <sharedItems containsString="0" containsBlank="1" containsNumber="1" minValue="1794.58" maxValue="840525695.04200006"/>
    </cacheField>
    <cacheField name="005/2016 kWh-kVarh" numFmtId="0">
      <sharedItems containsString="0" containsBlank="1" containsNumber="1" minValue="1391.922" maxValue="679112891.36099994"/>
    </cacheField>
    <cacheField name="006/2016 kWh-kVarh" numFmtId="0">
      <sharedItems containsString="0" containsBlank="1" containsNumber="1" minValue="1133.0820000000001" maxValue="683637150.29499996"/>
    </cacheField>
    <cacheField name="007/2016 kWh-kVarh" numFmtId="0">
      <sharedItems containsString="0" containsBlank="1" containsNumber="1" minValue="1484.232" maxValue="652213623.07099998"/>
    </cacheField>
    <cacheField name="008/2016 kWh-kVarh" numFmtId="0">
      <sharedItems containsString="0" containsBlank="1" containsNumber="1" minValue="1415.904" maxValue="680559266.26300001"/>
    </cacheField>
    <cacheField name="009/2016 kWh-kVarh" numFmtId="0">
      <sharedItems containsString="0" containsBlank="1" containsNumber="1" minValue="-804460" maxValue="677814470.353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rasan" refreshedDate="42676.496797916669" createdVersion="4" refreshedVersion="4" minRefreshableVersion="3" recordCount="52">
  <cacheSource type="worksheet">
    <worksheetSource ref="A6:AV58" sheet="26P Analysis" r:id="rId2"/>
  </cacheSource>
  <cacheFields count="48">
    <cacheField name="Division" numFmtId="0">
      <sharedItems/>
    </cacheField>
    <cacheField name="Fuel" numFmtId="0">
      <sharedItems/>
    </cacheField>
    <cacheField name="Tariff" numFmtId="0">
      <sharedItems count="1">
        <s v="26P"/>
      </sharedItems>
    </cacheField>
    <cacheField name="Rate Category" numFmtId="0">
      <sharedItems/>
    </cacheField>
    <cacheField name="Descrip" numFmtId="0">
      <sharedItems/>
    </cacheField>
    <cacheField name="Business Partner" numFmtId="0">
      <sharedItems/>
    </cacheField>
    <cacheField name="Contract Account" numFmtId="0">
      <sharedItems/>
    </cacheField>
    <cacheField name="Statistical Rate" numFmtId="0">
      <sharedItems count="15">
        <s v="ECI_120"/>
        <s v="ECI_129"/>
        <s v="ECI_132"/>
        <s v="ECI_133"/>
        <s v="ECI_137"/>
        <s v="ECI_95"/>
        <s v="ECI_95A"/>
        <s v="ECI_BASIC"/>
        <s v="ECI_CONS"/>
        <s v="ECI_DMD26"/>
        <s v="ECI_FSTAX"/>
        <s v="ECI_KVARH"/>
        <s v="ECI_KW"/>
        <s v="ECI_NRG_PS"/>
        <s v="ECI_RPWR"/>
      </sharedItems>
    </cacheField>
    <cacheField name="Price Amount (char)" numFmtId="0">
      <sharedItems count="22">
        <s v="      0.00432700"/>
        <s v="      0.00463800"/>
        <s v="      0.00067000"/>
        <s v="      0.00070900"/>
        <s v="      0.00021300-"/>
        <s v="      0.00022100-"/>
        <s v="      0.00000000"/>
        <s v="      0.00007700-"/>
        <s v="      0.00006800-"/>
        <s v="      0.00016800-"/>
        <s v="      0.00141300-"/>
        <s v="      0.00247800-"/>
        <s v="      0.00253100-"/>
        <s v="    356.91000000"/>
        <s v="      8.53000000"/>
        <s v="      8.96000000"/>
        <s v="     12.58000000"/>
        <s v="      0.05480000"/>
        <s v="      0.05684300"/>
        <s v="      0.05714200"/>
        <s v="      0.00127000"/>
        <s v="      0.06650000"/>
      </sharedItems>
    </cacheField>
    <cacheField name="TY Ending 09/2016 - $" numFmtId="170">
      <sharedItems containsSemiMixedTypes="0" containsString="0" containsNumber="1" minValue="-16667.89" maxValue="365901.52999999997"/>
    </cacheField>
    <cacheField name="TY Ending 09/2016 - kW-kVa" numFmtId="170">
      <sharedItems containsSemiMixedTypes="0" containsString="0" containsNumber="1" minValue="0" maxValue="24375.4"/>
    </cacheField>
    <cacheField name="TY Ending 09/2016 - kWh-kVarh" numFmtId="170">
      <sharedItems containsSemiMixedTypes="0" containsString="0" containsNumber="1" containsInteger="1" minValue="0" maxValue="9671900"/>
    </cacheField>
    <cacheField name="010/2015 $" numFmtId="0">
      <sharedItems containsString="0" containsBlank="1" containsNumber="1" minValue="-1904.58" maxValue="42774.36"/>
    </cacheField>
    <cacheField name="011/2015 $" numFmtId="0">
      <sharedItems containsString="0" containsBlank="1" containsNumber="1" minValue="-86543.47" maxValue="3853.45"/>
    </cacheField>
    <cacheField name="012/2015 $" numFmtId="0">
      <sharedItems containsString="0" containsBlank="1" containsNumber="1" minValue="-8550.2199999999993" maxValue="192027.02"/>
    </cacheField>
    <cacheField name="001/2016 $" numFmtId="0">
      <sharedItems containsString="0" containsBlank="1" containsNumber="1" minValue="-574.53" maxValue="18570.61"/>
    </cacheField>
    <cacheField name="002/2016 $" numFmtId="0">
      <sharedItems containsString="0" containsBlank="1" containsNumber="1" minValue="-4133.67" maxValue="113998.64"/>
    </cacheField>
    <cacheField name="003/2016 $" numFmtId="0">
      <sharedItems containsString="0" containsBlank="1" containsNumber="1" minValue="-2185.6" maxValue="50135.53"/>
    </cacheField>
    <cacheField name="004/2016 $" numFmtId="0">
      <sharedItems containsString="0" containsBlank="1" containsNumber="1" minValue="-1890.71" maxValue="43371.21"/>
    </cacheField>
    <cacheField name="005/2016 $" numFmtId="0">
      <sharedItems containsNonDate="0" containsString="0" containsBlank="1"/>
    </cacheField>
    <cacheField name="006/2016 $" numFmtId="0">
      <sharedItems containsString="0" containsBlank="1" containsNumber="1" minValue="-3273.19" maxValue="65287.3"/>
    </cacheField>
    <cacheField name="007/2016 $" numFmtId="0">
      <sharedItems containsString="0" containsBlank="1" containsNumber="1" minValue="-2772.13" maxValue="44942.96"/>
    </cacheField>
    <cacheField name="008/2016 $" numFmtId="0">
      <sharedItems containsString="0" containsBlank="1" containsNumber="1" minValue="-3568.07" maxValue="82278.77"/>
    </cacheField>
    <cacheField name="009/2016 $" numFmtId="0">
      <sharedItems containsString="0" containsBlank="1" containsNumber="1" minValue="-1616.65" maxValue="37279.440000000002"/>
    </cacheField>
    <cacheField name="010/2015 kW" numFmtId="0">
      <sharedItems containsString="0" containsBlank="1" containsNumber="1" minValue="529.20000000000005" maxValue="1956.5"/>
    </cacheField>
    <cacheField name="011/2015 kW" numFmtId="0">
      <sharedItems containsString="0" containsBlank="1" containsNumber="1" minValue="-3767.4" maxValue="-3767.4"/>
    </cacheField>
    <cacheField name="012/2015 kW" numFmtId="0">
      <sharedItems containsString="0" containsBlank="1" containsNumber="1" minValue="1134" maxValue="8584.1"/>
    </cacheField>
    <cacheField name="001/2016 kW" numFmtId="0">
      <sharedItems containsString="0" containsBlank="1" containsNumber="1" minValue="554.4" maxValue="554.4"/>
    </cacheField>
    <cacheField name="002/2016 kW" numFmtId="0">
      <sharedItems containsString="0" containsBlank="1" containsNumber="1" minValue="529.20000000000005" maxValue="4678.8"/>
    </cacheField>
    <cacheField name="003/2016 kW" numFmtId="0">
      <sharedItems containsString="0" containsBlank="1" containsNumber="1" minValue="558" maxValue="2205.6999999999998"/>
    </cacheField>
    <cacheField name="004/2016 kW" numFmtId="0">
      <sharedItems containsString="0" containsBlank="1" containsNumber="1" minValue="1970.5" maxValue="1970.5"/>
    </cacheField>
    <cacheField name="005/2016 kW" numFmtId="0">
      <sharedItems containsNonDate="0" containsString="0" containsBlank="1"/>
    </cacheField>
    <cacheField name="006/2016 kW" numFmtId="0">
      <sharedItems containsString="0" containsBlank="1" containsNumber="1" minValue="3526.6" maxValue="3526.6"/>
    </cacheField>
    <cacheField name="007/2016 kW" numFmtId="0">
      <sharedItems containsString="0" containsBlank="1" containsNumber="1" minValue="2228.4" maxValue="2228.4"/>
    </cacheField>
    <cacheField name="008/2016 kW" numFmtId="0">
      <sharedItems containsString="0" containsBlank="1" containsNumber="1" minValue="597.6" maxValue="3564.4"/>
    </cacheField>
    <cacheField name="009/2016 kW" numFmtId="0">
      <sharedItems containsString="0" containsBlank="1" containsNumber="1" minValue="554.4" maxValue="1656.2"/>
    </cacheField>
    <cacheField name="010/2015 kWh-kVarh" numFmtId="0">
      <sharedItems containsString="0" containsBlank="1" containsNumber="1" containsInteger="1" minValue="154800" maxValue="752500"/>
    </cacheField>
    <cacheField name="011/2015 kWh-kVarh" numFmtId="0">
      <sharedItems containsString="0" containsBlank="1" containsNumber="1" containsInteger="1" minValue="-1522500" maxValue="-553700"/>
    </cacheField>
    <cacheField name="012/2015 kWh-kVarh" numFmtId="0">
      <sharedItems containsString="0" containsBlank="1" containsNumber="1" containsInteger="1" minValue="297000" maxValue="3378200"/>
    </cacheField>
    <cacheField name="001/2016 kWh-kVarh" numFmtId="0">
      <sharedItems containsString="0" containsBlank="1" containsNumber="1" containsInteger="1" minValue="148500" maxValue="326700"/>
    </cacheField>
    <cacheField name="002/2016 kWh-kVarh" numFmtId="0">
      <sharedItems containsString="0" containsBlank="1" containsNumber="1" containsInteger="1" minValue="141300" maxValue="2005500"/>
    </cacheField>
    <cacheField name="003/2016 kWh-kVarh" numFmtId="0">
      <sharedItems containsString="0" containsBlank="1" containsNumber="1" containsInteger="1" minValue="135000" maxValue="882000"/>
    </cacheField>
    <cacheField name="004/2016 kWh-kVarh" numFmtId="0">
      <sharedItems containsString="0" containsBlank="1" containsNumber="1" containsInteger="1" minValue="220500" maxValue="763000"/>
    </cacheField>
    <cacheField name="005/2016 kWh-kVarh" numFmtId="0">
      <sharedItems containsNonDate="0" containsString="0" containsBlank="1"/>
    </cacheField>
    <cacheField name="006/2016 kWh-kVarh" numFmtId="0">
      <sharedItems containsString="0" containsBlank="1" containsNumber="1" containsInteger="1" minValue="455700" maxValue="1320900"/>
    </cacheField>
    <cacheField name="007/2016 kWh-kVarh" numFmtId="0">
      <sharedItems containsString="0" containsBlank="1" containsNumber="1" containsInteger="1" minValue="579600" maxValue="1118700"/>
    </cacheField>
    <cacheField name="008/2016 kWh-kVarh" numFmtId="0">
      <sharedItems containsString="0" containsBlank="1" containsNumber="1" containsInteger="1" minValue="168300" maxValue="1439900"/>
    </cacheField>
    <cacheField name="009/2016 kWh-kVarh" numFmtId="0">
      <sharedItems containsString="0" containsBlank="1" containsNumber="1" containsInteger="1" minValue="153000" maxValue="652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rasan" refreshedDate="42676.496797916669" createdVersion="4" refreshedVersion="4" minRefreshableVersion="3" recordCount="18">
  <cacheSource type="worksheet">
    <worksheetSource ref="L5:AC23" sheet="Sch 10 Analysis" r:id="rId2"/>
  </cacheSource>
  <cacheFields count="18">
    <cacheField name="Fiscal year/period" numFmtId="0">
      <sharedItems/>
    </cacheField>
    <cacheField name="Month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Division" numFmtId="0">
      <sharedItems/>
    </cacheField>
    <cacheField name="fuel" numFmtId="0">
      <sharedItems/>
    </cacheField>
    <cacheField name="Rate Category" numFmtId="0">
      <sharedItems count="1">
        <s v="SCH_10E"/>
      </sharedItems>
    </cacheField>
    <cacheField name="desc" numFmtId="0">
      <sharedItems/>
    </cacheField>
    <cacheField name="Statistical Rate" numFmtId="0">
      <sharedItems count="1">
        <s v="ECI_DM10CH"/>
      </sharedItems>
    </cacheField>
    <cacheField name="Price Amount (char)" numFmtId="0">
      <sharedItems count="3">
        <s v="      8.61000000"/>
        <s v="     12.53000000"/>
        <s v="      9.29000000"/>
      </sharedItems>
    </cacheField>
    <cacheField name="Unit of Measure" numFmtId="0">
      <sharedItems/>
    </cacheField>
    <cacheField name="&lt;=06/30/2013" numFmtId="0">
      <sharedItems containsNonDate="0" containsString="0" containsBlank="1"/>
    </cacheField>
    <cacheField name="&gt;=07/01/2013 - &lt;=12/31/2013" numFmtId="0">
      <sharedItems containsNonDate="0" containsString="0" containsBlank="1"/>
    </cacheField>
    <cacheField name="&gt;=01/01/2014 - &lt;=04/30/2014" numFmtId="0">
      <sharedItems containsNonDate="0" containsString="0" containsBlank="1"/>
    </cacheField>
    <cacheField name="&gt;=05/01/2014 - &lt;=06/30/2014" numFmtId="0">
      <sharedItems containsNonDate="0" containsString="0" containsBlank="1"/>
    </cacheField>
    <cacheField name="&gt;=07/01/2014 - &lt;=04/30/2015" numFmtId="0">
      <sharedItems containsNonDate="0" containsString="0" containsBlank="1"/>
    </cacheField>
    <cacheField name="&gt;=05/01/2015 - &lt;=04/30/2016" numFmtId="0">
      <sharedItems containsString="0" containsBlank="1" containsNumber="1" minValue="991.87" maxValue="92739.79"/>
    </cacheField>
    <cacheField name="&gt;=05/01/2016" numFmtId="0">
      <sharedItems containsString="0" containsBlank="1" containsNumber="1" minValue="11694.55" maxValue="71984.36"/>
    </cacheField>
    <cacheField name="All Usage" numFmtId="164">
      <sharedItems containsSemiMixedTypes="0" containsString="0" containsNumber="1" minValue="991.87" maxValue="92739.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1">
  <r>
    <s v="10"/>
    <s v="Electric"/>
    <x v="0"/>
    <x v="0"/>
    <x v="0"/>
    <x v="0"/>
    <x v="0"/>
    <n v="9774.4999999999982"/>
    <n v="0"/>
    <n v="0"/>
    <n v="516.53"/>
    <n v="721"/>
    <n v="1139.56"/>
    <n v="1438.66"/>
    <n v="1286.48"/>
    <n v="1128.82"/>
    <n v="989.33"/>
    <n v="674.21"/>
    <n v="559.14"/>
    <n v="488.3"/>
    <n v="411.74"/>
    <n v="420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0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2"/>
    <x v="2"/>
    <n v="72473.439999999988"/>
    <n v="0"/>
    <n v="0"/>
    <n v="4338.6000000000004"/>
    <n v="5642.7"/>
    <n v="7991.13"/>
    <n v="9095.84"/>
    <n v="8630.16"/>
    <n v="8169.74"/>
    <n v="7689.79"/>
    <n v="5604.38"/>
    <n v="4433.7299999999996"/>
    <n v="4237.17"/>
    <n v="3264.66"/>
    <n v="3375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3"/>
    <x v="0"/>
    <n v="0"/>
    <n v="0"/>
    <n v="2660780"/>
    <m/>
    <m/>
    <m/>
    <m/>
    <m/>
    <m/>
    <m/>
    <m/>
    <m/>
    <m/>
    <m/>
    <m/>
    <m/>
    <m/>
    <m/>
    <m/>
    <m/>
    <m/>
    <m/>
    <m/>
    <m/>
    <m/>
    <m/>
    <m/>
    <n v="220360"/>
    <n v="229580"/>
    <n v="233180"/>
    <n v="234020"/>
    <n v="234640"/>
    <n v="221880"/>
    <n v="221360"/>
    <n v="214100"/>
    <n v="215500"/>
    <n v="215220"/>
    <n v="211760"/>
    <n v="209180"/>
  </r>
  <r>
    <s v="10"/>
    <s v="Electric"/>
    <x v="0"/>
    <x v="0"/>
    <x v="0"/>
    <x v="4"/>
    <x v="0"/>
    <n v="0"/>
    <n v="12759.726666666667"/>
    <n v="0"/>
    <m/>
    <m/>
    <m/>
    <m/>
    <m/>
    <m/>
    <m/>
    <m/>
    <m/>
    <m/>
    <m/>
    <m/>
    <n v="756.8"/>
    <n v="977.6"/>
    <n v="1029.6266666666668"/>
    <n v="1559.5"/>
    <n v="1643.84"/>
    <n v="1556.14"/>
    <n v="1445.28"/>
    <n v="1049.5"/>
    <n v="828.68"/>
    <n v="713.72"/>
    <n v="621.84"/>
    <n v="577.20000000000005"/>
    <m/>
    <m/>
    <m/>
    <m/>
    <m/>
    <m/>
    <m/>
    <m/>
    <m/>
    <m/>
    <m/>
    <m/>
  </r>
  <r>
    <s v="10"/>
    <s v="Electric"/>
    <x v="0"/>
    <x v="0"/>
    <x v="0"/>
    <x v="5"/>
    <x v="0"/>
    <n v="0"/>
    <n v="0"/>
    <n v="6797340"/>
    <m/>
    <m/>
    <m/>
    <m/>
    <m/>
    <m/>
    <m/>
    <m/>
    <m/>
    <m/>
    <m/>
    <m/>
    <m/>
    <m/>
    <m/>
    <m/>
    <m/>
    <m/>
    <m/>
    <m/>
    <m/>
    <m/>
    <m/>
    <m/>
    <n v="347580"/>
    <n v="486240"/>
    <n v="804340"/>
    <n v="971880"/>
    <n v="936060"/>
    <n v="812480"/>
    <n v="705520"/>
    <n v="463160"/>
    <n v="378260"/>
    <n v="325980"/>
    <n v="283620"/>
    <n v="282220"/>
  </r>
  <r>
    <s v="10"/>
    <s v="Electric"/>
    <x v="0"/>
    <x v="0"/>
    <x v="0"/>
    <x v="5"/>
    <x v="3"/>
    <n v="238858.53000000003"/>
    <n v="0"/>
    <n v="0"/>
    <n v="12213.97"/>
    <n v="17086.46"/>
    <n v="28264.51"/>
    <n v="34151.870000000003"/>
    <n v="32893.15"/>
    <n v="28550.54"/>
    <n v="24791.98"/>
    <n v="16275.44"/>
    <n v="13292.04"/>
    <n v="11454.95"/>
    <n v="9966.4"/>
    <n v="9917.219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6"/>
    <x v="4"/>
    <n v="536.13000000000011"/>
    <n v="0"/>
    <n v="0"/>
    <n v="42.91"/>
    <n v="51.43"/>
    <n v="54.48"/>
    <n v="58.51"/>
    <n v="58.67"/>
    <n v="55.48"/>
    <n v="51.38"/>
    <n v="49.86"/>
    <n v="42.38"/>
    <n v="41.93"/>
    <n v="20.399999999999999"/>
    <n v="8.699999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7"/>
    <x v="5"/>
    <n v="40263.4"/>
    <n v="0"/>
    <n v="0"/>
    <m/>
    <m/>
    <m/>
    <m/>
    <m/>
    <m/>
    <m/>
    <n v="1889.91"/>
    <n v="7485.64"/>
    <n v="11946.67"/>
    <n v="10046.790000000001"/>
    <n v="8894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7"/>
    <x v="6"/>
    <n v="100505.65"/>
    <n v="0"/>
    <n v="0"/>
    <n v="11777.67"/>
    <n v="11835.08"/>
    <n v="13070.4"/>
    <n v="16214.99"/>
    <n v="13919.75"/>
    <n v="11378.75"/>
    <n v="12550.45"/>
    <n v="6308.33"/>
    <n v="370.51"/>
    <n v="3079.72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8"/>
    <x v="7"/>
    <n v="1191.32"/>
    <n v="0"/>
    <n v="0"/>
    <n v="1191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8"/>
    <x v="8"/>
    <n v="20861.410000000003"/>
    <n v="0"/>
    <n v="0"/>
    <n v="505.24"/>
    <n v="1773.21"/>
    <n v="1958.32"/>
    <n v="2429.46"/>
    <n v="2085.58"/>
    <n v="1704.85"/>
    <n v="1880.45"/>
    <n v="1276.6600000000001"/>
    <n v="1368.5"/>
    <n v="2556.88"/>
    <n v="1762.2"/>
    <n v="156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9"/>
    <x v="9"/>
    <n v="-2306.6800000000003"/>
    <n v="0"/>
    <n v="0"/>
    <n v="-557.26"/>
    <n v="-559.94000000000005"/>
    <n v="-618.41"/>
    <n v="-571.07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9"/>
    <x v="10"/>
    <n v="-5458.6200000000008"/>
    <n v="0"/>
    <n v="0"/>
    <m/>
    <m/>
    <m/>
    <n v="-228.82"/>
    <n v="-768.39"/>
    <n v="-628.1"/>
    <n v="-692.79"/>
    <n v="-470.35"/>
    <n v="-504.17"/>
    <n v="-942"/>
    <n v="-649.23"/>
    <n v="-574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0"/>
    <x v="11"/>
    <n v="-290.20999999999998"/>
    <n v="0"/>
    <n v="0"/>
    <n v="-79.77"/>
    <n v="-210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1"/>
    <x v="12"/>
    <n v="-1433.16"/>
    <n v="0"/>
    <n v="0"/>
    <m/>
    <m/>
    <m/>
    <n v="-60.09"/>
    <n v="-201.73"/>
    <n v="-164.89"/>
    <n v="-181.91"/>
    <n v="-123.48"/>
    <n v="-132.37"/>
    <n v="-247.33"/>
    <n v="-170.46"/>
    <n v="-150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1"/>
    <x v="13"/>
    <n v="-1579.38"/>
    <n v="0"/>
    <n v="0"/>
    <n v="-381.55"/>
    <n v="-383.4"/>
    <n v="-423.42"/>
    <n v="-391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2"/>
    <x v="14"/>
    <n v="-201611.59"/>
    <n v="0"/>
    <n v="0"/>
    <n v="-4882.8999999999996"/>
    <n v="-17137.14"/>
    <n v="-18925.91"/>
    <n v="-23479.26"/>
    <n v="-20155.75"/>
    <n v="-16476.43"/>
    <n v="-18172.98"/>
    <n v="-12338.04"/>
    <n v="-13225.48"/>
    <n v="-24710.32"/>
    <n v="-17030.400000000001"/>
    <n v="-15076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2"/>
    <x v="15"/>
    <n v="-16622.939999999999"/>
    <n v="0"/>
    <n v="0"/>
    <n v="-16622.93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3"/>
    <x v="16"/>
    <n v="-40277.01"/>
    <n v="0"/>
    <n v="0"/>
    <n v="-3213.02"/>
    <n v="-3228.66"/>
    <n v="-3565.68"/>
    <n v="-4423.53"/>
    <n v="-3797.38"/>
    <n v="-3104.18"/>
    <n v="-3423.82"/>
    <n v="-2324.5100000000002"/>
    <n v="-2491.71"/>
    <n v="-4655.46"/>
    <n v="-3208.55"/>
    <n v="-2840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4"/>
    <x v="17"/>
    <n v="-23752.960000000003"/>
    <n v="0"/>
    <n v="0"/>
    <n v="-5738.22"/>
    <n v="-5766.21"/>
    <n v="-6368.08"/>
    <n v="-5880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4"/>
    <x v="18"/>
    <n v="-52520.83"/>
    <n v="0"/>
    <n v="0"/>
    <m/>
    <m/>
    <m/>
    <n v="-2201.6999999999998"/>
    <n v="-7393.01"/>
    <n v="-6043.44"/>
    <n v="-6665.75"/>
    <n v="-4525.54"/>
    <n v="-4851.0200000000004"/>
    <n v="-9063.59"/>
    <n v="-6246.63"/>
    <n v="-5530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5"/>
    <x v="19"/>
    <n v="54964.14"/>
    <n v="0"/>
    <n v="0"/>
    <n v="4639.83"/>
    <n v="4639.83"/>
    <n v="4282.92"/>
    <n v="4996.74"/>
    <n v="4639.83"/>
    <n v="3926.01"/>
    <n v="4996.74"/>
    <n v="3569.1"/>
    <n v="3926.01"/>
    <n v="6424.38"/>
    <n v="4639.83"/>
    <n v="4282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3"/>
    <x v="0"/>
    <n v="0"/>
    <n v="0"/>
    <n v="13043100"/>
    <m/>
    <m/>
    <m/>
    <m/>
    <m/>
    <m/>
    <m/>
    <m/>
    <m/>
    <m/>
    <m/>
    <m/>
    <m/>
    <m/>
    <m/>
    <m/>
    <m/>
    <m/>
    <m/>
    <m/>
    <m/>
    <m/>
    <m/>
    <m/>
    <n v="1196337.8999999999"/>
    <n v="1079762.1000000001"/>
    <n v="949500"/>
    <n v="1119900"/>
    <n v="1071300"/>
    <n v="887100"/>
    <n v="1199400"/>
    <n v="850200"/>
    <n v="1091400"/>
    <n v="1295100"/>
    <n v="1229400"/>
    <n v="1073700"/>
  </r>
  <r>
    <s v="10"/>
    <s v="Electric"/>
    <x v="1"/>
    <x v="1"/>
    <x v="1"/>
    <x v="4"/>
    <x v="0"/>
    <n v="0"/>
    <n v="65683.98"/>
    <n v="0"/>
    <m/>
    <m/>
    <m/>
    <m/>
    <m/>
    <m/>
    <m/>
    <m/>
    <m/>
    <m/>
    <m/>
    <m/>
    <n v="4913.7"/>
    <n v="4788.96"/>
    <n v="6277.44"/>
    <n v="6913.62"/>
    <n v="6350.7"/>
    <n v="5306.58"/>
    <n v="5509.02"/>
    <n v="4342.74"/>
    <n v="4031.22"/>
    <n v="7758.18"/>
    <n v="5298.78"/>
    <n v="4193.04"/>
    <m/>
    <m/>
    <m/>
    <m/>
    <m/>
    <m/>
    <m/>
    <m/>
    <m/>
    <m/>
    <m/>
    <m/>
  </r>
  <r>
    <s v="10"/>
    <s v="Electric"/>
    <x v="1"/>
    <x v="1"/>
    <x v="1"/>
    <x v="5"/>
    <x v="0"/>
    <n v="0"/>
    <n v="0"/>
    <n v="31466400"/>
    <m/>
    <m/>
    <m/>
    <m/>
    <m/>
    <m/>
    <m/>
    <m/>
    <m/>
    <m/>
    <m/>
    <m/>
    <m/>
    <m/>
    <m/>
    <m/>
    <m/>
    <m/>
    <m/>
    <m/>
    <m/>
    <m/>
    <m/>
    <m/>
    <n v="2510164.2000000002"/>
    <n v="2522395.7999999998"/>
    <n v="2785680"/>
    <n v="3455880"/>
    <n v="2966700"/>
    <n v="2425140"/>
    <n v="2674860"/>
    <n v="1816020"/>
    <n v="1946640"/>
    <n v="3637080"/>
    <n v="2506680"/>
    <n v="2219160"/>
  </r>
  <r>
    <s v="10"/>
    <s v="Electric"/>
    <x v="1"/>
    <x v="1"/>
    <x v="1"/>
    <x v="5"/>
    <x v="27"/>
    <n v="1211209.1199999999"/>
    <n v="0"/>
    <n v="0"/>
    <n v="141934.73000000001"/>
    <n v="142626.35999999999"/>
    <n v="157513.49"/>
    <n v="195409.3"/>
    <n v="167749.07999999999"/>
    <n v="137127.13"/>
    <n v="151247.26"/>
    <n v="76022.48"/>
    <n v="4465.12"/>
    <n v="37114.1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5"/>
    <x v="28"/>
    <n v="569081.81999999995"/>
    <n v="0"/>
    <n v="0"/>
    <m/>
    <m/>
    <m/>
    <m/>
    <m/>
    <m/>
    <m/>
    <n v="26712.07"/>
    <n v="105801.79"/>
    <n v="168853.84"/>
    <n v="142000.91"/>
    <n v="125713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6"/>
    <x v="29"/>
    <n v="13924.339999999997"/>
    <n v="0"/>
    <n v="0"/>
    <n v="1277.8499999999999"/>
    <n v="1154.3800000000001"/>
    <n v="1014.37"/>
    <n v="1199.76"/>
    <n v="1144.17"/>
    <n v="942.43"/>
    <n v="1286.74"/>
    <n v="906.09"/>
    <n v="1163.79"/>
    <n v="1383.87"/>
    <n v="1309.6500000000001"/>
    <n v="1141.2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0"/>
    <n v="196796.52"/>
    <n v="0"/>
    <n v="0"/>
    <m/>
    <m/>
    <m/>
    <m/>
    <m/>
    <m/>
    <m/>
    <n v="16470.3"/>
    <n v="43306.97"/>
    <n v="42666.02"/>
    <n v="46811.99"/>
    <n v="47541.2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1"/>
    <n v="448398.59"/>
    <n v="0"/>
    <n v="0"/>
    <n v="50071"/>
    <n v="57078.47"/>
    <n v="64713.13"/>
    <n v="70121.710000000006"/>
    <n v="61869.84"/>
    <n v="58445.46"/>
    <n v="52958.59"/>
    <n v="29957.87"/>
    <n v="2399.29"/>
    <n v="783.2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2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8"/>
    <x v="33"/>
    <n v="5644.8"/>
    <n v="0"/>
    <n v="0"/>
    <n v="5473.97"/>
    <n v="170.83"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8"/>
    <x v="34"/>
    <n v="113027.31000000003"/>
    <n v="0"/>
    <n v="0"/>
    <n v="3079.79"/>
    <n v="10072.83"/>
    <n v="11629.77"/>
    <n v="12601.76"/>
    <n v="11118.68"/>
    <n v="10503.35"/>
    <n v="9516.98"/>
    <n v="8609.82"/>
    <n v="8914.16"/>
    <n v="8498.2900000000009"/>
    <n v="9169.5"/>
    <n v="9312.37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5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6"/>
    <n v="-12733.96"/>
    <n v="0"/>
    <n v="0"/>
    <n v="-2939.55"/>
    <n v="-3350.79"/>
    <n v="-3798.87"/>
    <n v="-2610.1999999999998"/>
    <n v="-34.54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7"/>
    <n v="-26682.89"/>
    <n v="0"/>
    <n v="0"/>
    <m/>
    <m/>
    <m/>
    <n v="-1535.14"/>
    <n v="-3666.44"/>
    <n v="-3496.68"/>
    <n v="-3168.53"/>
    <n v="-2866.44"/>
    <n v="-2967.7"/>
    <n v="-2829.11"/>
    <n v="-3052.68"/>
    <n v="-3100.1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38"/>
    <n v="-1316.8799999999999"/>
    <n v="0"/>
    <n v="0"/>
    <n v="-408.57"/>
    <n v="-892.06"/>
    <n v="-16.2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39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4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8"/>
    <x v="41"/>
    <n v="408"/>
    <n v="0"/>
    <n v="0"/>
    <n v="34"/>
    <n v="34"/>
    <n v="34"/>
    <n v="34"/>
    <n v="34"/>
    <n v="34"/>
    <n v="4"/>
    <n v="64"/>
    <n v="34"/>
    <n v="4"/>
    <n v="4"/>
    <n v="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2"/>
    <n v="-6520.65"/>
    <n v="0"/>
    <n v="0"/>
    <m/>
    <m/>
    <m/>
    <n v="-375.1"/>
    <n v="-895.87"/>
    <n v="-854.5"/>
    <n v="-774.37"/>
    <n v="-700.51"/>
    <n v="-725.31"/>
    <n v="-691.39"/>
    <n v="-745.95"/>
    <n v="-757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3"/>
    <n v="-7903.8099999999995"/>
    <n v="0"/>
    <n v="0"/>
    <n v="-1824.39"/>
    <n v="-2079.8200000000002"/>
    <n v="-2357.9899999999998"/>
    <n v="-1620.17"/>
    <n v="-21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14"/>
    <n v="-961093.62999999989"/>
    <n v="0"/>
    <n v="0"/>
    <n v="-26189.37"/>
    <n v="-85651.6"/>
    <n v="-98888.92"/>
    <n v="-107154.04"/>
    <n v="-94544.12"/>
    <n v="-89311.3"/>
    <n v="-80926.8"/>
    <n v="-73212.08"/>
    <n v="-75798.649999999994"/>
    <n v="-72261.61"/>
    <n v="-77970.179999999993"/>
    <n v="-79184.9600000000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15"/>
    <n v="-70877.009999999995"/>
    <n v="0"/>
    <n v="0"/>
    <n v="-68731.759999999995"/>
    <n v="-2145.25"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45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3"/>
    <x v="46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3"/>
    <x v="47"/>
    <n v="-204268.04"/>
    <n v="0"/>
    <n v="0"/>
    <n v="-15428.96"/>
    <n v="-17588.259999999998"/>
    <n v="-19940.77"/>
    <n v="-21607.439999999999"/>
    <n v="-19064.580000000002"/>
    <n v="-18009.490000000002"/>
    <n v="-16318.8"/>
    <n v="-14763.18"/>
    <n v="-15284.78"/>
    <n v="-14571.52"/>
    <n v="-15722.59"/>
    <n v="-15967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48"/>
    <n v="-236736.24000000002"/>
    <n v="0"/>
    <n v="0"/>
    <m/>
    <m/>
    <m/>
    <n v="-13619.81"/>
    <n v="-32528.87"/>
    <n v="-31023.65"/>
    <n v="-28111.1"/>
    <n v="-25431.360000000001"/>
    <n v="-26329.9"/>
    <n v="-25101.33"/>
    <n v="-27084.13"/>
    <n v="-27506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49"/>
    <n v="-118898"/>
    <n v="0"/>
    <n v="0"/>
    <n v="-27445.59"/>
    <n v="-31286.560000000001"/>
    <n v="-35471.35"/>
    <n v="-24371.84"/>
    <n v="-322.66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5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5"/>
    <x v="51"/>
    <n v="215886.06"/>
    <n v="0"/>
    <n v="0"/>
    <n v="18397.53"/>
    <n v="18506.07"/>
    <n v="17963.37"/>
    <n v="18614.61"/>
    <n v="18017.64"/>
    <n v="18017.64"/>
    <n v="17692.02"/>
    <n v="17420.669999999998"/>
    <n v="18560.34"/>
    <n v="17692.02"/>
    <n v="17149.32"/>
    <n v="17854.83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3"/>
    <x v="0"/>
    <n v="0"/>
    <n v="0"/>
    <n v="35291350.68"/>
    <m/>
    <m/>
    <m/>
    <m/>
    <m/>
    <m/>
    <m/>
    <m/>
    <m/>
    <m/>
    <m/>
    <m/>
    <m/>
    <m/>
    <m/>
    <m/>
    <m/>
    <m/>
    <m/>
    <m/>
    <m/>
    <m/>
    <m/>
    <m/>
    <n v="2979194.52"/>
    <n v="3162852.6"/>
    <n v="2847827.4"/>
    <n v="2954820"/>
    <n v="2781200"/>
    <n v="2794600"/>
    <n v="2608860"/>
    <n v="2786540"/>
    <n v="2825976.16"/>
    <n v="2813500"/>
    <n v="3458340"/>
    <n v="3277640"/>
  </r>
  <r>
    <s v="10"/>
    <s v="Electric"/>
    <x v="2"/>
    <x v="2"/>
    <x v="2"/>
    <x v="4"/>
    <x v="0"/>
    <n v="0"/>
    <n v="353743.51500000001"/>
    <n v="0"/>
    <m/>
    <m/>
    <m/>
    <m/>
    <m/>
    <m/>
    <m/>
    <m/>
    <m/>
    <m/>
    <m/>
    <m/>
    <n v="28191.7"/>
    <n v="30999.360000000001"/>
    <n v="23752.44"/>
    <n v="34446.864999999998"/>
    <n v="32942.74"/>
    <n v="32599.08"/>
    <n v="30210.93"/>
    <n v="27957.81"/>
    <n v="29174.86"/>
    <n v="26151.764999999999"/>
    <n v="29157.82"/>
    <n v="28158.145"/>
    <m/>
    <m/>
    <m/>
    <m/>
    <m/>
    <m/>
    <m/>
    <m/>
    <m/>
    <m/>
    <m/>
    <m/>
  </r>
  <r>
    <s v="10"/>
    <s v="Electric"/>
    <x v="2"/>
    <x v="2"/>
    <x v="2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0"/>
    <x v="65"/>
    <n v="523989.37"/>
    <n v="0"/>
    <n v="0"/>
    <n v="59191.45"/>
    <n v="2848.39"/>
    <m/>
    <n v="0"/>
    <m/>
    <m/>
    <n v="35502.42"/>
    <n v="80013.289999999994"/>
    <n v="85456.07"/>
    <n v="80594.17"/>
    <n v="90296.21"/>
    <n v="90087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0"/>
    <x v="66"/>
    <n v="960732.74"/>
    <n v="0"/>
    <n v="0"/>
    <n v="39910.019999999997"/>
    <n v="146116.76999999999"/>
    <n v="177575.9"/>
    <n v="187756.53"/>
    <n v="156544.85"/>
    <n v="156771.18"/>
    <n v="89963.95"/>
    <n v="4549.0200000000004"/>
    <n v="1292.6500000000001"/>
    <n v="251.8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1"/>
    <x v="0"/>
    <n v="0"/>
    <n v="396.02400000000006"/>
    <n v="21413.573999999997"/>
    <m/>
    <m/>
    <m/>
    <m/>
    <m/>
    <m/>
    <m/>
    <m/>
    <m/>
    <m/>
    <m/>
    <m/>
    <n v="24.263999999999999"/>
    <n v="24.24"/>
    <n v="46.008000000000003"/>
    <n v="43.415999999999997"/>
    <n v="89.04"/>
    <m/>
    <n v="37.776000000000003"/>
    <n v="41.16"/>
    <n v="28.728000000000002"/>
    <n v="22.896000000000001"/>
    <n v="18.552"/>
    <n v="19.943999999999999"/>
    <n v="966.35400000000004"/>
    <n v="1057.0440000000001"/>
    <n v="1847.8920000000001"/>
    <n v="3104.9639999999999"/>
    <n v="5270.8980000000001"/>
    <m/>
    <n v="2205.288"/>
    <n v="1391.922"/>
    <n v="1133.0820000000001"/>
    <n v="1484.232"/>
    <n v="1415.904"/>
    <n v="1535.9939999999999"/>
  </r>
  <r>
    <s v="10"/>
    <s v="Electric"/>
    <x v="2"/>
    <x v="2"/>
    <x v="2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0"/>
    <n v="0"/>
    <n v="0"/>
    <n v="149100569.572"/>
    <m/>
    <m/>
    <m/>
    <m/>
    <m/>
    <m/>
    <m/>
    <m/>
    <m/>
    <m/>
    <m/>
    <m/>
    <m/>
    <m/>
    <m/>
    <m/>
    <m/>
    <m/>
    <m/>
    <m/>
    <m/>
    <m/>
    <m/>
    <m/>
    <n v="11262029.244000001"/>
    <n v="12838145.466"/>
    <n v="14555327.952"/>
    <n v="15771859.192"/>
    <n v="13915827.449999999"/>
    <n v="13145610"/>
    <n v="11911508.682"/>
    <n v="10775996.585999999"/>
    <n v="11156713.08"/>
    <n v="10636094.202"/>
    <n v="11476338.022"/>
    <n v="11655119.696"/>
  </r>
  <r>
    <s v="10"/>
    <s v="Electric"/>
    <x v="2"/>
    <x v="2"/>
    <x v="2"/>
    <x v="5"/>
    <x v="67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68"/>
    <n v="3988937.1399999997"/>
    <n v="0"/>
    <n v="0"/>
    <n v="399098.78"/>
    <n v="493011.61"/>
    <n v="612933.1"/>
    <n v="686532.6"/>
    <n v="571239.46"/>
    <n v="521378.76"/>
    <n v="448407.92"/>
    <n v="234228.01"/>
    <n v="17051.72"/>
    <n v="5055.1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69"/>
    <n v="1775502.05"/>
    <n v="0"/>
    <n v="0"/>
    <m/>
    <m/>
    <m/>
    <m/>
    <m/>
    <m/>
    <m/>
    <n v="147365.59"/>
    <n v="381016.52"/>
    <n v="372602.63"/>
    <n v="443036.15"/>
    <n v="431481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1"/>
    <n v="844915.84000000008"/>
    <n v="0"/>
    <n v="0"/>
    <n v="332724.15999999997"/>
    <n v="8921.7999999999993"/>
    <m/>
    <n v="0"/>
    <n v="0"/>
    <m/>
    <n v="180736.28"/>
    <n v="294003.53000000003"/>
    <n v="20235.150000000001"/>
    <n v="8294.92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2"/>
    <n v="2053467.87"/>
    <n v="0"/>
    <n v="0"/>
    <m/>
    <m/>
    <m/>
    <m/>
    <m/>
    <m/>
    <m/>
    <n v="173394.88"/>
    <n v="463998.08"/>
    <n v="460594.76"/>
    <n v="462613.58"/>
    <n v="492866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3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4"/>
    <n v="3372645.19"/>
    <n v="0"/>
    <n v="0"/>
    <n v="179184.29"/>
    <n v="557361.31000000006"/>
    <n v="569221.57999999996"/>
    <n v="586230.42000000004"/>
    <n v="564385.31999999995"/>
    <n v="558074.91"/>
    <n v="340822.16"/>
    <n v="9597.25"/>
    <n v="6722.34"/>
    <n v="1045.609999999999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6"/>
    <x v="75"/>
    <n v="76852.95"/>
    <n v="0"/>
    <n v="0"/>
    <n v="6130.83"/>
    <n v="7006.13"/>
    <n v="6733.1"/>
    <n v="6713.58"/>
    <n v="6153.86"/>
    <n v="6317.8"/>
    <n v="5513.55"/>
    <n v="5928.94"/>
    <n v="5822.03"/>
    <n v="5825.23"/>
    <n v="7815.53"/>
    <n v="6892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7"/>
    <x v="76"/>
    <n v="25412.34"/>
    <n v="0"/>
    <n v="0"/>
    <m/>
    <m/>
    <m/>
    <m/>
    <m/>
    <m/>
    <m/>
    <n v="2385.88"/>
    <n v="4762.1099999999997"/>
    <n v="4276.0200000000004"/>
    <n v="5795.76"/>
    <n v="8192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7"/>
    <x v="77"/>
    <n v="52028.639999999999"/>
    <n v="0"/>
    <n v="0"/>
    <n v="5814.3"/>
    <n v="7059.79"/>
    <n v="8366.9500000000007"/>
    <n v="8104.18"/>
    <n v="7499.47"/>
    <n v="6361.4"/>
    <n v="5434.91"/>
    <n v="3387.6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8"/>
    <x v="78"/>
    <n v="500.37"/>
    <n v="0"/>
    <n v="0"/>
    <n v="457.25"/>
    <n v="43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8"/>
    <x v="79"/>
    <n v="11587.839999999998"/>
    <n v="0"/>
    <n v="0"/>
    <n v="404.94"/>
    <n v="1033.58"/>
    <n v="1279.02"/>
    <n v="1238.8599999999999"/>
    <n v="1146.42"/>
    <n v="972.44"/>
    <n v="830.82"/>
    <n v="908.75"/>
    <n v="780.31"/>
    <n v="700.65"/>
    <n v="949.65"/>
    <n v="134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9"/>
    <x v="80"/>
    <n v="-1194.9099999999999"/>
    <n v="0"/>
    <n v="0"/>
    <n v="-267.02"/>
    <n v="-324.23"/>
    <n v="-384.25"/>
    <n v="-218.29"/>
    <n v="-1.12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9"/>
    <x v="81"/>
    <n v="-2537.3000000000002"/>
    <n v="0"/>
    <n v="0"/>
    <m/>
    <m/>
    <m/>
    <n v="-159.66999999999999"/>
    <n v="-356.18"/>
    <n v="-303.13"/>
    <n v="-258.95999999999998"/>
    <n v="-283.26"/>
    <n v="-243.24"/>
    <n v="-218.4"/>
    <n v="-296.02"/>
    <n v="-418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0"/>
    <x v="82"/>
    <n v="-109.15000000000002"/>
    <n v="0"/>
    <n v="0"/>
    <n v="-43.99"/>
    <n v="-64.400000000000006"/>
    <n v="-0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8"/>
    <x v="41"/>
    <n v="900"/>
    <n v="0"/>
    <n v="0"/>
    <n v="100"/>
    <n v="100"/>
    <n v="100"/>
    <n v="100"/>
    <n v="100"/>
    <n v="100"/>
    <n v="100"/>
    <n v="100"/>
    <n v="10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1"/>
    <x v="12"/>
    <n v="-780.68000000000006"/>
    <n v="0"/>
    <n v="0"/>
    <m/>
    <m/>
    <m/>
    <n v="-49.1"/>
    <n v="-109.58"/>
    <n v="-93.27"/>
    <n v="-79.69"/>
    <n v="-87.18"/>
    <n v="-74.849999999999994"/>
    <n v="-67.2"/>
    <n v="-91.07"/>
    <n v="-128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1"/>
    <x v="83"/>
    <n v="-942.4899999999999"/>
    <n v="0"/>
    <n v="0"/>
    <n v="-210.6"/>
    <n v="-255.72"/>
    <n v="-303.08999999999997"/>
    <n v="-172.19"/>
    <n v="-0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2"/>
    <x v="14"/>
    <n v="-111041.43000000001"/>
    <n v="0"/>
    <n v="0"/>
    <n v="-3880.4"/>
    <n v="-9904.36"/>
    <n v="-12256.39"/>
    <n v="-11871.42"/>
    <n v="-10985.64"/>
    <n v="-9318.52"/>
    <n v="-7961.35"/>
    <n v="-8708.5499999999993"/>
    <n v="-7477.19"/>
    <n v="-6713.97"/>
    <n v="-9100.15"/>
    <n v="-12863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2"/>
    <x v="15"/>
    <n v="-6929.74"/>
    <n v="0"/>
    <n v="0"/>
    <n v="-6332.63"/>
    <n v="-597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3"/>
    <x v="84"/>
    <n v="-24149.440000000002"/>
    <n v="0"/>
    <n v="0"/>
    <n v="-1771.37"/>
    <n v="-2150.8200000000002"/>
    <n v="-2549.0500000000002"/>
    <n v="-2469"/>
    <n v="-2284.77"/>
    <n v="-1938.04"/>
    <n v="-1655.78"/>
    <n v="-1811.18"/>
    <n v="-1555.11"/>
    <n v="-1396.36"/>
    <n v="-1892.63"/>
    <n v="-267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4"/>
    <x v="85"/>
    <n v="-28453.15"/>
    <n v="0"/>
    <n v="0"/>
    <m/>
    <m/>
    <m/>
    <n v="-1790.44"/>
    <n v="-3994.23"/>
    <n v="-3399.18"/>
    <n v="-2904.12"/>
    <n v="-3176.68"/>
    <n v="-2727.52"/>
    <n v="-2449.11"/>
    <n v="-3319.54"/>
    <n v="-4692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4"/>
    <x v="86"/>
    <n v="-14198.78"/>
    <n v="0"/>
    <n v="0"/>
    <n v="-3172.91"/>
    <n v="-3852.6"/>
    <n v="-4565.91"/>
    <n v="-2594"/>
    <n v="-13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5"/>
    <x v="87"/>
    <n v="15243.480000000001"/>
    <n v="0"/>
    <n v="0"/>
    <n v="1325.52"/>
    <n v="1546.44"/>
    <n v="1435.98"/>
    <n v="1325.52"/>
    <n v="1325.52"/>
    <n v="1215.06"/>
    <n v="1104.5999999999999"/>
    <n v="1325.52"/>
    <n v="994.14"/>
    <n v="773.22"/>
    <n v="1104.5999999999999"/>
    <n v="176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3"/>
    <x v="0"/>
    <n v="0"/>
    <n v="0"/>
    <n v="6252080"/>
    <m/>
    <m/>
    <m/>
    <m/>
    <m/>
    <m/>
    <m/>
    <m/>
    <m/>
    <m/>
    <m/>
    <m/>
    <m/>
    <m/>
    <m/>
    <m/>
    <m/>
    <m/>
    <m/>
    <m/>
    <m/>
    <m/>
    <m/>
    <m/>
    <n v="536080"/>
    <n v="539280"/>
    <n v="509140"/>
    <n v="480520"/>
    <n v="503920"/>
    <n v="467020"/>
    <n v="439520"/>
    <n v="519720"/>
    <n v="466880"/>
    <n v="440140"/>
    <n v="531820"/>
    <n v="818040"/>
  </r>
  <r>
    <s v="10"/>
    <s v="Electric"/>
    <x v="3"/>
    <x v="3"/>
    <x v="3"/>
    <x v="4"/>
    <x v="0"/>
    <n v="0"/>
    <n v="38071.043333333335"/>
    <n v="0"/>
    <m/>
    <m/>
    <m/>
    <m/>
    <m/>
    <m/>
    <m/>
    <m/>
    <m/>
    <m/>
    <m/>
    <m/>
    <n v="2943.56"/>
    <n v="3383"/>
    <n v="2804.4533333333334"/>
    <n v="3358.62"/>
    <n v="3469.1"/>
    <n v="2998.14"/>
    <n v="2673.2"/>
    <n v="2939.92"/>
    <n v="2715.2"/>
    <n v="1990.4"/>
    <n v="2943.88"/>
    <n v="5851.57"/>
    <m/>
    <m/>
    <m/>
    <m/>
    <m/>
    <m/>
    <m/>
    <m/>
    <m/>
    <m/>
    <m/>
    <m/>
  </r>
  <r>
    <s v="10"/>
    <s v="Electric"/>
    <x v="3"/>
    <x v="3"/>
    <x v="3"/>
    <x v="20"/>
    <x v="88"/>
    <n v="42908.47"/>
    <n v="0"/>
    <n v="0"/>
    <n v="16106.24"/>
    <n v="1280.78"/>
    <m/>
    <m/>
    <m/>
    <m/>
    <n v="10775.61"/>
    <n v="14745.8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20"/>
    <x v="89"/>
    <n v="146293.54999999999"/>
    <n v="0"/>
    <n v="0"/>
    <m/>
    <m/>
    <m/>
    <m/>
    <m/>
    <m/>
    <m/>
    <n v="12330.09"/>
    <n v="26311.91"/>
    <n v="19804.23"/>
    <n v="27407.53"/>
    <n v="60439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20"/>
    <x v="90"/>
    <n v="265450.26999999996"/>
    <n v="0"/>
    <n v="0"/>
    <n v="16090.04"/>
    <n v="43405.61"/>
    <n v="52266.68"/>
    <n v="48368.81"/>
    <n v="44855.46"/>
    <n v="38765.949999999997"/>
    <n v="20775.04"/>
    <n v="922.6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5"/>
    <x v="0"/>
    <n v="0"/>
    <n v="0"/>
    <n v="17090860"/>
    <m/>
    <m/>
    <m/>
    <m/>
    <m/>
    <m/>
    <m/>
    <m/>
    <m/>
    <m/>
    <m/>
    <m/>
    <m/>
    <m/>
    <m/>
    <m/>
    <m/>
    <m/>
    <m/>
    <m/>
    <m/>
    <m/>
    <m/>
    <m/>
    <n v="1253620"/>
    <n v="1522160"/>
    <n v="1804000"/>
    <n v="1747340"/>
    <n v="1616960"/>
    <n v="1371580"/>
    <n v="1171820"/>
    <n v="1281800"/>
    <n v="1100560"/>
    <n v="988220"/>
    <n v="1339440"/>
    <n v="1893360"/>
  </r>
  <r>
    <s v="10"/>
    <s v="Electric"/>
    <x v="3"/>
    <x v="3"/>
    <x v="3"/>
    <x v="5"/>
    <x v="91"/>
    <n v="659611.77000000014"/>
    <n v="0"/>
    <n v="0"/>
    <n v="73712.88"/>
    <n v="89503.01"/>
    <n v="106075.2"/>
    <n v="102743.59"/>
    <n v="95077.25"/>
    <n v="80648.91"/>
    <n v="68903.009999999995"/>
    <n v="42947.9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5"/>
    <x v="92"/>
    <n v="347086.87"/>
    <n v="0"/>
    <n v="0"/>
    <m/>
    <m/>
    <m/>
    <m/>
    <m/>
    <m/>
    <m/>
    <n v="32586.81"/>
    <n v="65041.99"/>
    <n v="58402.81"/>
    <n v="79159.58"/>
    <n v="111895.67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6"/>
    <x v="93"/>
    <n v="7762.24"/>
    <n v="0"/>
    <n v="0"/>
    <n v="665.21"/>
    <n v="653.65"/>
    <n v="614.6"/>
    <n v="581.30999999999995"/>
    <n v="616.36"/>
    <n v="578.26"/>
    <n v="544.1"/>
    <n v="642.51"/>
    <n v="592.94000000000005"/>
    <n v="558.98"/>
    <n v="675.4"/>
    <n v="1038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5"/>
    <n v="-8.83"/>
    <n v="0"/>
    <n v="0"/>
    <n v="1.1299999999999999"/>
    <n v="0.12"/>
    <n v="0"/>
    <n v="0"/>
    <n v="-10.49"/>
    <n v="0"/>
    <m/>
    <m/>
    <n v="0"/>
    <m/>
    <m/>
    <n v="0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6"/>
    <n v="3452562.1799999997"/>
    <n v="0"/>
    <n v="0"/>
    <m/>
    <m/>
    <m/>
    <m/>
    <m/>
    <m/>
    <m/>
    <n v="308920.01"/>
    <n v="744742.87"/>
    <n v="762061.79"/>
    <n v="833783.23"/>
    <n v="803054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7"/>
    <n v="-56.53"/>
    <n v="0"/>
    <n v="0"/>
    <n v="-15.1"/>
    <n v="-24.56"/>
    <n v="16.34"/>
    <n v="-0.74"/>
    <n v="-88.34"/>
    <n v="-0.13"/>
    <n v="0"/>
    <n v="0"/>
    <n v="0"/>
    <m/>
    <m/>
    <n v="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8"/>
    <n v="-1524.01"/>
    <n v="0"/>
    <n v="0"/>
    <n v="-2045.21"/>
    <n v="46.17"/>
    <n v="-22.57"/>
    <n v="205.9"/>
    <n v="-57.96"/>
    <n v="667.71"/>
    <n v="0.06"/>
    <n v="-154.69"/>
    <n v="-21.38"/>
    <n v="-165.83"/>
    <n v="0.01"/>
    <n v="23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9"/>
    <n v="7451324.2799999993"/>
    <n v="0"/>
    <n v="0"/>
    <n v="868672.57"/>
    <n v="908780.8"/>
    <n v="1055232.8799999999"/>
    <n v="1092681.05"/>
    <n v="1068335.19"/>
    <n v="992658.55"/>
    <n v="930117.63"/>
    <n v="495795.26"/>
    <n v="31014.75"/>
    <n v="7760.24"/>
    <n v="440.84"/>
    <n v="-165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1"/>
    <n v="-6.43"/>
    <n v="0"/>
    <n v="0"/>
    <n v="1.18"/>
    <n v="-1.67"/>
    <n v="1.01"/>
    <n v="0.03"/>
    <n v="-8.9"/>
    <n v="0"/>
    <n v="0"/>
    <n v="0"/>
    <n v="0"/>
    <m/>
    <m/>
    <n v="1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2"/>
    <n v="88205.35000000002"/>
    <n v="0"/>
    <n v="0"/>
    <n v="84776.41"/>
    <n v="2492.77"/>
    <n v="249.82"/>
    <n v="67.92"/>
    <n v="370.97"/>
    <n v="340.77"/>
    <n v="-5.53"/>
    <n v="-43.94"/>
    <n v="-16.61"/>
    <n v="-34.42"/>
    <n v="-0.75"/>
    <n v="7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3"/>
    <n v="1952179.8900000001"/>
    <n v="0"/>
    <n v="0"/>
    <n v="62168.03"/>
    <n v="159414.85999999999"/>
    <n v="187981.25"/>
    <n v="194899.49"/>
    <n v="190169.22"/>
    <n v="176843.47"/>
    <n v="165934.70000000001"/>
    <n v="152829.34"/>
    <n v="160705.32"/>
    <n v="160158.76999999999"/>
    <n v="173791.05"/>
    <n v="167284.39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5"/>
    <n v="2.2800000000000002"/>
    <n v="0"/>
    <n v="0"/>
    <n v="-1.06"/>
    <n v="1.1000000000000001"/>
    <n v="-0.69"/>
    <n v="-0.01"/>
    <n v="4.8600000000000003"/>
    <n v="0"/>
    <n v="0"/>
    <n v="0"/>
    <n v="0"/>
    <m/>
    <m/>
    <n v="-1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6"/>
    <n v="58.78"/>
    <n v="0"/>
    <n v="0"/>
    <n v="49.07"/>
    <n v="2.54"/>
    <n v="-1.41"/>
    <n v="-2.4300000000000002"/>
    <n v="1.8"/>
    <n v="-2.17"/>
    <n v="-0.08"/>
    <n v="5.4"/>
    <n v="1.37"/>
    <n v="8.41"/>
    <n v="-0.01"/>
    <n v="-3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7"/>
    <n v="-514910.91000000003"/>
    <n v="0"/>
    <n v="0"/>
    <m/>
    <m/>
    <m/>
    <n v="-28792.799999999999"/>
    <n v="-67125.08"/>
    <n v="-63936.66"/>
    <n v="-60076.77"/>
    <n v="-55317.02"/>
    <n v="-58182.71"/>
    <n v="-57986.53"/>
    <n v="-62925.61"/>
    <n v="-60567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8"/>
    <n v="-229632.89"/>
    <n v="0"/>
    <n v="0"/>
    <n v="-56738.73"/>
    <n v="-59459.68"/>
    <n v="-69032.39"/>
    <n v="-42325.66"/>
    <n v="-1893.97"/>
    <n v="-220.26"/>
    <n v="3.61"/>
    <n v="-0.34"/>
    <n v="8.49"/>
    <n v="8.6999999999999993"/>
    <n v="9"/>
    <n v="8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09"/>
    <n v="-28983.279999999995"/>
    <n v="0"/>
    <n v="0"/>
    <n v="-11137.39"/>
    <n v="-17172.57"/>
    <n v="-660.84"/>
    <n v="1.97"/>
    <n v="-9.25"/>
    <n v="-6.37"/>
    <n v="-1.36"/>
    <n v="0.94"/>
    <n v="0.08"/>
    <n v="0.31"/>
    <n v="0.81"/>
    <n v="0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10"/>
    <n v="-841.05000000000007"/>
    <n v="0"/>
    <n v="0"/>
    <n v="67.260000000000005"/>
    <n v="-188.99"/>
    <n v="-39.020000000000003"/>
    <n v="-75.23"/>
    <n v="-364.21"/>
    <n v="-271.32"/>
    <n v="1.54"/>
    <n v="15.08"/>
    <n v="1.08"/>
    <n v="9.42"/>
    <n v="-0.21"/>
    <n v="3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11"/>
    <n v="1414.91"/>
    <n v="0"/>
    <n v="0"/>
    <n v="1419.03"/>
    <n v="60.26"/>
    <n v="-150.49"/>
    <n v="-155.94999999999999"/>
    <n v="19.809999999999999"/>
    <n v="-0.61"/>
    <n v="-0.11"/>
    <n v="171.51"/>
    <n v="-0.01"/>
    <n v="51.74"/>
    <n v="-0.31"/>
    <n v="0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112"/>
    <n v="85.43"/>
    <n v="0"/>
    <n v="0"/>
    <m/>
    <m/>
    <m/>
    <m/>
    <m/>
    <m/>
    <m/>
    <m/>
    <m/>
    <m/>
    <m/>
    <n v="85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113"/>
    <n v="66668.89"/>
    <n v="0"/>
    <n v="0"/>
    <n v="4736.68"/>
    <n v="5503.91"/>
    <n v="6173.24"/>
    <n v="7012.78"/>
    <n v="6129.1"/>
    <n v="6129.92"/>
    <n v="5119.68"/>
    <n v="5057.92"/>
    <n v="5149.0600000000004"/>
    <n v="5028.0200000000004"/>
    <n v="5520.12"/>
    <n v="5108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41"/>
    <n v="52403.54"/>
    <n v="0"/>
    <n v="0"/>
    <n v="4153.07"/>
    <n v="4120.33"/>
    <n v="4124.87"/>
    <n v="4084"/>
    <n v="5160.53"/>
    <n v="4356.8"/>
    <n v="4458.54"/>
    <n v="4211.3999999999996"/>
    <n v="4264"/>
    <n v="4550"/>
    <n v="4368"/>
    <n v="455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4"/>
    <x v="114"/>
    <n v="17.5"/>
    <n v="0"/>
    <n v="0"/>
    <m/>
    <m/>
    <m/>
    <m/>
    <m/>
    <m/>
    <m/>
    <m/>
    <m/>
    <m/>
    <m/>
    <n v="17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4"/>
    <x v="115"/>
    <n v="35412.249999999993"/>
    <n v="0"/>
    <n v="0"/>
    <n v="3389.47"/>
    <n v="3614.41"/>
    <n v="3605.45"/>
    <n v="3549.12"/>
    <n v="3366.19"/>
    <n v="3233.26"/>
    <n v="2989.39"/>
    <n v="2614.85"/>
    <n v="2247.09"/>
    <n v="2204.0300000000002"/>
    <n v="2308.9499999999998"/>
    <n v="2290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6"/>
    <n v="-115836.65999999999"/>
    <n v="0"/>
    <n v="0"/>
    <m/>
    <m/>
    <m/>
    <n v="-6472.3"/>
    <n v="-15102.35"/>
    <n v="-14386.31"/>
    <n v="-13517"/>
    <n v="-12444.89"/>
    <n v="-13087.72"/>
    <n v="-13043.84"/>
    <n v="-14156"/>
    <n v="-13626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7"/>
    <n v="-120261.64"/>
    <n v="0"/>
    <n v="0"/>
    <n v="-29713.39"/>
    <n v="-31140.55"/>
    <n v="-36154.74"/>
    <n v="-22166.62"/>
    <n v="-990.59"/>
    <n v="-115.51"/>
    <n v="1.85"/>
    <n v="-0.16"/>
    <n v="4.4800000000000004"/>
    <n v="4.54"/>
    <n v="4.68"/>
    <n v="4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8"/>
    <n v="2.5300000000000007"/>
    <n v="0"/>
    <n v="0"/>
    <n v="-1.2"/>
    <n v="1.24"/>
    <n v="-0.79"/>
    <n v="-0.02"/>
    <n v="5.49"/>
    <n v="0"/>
    <n v="0"/>
    <n v="0"/>
    <n v="0"/>
    <m/>
    <m/>
    <n v="-2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9"/>
    <n v="148"/>
    <n v="0"/>
    <n v="0"/>
    <n v="123.47"/>
    <n v="6.46"/>
    <n v="-3.55"/>
    <n v="-6.14"/>
    <n v="4.51"/>
    <n v="-5.47"/>
    <n v="-0.18"/>
    <n v="13.64"/>
    <n v="3.44"/>
    <n v="21.24"/>
    <n v="-0.05"/>
    <n v="-9.36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0"/>
    <n v="0"/>
    <n v="0"/>
    <n v="0"/>
    <n v="0"/>
    <n v="0"/>
    <n v="0"/>
    <n v="0"/>
    <n v="0"/>
    <n v="0"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120"/>
    <n v="71.69"/>
    <n v="0"/>
    <n v="0"/>
    <n v="55.53"/>
    <n v="3.71"/>
    <n v="-0.15"/>
    <n v="-1.34"/>
    <n v="4.22"/>
    <n v="-3.51"/>
    <n v="-0.12"/>
    <n v="5.94"/>
    <n v="2.21"/>
    <n v="12.78"/>
    <n v="-0.02"/>
    <n v="-7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121"/>
    <n v="-3279489.56"/>
    <n v="0"/>
    <n v="0"/>
    <n v="-247641.03"/>
    <n v="-259578.7"/>
    <n v="-301374.90000000002"/>
    <n v="-312131.49"/>
    <n v="-305102.96000000002"/>
    <n v="-283699.15000000002"/>
    <n v="-265651.01"/>
    <n v="-244615.64"/>
    <n v="-257267.46"/>
    <n v="-256388.69"/>
    <n v="-278230.21999999997"/>
    <n v="-267808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2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3"/>
    <n v="-1806441.15"/>
    <n v="0"/>
    <n v="0"/>
    <n v="-446334.65"/>
    <n v="-467733.36"/>
    <n v="-543040.04"/>
    <n v="-332983.32"/>
    <n v="-14913.7"/>
    <n v="-1734.24"/>
    <n v="28.55"/>
    <n v="-2.13"/>
    <n v="67.2"/>
    <n v="68.55"/>
    <n v="70.52"/>
    <n v="65.4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4"/>
    <n v="-4232175.1899999995"/>
    <n v="0"/>
    <n v="0"/>
    <m/>
    <m/>
    <m/>
    <n v="-236667.3"/>
    <n v="-551700"/>
    <n v="-525507.87"/>
    <n v="-493777.77"/>
    <n v="-454659.5"/>
    <n v="-478230"/>
    <n v="-476603.07"/>
    <n v="-517204.35"/>
    <n v="-49782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5"/>
    <n v="512.62000000000012"/>
    <n v="0"/>
    <n v="0"/>
    <n v="427.62"/>
    <n v="22.44"/>
    <n v="-12.38"/>
    <n v="-21.25"/>
    <n v="15.62"/>
    <n v="-18.98"/>
    <n v="-0.62"/>
    <n v="47.24"/>
    <n v="11.91"/>
    <n v="73.56"/>
    <n v="-0.17"/>
    <n v="-32.3699999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6"/>
    <n v="24.220000000000006"/>
    <n v="0"/>
    <n v="0"/>
    <n v="-11.18"/>
    <n v="11.62"/>
    <n v="-7.27"/>
    <n v="-0.14000000000000001"/>
    <n v="51.59"/>
    <n v="0"/>
    <n v="0"/>
    <n v="0"/>
    <n v="0"/>
    <m/>
    <m/>
    <n v="-20.3999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6"/>
    <x v="0"/>
    <n v="100.44000000000001"/>
    <n v="0"/>
    <n v="0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0"/>
    <n v="9451.7599999999984"/>
    <n v="0"/>
    <n v="0"/>
    <n v="508"/>
    <n v="788.9"/>
    <n v="517.98"/>
    <n v="750.84"/>
    <n v="629.91999999999996"/>
    <n v="723.82"/>
    <n v="547.34"/>
    <n v="936.36"/>
    <n v="916.04"/>
    <n v="762.82"/>
    <n v="1078.5999999999999"/>
    <n v="1291.14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7"/>
    <n v="204.62"/>
    <n v="0"/>
    <n v="0"/>
    <n v="7.87"/>
    <n v="23.61"/>
    <n v="0"/>
    <n v="15.74"/>
    <n v="15.74"/>
    <m/>
    <n v="23.61"/>
    <n v="39.35"/>
    <n v="23.61"/>
    <n v="7.87"/>
    <n v="23.61"/>
    <n v="2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8"/>
    <n v="-40.97"/>
    <n v="0"/>
    <n v="0"/>
    <n v="-38.33"/>
    <n v="6.03"/>
    <n v="11.62"/>
    <n v="-9.66"/>
    <n v="-10.63"/>
    <m/>
    <m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9"/>
    <n v="6659337.8200000012"/>
    <n v="0"/>
    <n v="0"/>
    <n v="547245.35"/>
    <n v="547065.94999999995"/>
    <n v="551304.87"/>
    <n v="549757.54"/>
    <n v="553045.39"/>
    <n v="556524.43000000005"/>
    <n v="553036.15"/>
    <n v="557458.1"/>
    <n v="560694.06999999995"/>
    <n v="557050.43999999994"/>
    <n v="562741.28"/>
    <n v="563414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30"/>
    <n v="151.17000000000002"/>
    <n v="0"/>
    <n v="0"/>
    <n v="92.25"/>
    <m/>
    <m/>
    <m/>
    <n v="0"/>
    <n v="0"/>
    <m/>
    <m/>
    <m/>
    <m/>
    <m/>
    <n v="58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31"/>
    <n v="10565286.769999998"/>
    <n v="0"/>
    <n v="0"/>
    <n v="872282.61"/>
    <n v="865919.25"/>
    <n v="881074.25"/>
    <n v="874982.94"/>
    <n v="886315.04"/>
    <n v="882042.98"/>
    <n v="873960.69"/>
    <n v="882826.55"/>
    <n v="892273.76"/>
    <n v="875962.15"/>
    <n v="892283.53"/>
    <n v="885363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51"/>
    <n v="54.27"/>
    <n v="0"/>
    <n v="0"/>
    <m/>
    <m/>
    <m/>
    <m/>
    <m/>
    <m/>
    <m/>
    <m/>
    <m/>
    <m/>
    <n v="54.27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0"/>
    <n v="-24663.27"/>
    <n v="0"/>
    <n v="0"/>
    <n v="-1459.39"/>
    <n v="-2076.91"/>
    <n v="-2086.5500000000002"/>
    <n v="-2464.5700000000002"/>
    <n v="-2013.99"/>
    <n v="-2269.67"/>
    <n v="-1880.4"/>
    <n v="-1696.88"/>
    <n v="-1448.72"/>
    <n v="-2304.39"/>
    <n v="-2144.44"/>
    <n v="-281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"/>
    <x v="0"/>
    <n v="-4160.5"/>
    <n v="0"/>
    <n v="68629879.459999993"/>
    <m/>
    <m/>
    <n v="-2396.91"/>
    <n v="-353.56"/>
    <n v="0"/>
    <m/>
    <n v="-1291.18"/>
    <m/>
    <m/>
    <n v="-118.85"/>
    <m/>
    <m/>
    <m/>
    <m/>
    <m/>
    <m/>
    <m/>
    <m/>
    <m/>
    <m/>
    <m/>
    <m/>
    <m/>
    <m/>
    <n v="3761914.32"/>
    <n v="7681155.1600000001"/>
    <n v="15363481.720000001"/>
    <n v="10898958.439999999"/>
    <n v="3493332.8"/>
    <n v="3185406.04"/>
    <n v="3390043.92"/>
    <n v="3215756.08"/>
    <n v="3806669"/>
    <n v="3664240.44"/>
    <n v="6285103.54"/>
    <n v="3883818"/>
  </r>
  <r>
    <s v="10"/>
    <s v="Electric"/>
    <x v="4"/>
    <x v="4"/>
    <x v="4"/>
    <x v="27"/>
    <x v="0"/>
    <n v="0"/>
    <n v="0"/>
    <n v="34097.020000000011"/>
    <m/>
    <m/>
    <m/>
    <m/>
    <m/>
    <m/>
    <m/>
    <m/>
    <m/>
    <m/>
    <m/>
    <m/>
    <m/>
    <m/>
    <m/>
    <m/>
    <m/>
    <m/>
    <m/>
    <m/>
    <m/>
    <m/>
    <m/>
    <m/>
    <n v="14356.64"/>
    <n v="1794.58"/>
    <n v="1794.58"/>
    <n v="1794.58"/>
    <n v="1794.58"/>
    <n v="1794.58"/>
    <n v="1794.58"/>
    <n v="1794.58"/>
    <n v="1794.58"/>
    <n v="1794.58"/>
    <n v="1794.58"/>
    <n v="1794.58"/>
  </r>
  <r>
    <s v="10"/>
    <s v="Electric"/>
    <x v="4"/>
    <x v="4"/>
    <x v="4"/>
    <x v="4"/>
    <x v="0"/>
    <n v="0"/>
    <n v="46929798.843766674"/>
    <n v="0"/>
    <m/>
    <m/>
    <m/>
    <m/>
    <m/>
    <m/>
    <m/>
    <m/>
    <m/>
    <m/>
    <m/>
    <m/>
    <n v="131413.91699999999"/>
    <n v="20080204.646000002"/>
    <n v="5171798.7273333333"/>
    <n v="56862.254399999998"/>
    <n v="6057302.8260000004"/>
    <n v="48181.440000000002"/>
    <n v="61329.929199999999"/>
    <n v="80536.562666666665"/>
    <n v="22924.674833333334"/>
    <n v="15065966.449999999"/>
    <n v="72914.962"/>
    <n v="80362.454333333328"/>
    <m/>
    <m/>
    <m/>
    <m/>
    <m/>
    <m/>
    <m/>
    <m/>
    <m/>
    <m/>
    <m/>
    <m/>
  </r>
  <r>
    <s v="10"/>
    <s v="Electric"/>
    <x v="4"/>
    <x v="4"/>
    <x v="4"/>
    <x v="21"/>
    <x v="0"/>
    <n v="0"/>
    <n v="1635.7079999999999"/>
    <n v="33248888.120999996"/>
    <m/>
    <m/>
    <m/>
    <m/>
    <m/>
    <m/>
    <m/>
    <m/>
    <m/>
    <m/>
    <m/>
    <m/>
    <n v="61.103999999999999"/>
    <n v="138.404"/>
    <n v="118.164"/>
    <n v="98.787999999999997"/>
    <n v="162.36000000000001"/>
    <n v="27.015999999999998"/>
    <n v="73.864000000000004"/>
    <n v="511.42399999999998"/>
    <n v="69.331999999999994"/>
    <n v="80.748000000000005"/>
    <n v="45.323999999999998"/>
    <n v="249.18"/>
    <n v="441420.15700000001"/>
    <n v="1015984.594"/>
    <n v="778804.69499999995"/>
    <n v="3033098.4559999998"/>
    <n v="4339525.983"/>
    <n v="3017278.6009999998"/>
    <n v="4385793.2410000004"/>
    <n v="3806063.676"/>
    <n v="3094466.8"/>
    <n v="3048418.3059999999"/>
    <n v="3324174.4780000001"/>
    <n v="2963859.1340000001"/>
  </r>
  <r>
    <s v="10"/>
    <s v="Electric"/>
    <x v="4"/>
    <x v="4"/>
    <x v="4"/>
    <x v="28"/>
    <x v="0"/>
    <n v="0"/>
    <n v="240.5"/>
    <n v="0"/>
    <m/>
    <m/>
    <m/>
    <m/>
    <m/>
    <m/>
    <m/>
    <m/>
    <m/>
    <m/>
    <m/>
    <m/>
    <n v="97.5"/>
    <n v="13"/>
    <n v="13"/>
    <n v="13"/>
    <n v="13"/>
    <n v="13"/>
    <n v="13"/>
    <n v="13"/>
    <n v="13"/>
    <n v="13"/>
    <n v="13"/>
    <n v="13"/>
    <m/>
    <m/>
    <m/>
    <m/>
    <m/>
    <m/>
    <m/>
    <m/>
    <m/>
    <m/>
    <m/>
    <m/>
  </r>
  <r>
    <s v="10"/>
    <s v="Electric"/>
    <x v="4"/>
    <x v="4"/>
    <x v="4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0"/>
    <n v="0"/>
    <n v="0"/>
    <n v="2384574051.2070003"/>
    <m/>
    <m/>
    <m/>
    <m/>
    <m/>
    <m/>
    <m/>
    <m/>
    <m/>
    <m/>
    <m/>
    <m/>
    <m/>
    <m/>
    <m/>
    <m/>
    <m/>
    <m/>
    <m/>
    <m/>
    <m/>
    <m/>
    <m/>
    <m/>
    <n v="179963955.65900001"/>
    <n v="188744042.13699999"/>
    <n v="219154428.20500001"/>
    <n v="226977338.96799999"/>
    <n v="221840426.41"/>
    <n v="206304208.13600001"/>
    <n v="193171244.083"/>
    <n v="177861573.78799999"/>
    <n v="187068941.40799999"/>
    <n v="186408528.54800001"/>
    <n v="202320032.31600001"/>
    <n v="194759331.54899999"/>
  </r>
  <r>
    <s v="10"/>
    <s v="Electric"/>
    <x v="4"/>
    <x v="4"/>
    <x v="4"/>
    <x v="5"/>
    <x v="139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0"/>
    <n v="-380.99"/>
    <n v="0"/>
    <n v="0"/>
    <n v="69.19"/>
    <n v="-28.02"/>
    <n v="22.44"/>
    <n v="1.81"/>
    <n v="-513.51"/>
    <n v="0"/>
    <m/>
    <n v="0"/>
    <n v="0"/>
    <m/>
    <m/>
    <n v="67.0999999999999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1"/>
    <n v="-839.67000000000007"/>
    <n v="0"/>
    <n v="0"/>
    <n v="-437"/>
    <n v="-224.61"/>
    <n v="133.56"/>
    <n v="-13.34"/>
    <n v="-563.1"/>
    <n v="-0.02"/>
    <n v="0"/>
    <n v="0"/>
    <n v="0"/>
    <m/>
    <m/>
    <n v="264.839999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2"/>
    <n v="-4724.619999999999"/>
    <n v="0"/>
    <n v="0"/>
    <n v="-9313.68"/>
    <n v="1191.51"/>
    <n v="-743.09"/>
    <n v="968.55"/>
    <n v="-232.61"/>
    <n v="6442.8"/>
    <n v="0.88"/>
    <n v="-790.91"/>
    <n v="-401.04"/>
    <n v="-2136.02"/>
    <n v="4.5"/>
    <n v="284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3"/>
    <n v="-93.8"/>
    <n v="0"/>
    <n v="0"/>
    <n v="-1.66"/>
    <n v="0"/>
    <n v="0"/>
    <m/>
    <n v="-92.14"/>
    <n v="0"/>
    <m/>
    <m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4"/>
    <n v="-88.149999999999977"/>
    <n v="0"/>
    <n v="0"/>
    <n v="73.61"/>
    <n v="-277.12"/>
    <n v="198.59"/>
    <n v="-4.49"/>
    <n v="-976.09"/>
    <n v="-2.76"/>
    <m/>
    <n v="0"/>
    <n v="0"/>
    <m/>
    <m/>
    <n v="900.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5"/>
    <n v="27997367.32"/>
    <n v="0"/>
    <n v="0"/>
    <n v="10102985.17"/>
    <n v="295266.81"/>
    <n v="29850.1"/>
    <n v="3919.79"/>
    <n v="46275.66"/>
    <n v="26937.56"/>
    <n v="7584628.6900000004"/>
    <n v="9206381.5600000005"/>
    <n v="561821.82999999996"/>
    <n v="131919.45000000001"/>
    <n v="6908.29"/>
    <n v="472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6"/>
    <n v="78319865.200000003"/>
    <n v="0"/>
    <n v="0"/>
    <m/>
    <m/>
    <m/>
    <m/>
    <m/>
    <m/>
    <m/>
    <n v="7007688.1900000004"/>
    <n v="16894183.399999999"/>
    <n v="17287038.5"/>
    <n v="18914024.34"/>
    <n v="18216930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7"/>
    <n v="-26217.37"/>
    <n v="0"/>
    <n v="0"/>
    <n v="-32104.95"/>
    <n v="-291.04000000000002"/>
    <n v="307.95"/>
    <n v="3199.5"/>
    <n v="-942.19"/>
    <n v="6961.97"/>
    <n v="0.05"/>
    <n v="-2339"/>
    <n v="-21.42"/>
    <n v="-1174.8599999999999"/>
    <n v="-4.41"/>
    <n v="191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8"/>
    <n v="120649205.15000001"/>
    <n v="0"/>
    <n v="0"/>
    <n v="6996490.9100000001"/>
    <n v="17938794.960000001"/>
    <n v="21153156.260000002"/>
    <n v="21931747.559999999"/>
    <n v="21399207.800000001"/>
    <n v="19899974.66"/>
    <n v="10832959.699999999"/>
    <n v="437598.87"/>
    <n v="41932.58"/>
    <n v="19438.11"/>
    <n v="1711.48"/>
    <n v="-3807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6"/>
    <n v="133806.62999999998"/>
    <n v="0"/>
    <n v="0"/>
    <m/>
    <m/>
    <m/>
    <m/>
    <m/>
    <m/>
    <m/>
    <n v="12600.63"/>
    <n v="29396.79"/>
    <n v="28876.01"/>
    <n v="33486.400000000001"/>
    <n v="29446.7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7"/>
    <n v="0"/>
    <n v="0"/>
    <n v="0"/>
    <m/>
    <m/>
    <m/>
    <m/>
    <n v="0"/>
    <m/>
    <n v="0"/>
    <n v="0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8"/>
    <n v="65.17"/>
    <n v="0"/>
    <n v="0"/>
    <n v="-3.58"/>
    <n v="0"/>
    <n v="12.43"/>
    <n v="-2.1800000000000002"/>
    <n v="1.45"/>
    <n v="22.31"/>
    <n v="-1.33"/>
    <n v="1.33"/>
    <m/>
    <m/>
    <m/>
    <n v="34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9"/>
    <n v="286842.57000000007"/>
    <n v="0"/>
    <n v="0"/>
    <n v="34340.03"/>
    <n v="35841.949999999997"/>
    <n v="39844.800000000003"/>
    <n v="42143.4"/>
    <n v="40211.18"/>
    <n v="39098.699999999997"/>
    <n v="35829.919999999998"/>
    <n v="18127.009999999998"/>
    <n v="844.51"/>
    <n v="517.65"/>
    <n v="43.39"/>
    <n v="0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8"/>
    <x v="102"/>
    <n v="3392.6899999999996"/>
    <n v="0"/>
    <n v="0"/>
    <n v="3254.75"/>
    <n v="97.56"/>
    <n v="25.45"/>
    <n v="-1.89"/>
    <n v="1.42"/>
    <n v="9.39"/>
    <n v="-0.2"/>
    <n v="0.24"/>
    <m/>
    <n v="0"/>
    <n v="0.02"/>
    <n v="5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8"/>
    <x v="103"/>
    <n v="75363.510000000009"/>
    <n v="0"/>
    <n v="0"/>
    <n v="2576.92"/>
    <n v="6287.96"/>
    <n v="7082.81"/>
    <n v="7519.84"/>
    <n v="7172.56"/>
    <n v="6969.26"/>
    <n v="6391.91"/>
    <n v="5858.91"/>
    <n v="6275.27"/>
    <n v="6108.36"/>
    <n v="6984.39"/>
    <n v="6135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5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6"/>
    <n v="-2.23"/>
    <n v="0"/>
    <n v="0"/>
    <n v="0.05"/>
    <m/>
    <m/>
    <m/>
    <n v="0"/>
    <m/>
    <n v="0.1"/>
    <n v="-0.1"/>
    <m/>
    <n v="0"/>
    <m/>
    <n v="-2.279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7"/>
    <n v="-19922.329999999998"/>
    <n v="0"/>
    <n v="0"/>
    <m/>
    <m/>
    <m/>
    <n v="-1166.95"/>
    <n v="-2571.46"/>
    <n v="-2518.73"/>
    <n v="-2313.6999999999998"/>
    <n v="-2120.64"/>
    <n v="-2269.5300000000002"/>
    <n v="-2211.64"/>
    <n v="-2528.65"/>
    <n v="-2221.03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8"/>
    <n v="-8812.0799999999981"/>
    <n v="0"/>
    <n v="0"/>
    <n v="-2246.39"/>
    <n v="-2345.1"/>
    <n v="-2607.56"/>
    <n v="-1574.85"/>
    <n v="-26.3"/>
    <n v="-8.4600000000000009"/>
    <n v="-0.44"/>
    <n v="-0.64"/>
    <n v="-2.34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09"/>
    <n v="-1130.0599999999997"/>
    <n v="0"/>
    <n v="0"/>
    <n v="-462.3"/>
    <n v="-651"/>
    <n v="-14.35"/>
    <n v="-1.03"/>
    <n v="-0.98"/>
    <n v="-0.33"/>
    <n v="-7.0000000000000007E-2"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10"/>
    <n v="-9.8500000000000014"/>
    <n v="0"/>
    <n v="0"/>
    <n v="-3.1"/>
    <n v="-0.02"/>
    <n v="-0.27"/>
    <n v="0.44"/>
    <n v="-0.53"/>
    <n v="-6.37"/>
    <n v="0"/>
    <n v="0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11"/>
    <n v="3.22"/>
    <n v="0"/>
    <n v="0"/>
    <n v="3.22"/>
    <m/>
    <m/>
    <m/>
    <n v="0"/>
    <m/>
    <n v="0.63"/>
    <n v="-0.63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112"/>
    <n v="1.34"/>
    <n v="0"/>
    <n v="0"/>
    <m/>
    <m/>
    <m/>
    <m/>
    <m/>
    <m/>
    <m/>
    <m/>
    <m/>
    <m/>
    <m/>
    <n v="1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113"/>
    <n v="1814.4699999999996"/>
    <n v="0"/>
    <n v="0"/>
    <n v="147.69"/>
    <n v="189.39"/>
    <n v="242.78"/>
    <n v="279.5"/>
    <n v="244.68"/>
    <n v="212.49"/>
    <n v="114.84"/>
    <n v="86.98"/>
    <n v="77.819999999999993"/>
    <n v="72.88"/>
    <n v="74.09"/>
    <n v="71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41"/>
    <n v="1232"/>
    <n v="0"/>
    <n v="0"/>
    <n v="406"/>
    <n v="406"/>
    <n v="42"/>
    <n v="794.27"/>
    <n v="-710.27"/>
    <n v="42"/>
    <n v="42"/>
    <n v="42"/>
    <n v="42"/>
    <n v="42"/>
    <n v="42"/>
    <n v="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4"/>
    <x v="115"/>
    <n v="48"/>
    <n v="0"/>
    <n v="0"/>
    <n v="4"/>
    <n v="4"/>
    <n v="4"/>
    <n v="4"/>
    <n v="4"/>
    <n v="4"/>
    <n v="4"/>
    <n v="4"/>
    <n v="4"/>
    <n v="4"/>
    <n v="4"/>
    <n v="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6"/>
    <n v="-4483.5600000000004"/>
    <n v="0"/>
    <n v="0"/>
    <m/>
    <m/>
    <m/>
    <n v="-262.56"/>
    <n v="-578.94000000000005"/>
    <n v="-566.41999999999996"/>
    <n v="-520.62"/>
    <n v="-477.23"/>
    <n v="-510.89"/>
    <n v="-498.01"/>
    <n v="-569.07000000000005"/>
    <n v="-499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7"/>
    <n v="-4615.71"/>
    <n v="0"/>
    <n v="0"/>
    <n v="-1176.58"/>
    <n v="-1228.21"/>
    <n v="-1365.94"/>
    <n v="-825.07"/>
    <n v="-13.77"/>
    <n v="-4.37"/>
    <n v="-0.23"/>
    <n v="-0.31"/>
    <n v="-1.23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8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9"/>
    <n v="-5.58"/>
    <n v="0"/>
    <n v="0"/>
    <n v="0.16"/>
    <m/>
    <m/>
    <m/>
    <n v="0"/>
    <m/>
    <n v="0.23"/>
    <n v="-0.23"/>
    <m/>
    <n v="0"/>
    <m/>
    <n v="-5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3"/>
    <x v="120"/>
    <n v="-3.65"/>
    <n v="0"/>
    <n v="0"/>
    <n v="0.04"/>
    <m/>
    <m/>
    <m/>
    <n v="0"/>
    <m/>
    <n v="0.12"/>
    <n v="-0.12"/>
    <m/>
    <n v="0"/>
    <m/>
    <n v="-3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3"/>
    <x v="121"/>
    <n v="-126569.4"/>
    <n v="0"/>
    <n v="0"/>
    <n v="-9807.6"/>
    <n v="-10237.209999999999"/>
    <n v="-11383.82"/>
    <n v="-12035.79"/>
    <n v="-11485.71"/>
    <n v="-11173.98"/>
    <n v="-10234.06"/>
    <n v="-9380.56"/>
    <n v="-10046.59"/>
    <n v="-9779.83"/>
    <n v="-11181.88"/>
    <n v="-9822.37000000000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3"/>
    <n v="-69318.37"/>
    <n v="0"/>
    <n v="0"/>
    <n v="-17670.919999999998"/>
    <n v="-18445.62"/>
    <n v="-20512.240000000002"/>
    <n v="-12389.73"/>
    <n v="-206.68"/>
    <n v="-66.459999999999994"/>
    <n v="-3.42"/>
    <n v="-4.8600000000000003"/>
    <n v="-18.440000000000001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4"/>
    <n v="-163735.94"/>
    <n v="0"/>
    <n v="0"/>
    <m/>
    <m/>
    <m/>
    <n v="-9590.34"/>
    <n v="-21133.21"/>
    <n v="-20698.84"/>
    <n v="-19016.3"/>
    <n v="-17429.009999999998"/>
    <n v="-18653.79"/>
    <n v="-18176.259999999998"/>
    <n v="-20782.84"/>
    <n v="-18255.34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5"/>
    <n v="-19.350000000000001"/>
    <n v="0"/>
    <n v="0"/>
    <n v="0.52"/>
    <m/>
    <m/>
    <m/>
    <n v="0"/>
    <m/>
    <n v="0.77"/>
    <n v="-0.77"/>
    <m/>
    <n v="0"/>
    <m/>
    <n v="-19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6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6"/>
    <x v="0"/>
    <n v="0"/>
    <n v="0"/>
    <n v="0"/>
    <n v="0"/>
    <n v="0"/>
    <n v="0"/>
    <n v="0"/>
    <n v="0"/>
    <m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0"/>
    <n v="92.259999999999991"/>
    <n v="0"/>
    <n v="0"/>
    <m/>
    <m/>
    <n v="20.32"/>
    <m/>
    <m/>
    <m/>
    <m/>
    <n v="51.62"/>
    <m/>
    <m/>
    <n v="20.3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129"/>
    <n v="116036.01"/>
    <n v="0"/>
    <n v="0"/>
    <n v="9458.9599999999991"/>
    <n v="9755.9699999999993"/>
    <n v="9570.7199999999993"/>
    <n v="9662.5"/>
    <n v="9722.7800000000007"/>
    <n v="9875.52"/>
    <n v="9296.4"/>
    <n v="10160"/>
    <n v="9428.82"/>
    <n v="9580.8799999999992"/>
    <n v="9530.08"/>
    <n v="9993.37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131"/>
    <n v="682495.55"/>
    <n v="0"/>
    <n v="0"/>
    <n v="56524.76"/>
    <n v="56730.38"/>
    <n v="56781.14"/>
    <n v="56731.24"/>
    <n v="57014.29"/>
    <n v="57762.78"/>
    <n v="56291.61"/>
    <n v="56652.95"/>
    <n v="57298.2"/>
    <n v="56419.8"/>
    <n v="57040.1"/>
    <n v="57248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0"/>
    <n v="-34.459999999999994"/>
    <n v="0"/>
    <n v="0"/>
    <n v="-0.71"/>
    <n v="-0.81"/>
    <n v="-4.87"/>
    <n v="-8.17"/>
    <n v="-6.81"/>
    <n v="-5.21"/>
    <n v="-3.2"/>
    <n v="-0.95"/>
    <n v="-1.1200000000000001"/>
    <n v="-0.87"/>
    <n v="-0.83"/>
    <n v="-0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3"/>
    <x v="0"/>
    <n v="0"/>
    <n v="0"/>
    <n v="7587080"/>
    <m/>
    <m/>
    <m/>
    <m/>
    <m/>
    <m/>
    <m/>
    <m/>
    <m/>
    <m/>
    <m/>
    <m/>
    <m/>
    <m/>
    <m/>
    <m/>
    <m/>
    <m/>
    <m/>
    <m/>
    <m/>
    <m/>
    <m/>
    <m/>
    <n v="580159.80000000005"/>
    <n v="647900.19999999995"/>
    <n v="601264.56000000006"/>
    <n v="690289.68"/>
    <n v="587505.76"/>
    <n v="651400"/>
    <n v="590290"/>
    <n v="597370"/>
    <n v="2016020"/>
    <n v="726380"/>
    <n v="702960"/>
    <n v="-804460"/>
  </r>
  <r>
    <s v="10"/>
    <s v="Electric"/>
    <x v="4"/>
    <x v="5"/>
    <x v="4"/>
    <x v="4"/>
    <x v="0"/>
    <n v="0"/>
    <n v="82710.86"/>
    <n v="0"/>
    <m/>
    <m/>
    <m/>
    <m/>
    <m/>
    <m/>
    <m/>
    <m/>
    <m/>
    <m/>
    <m/>
    <m/>
    <n v="5479.3866666666663"/>
    <n v="7425.55"/>
    <n v="5500.3066666666664"/>
    <n v="5501.663333333333"/>
    <n v="5292.5533333333333"/>
    <n v="8107.06"/>
    <n v="7885.12"/>
    <n v="7091.54"/>
    <n v="7882.41"/>
    <n v="8503.85"/>
    <n v="9128.9500000000007"/>
    <n v="4912.47"/>
    <m/>
    <m/>
    <m/>
    <m/>
    <m/>
    <m/>
    <m/>
    <m/>
    <m/>
    <m/>
    <m/>
    <m/>
  </r>
  <r>
    <s v="10"/>
    <s v="Electric"/>
    <x v="4"/>
    <x v="5"/>
    <x v="4"/>
    <x v="5"/>
    <x v="0"/>
    <n v="0"/>
    <n v="0"/>
    <n v="92040679.473999992"/>
    <m/>
    <m/>
    <m/>
    <m/>
    <m/>
    <m/>
    <m/>
    <m/>
    <m/>
    <m/>
    <m/>
    <m/>
    <m/>
    <m/>
    <m/>
    <m/>
    <m/>
    <m/>
    <m/>
    <m/>
    <m/>
    <m/>
    <m/>
    <m/>
    <n v="7131102.0789999999"/>
    <n v="7443745.3540000003"/>
    <n v="8277847.8890000004"/>
    <n v="8752046.1439999994"/>
    <n v="8351535.1169999996"/>
    <n v="8124997.8859999999"/>
    <n v="7441024.4620000003"/>
    <n v="6821159.7769999998"/>
    <n v="7305399.892"/>
    <n v="7111201.2549999999"/>
    <n v="8130948.199"/>
    <n v="7149671.4199999999"/>
  </r>
  <r>
    <s v="10"/>
    <s v="Electric"/>
    <x v="4"/>
    <x v="5"/>
    <x v="4"/>
    <x v="5"/>
    <x v="141"/>
    <n v="0.01"/>
    <n v="0"/>
    <n v="0"/>
    <m/>
    <m/>
    <m/>
    <m/>
    <n v="0"/>
    <m/>
    <n v="0.01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2"/>
    <n v="772.5"/>
    <n v="0"/>
    <n v="0"/>
    <n v="-15.77"/>
    <n v="0"/>
    <n v="117.58"/>
    <n v="-7.21"/>
    <n v="13.22"/>
    <n v="117.83"/>
    <n v="-17.329999999999998"/>
    <n v="17.32"/>
    <m/>
    <m/>
    <m/>
    <n v="546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4"/>
    <n v="0"/>
    <n v="0"/>
    <n v="0"/>
    <m/>
    <m/>
    <m/>
    <m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5"/>
    <n v="1076343.9099999999"/>
    <n v="0"/>
    <n v="0"/>
    <n v="386356.9"/>
    <n v="11578.61"/>
    <n v="2768.49"/>
    <n v="-183.23"/>
    <n v="135.69"/>
    <n v="663.93"/>
    <n v="311632.84000000003"/>
    <n v="339379.23"/>
    <n v="14597.35"/>
    <n v="8684.0499999999993"/>
    <n v="729.39"/>
    <n v="0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6"/>
    <n v="3035356.06"/>
    <n v="0"/>
    <n v="0"/>
    <m/>
    <m/>
    <m/>
    <m/>
    <m/>
    <m/>
    <m/>
    <n v="285840.71999999997"/>
    <n v="666855.11"/>
    <n v="655041.14"/>
    <n v="759628.72"/>
    <n v="667990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7"/>
    <n v="530.81999999999994"/>
    <n v="0"/>
    <n v="0"/>
    <n v="-56.8"/>
    <n v="0"/>
    <n v="132.15"/>
    <n v="-37"/>
    <n v="15.73"/>
    <n v="333.43"/>
    <n v="-9.43"/>
    <n v="9.43"/>
    <m/>
    <m/>
    <m/>
    <n v="143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8"/>
    <n v="4645913.6099999994"/>
    <n v="0"/>
    <n v="0"/>
    <n v="290048.87"/>
    <n v="707559.82"/>
    <n v="797031.88"/>
    <n v="846225.45"/>
    <n v="807105.77"/>
    <n v="784225.59"/>
    <n v="397193.47"/>
    <n v="13122.75"/>
    <n v="1866.43"/>
    <n v="1416.6"/>
    <n v="116.98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5"/>
    <n v="0.83"/>
    <n v="0"/>
    <n v="0"/>
    <m/>
    <m/>
    <n v="0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6"/>
    <n v="16477.05"/>
    <n v="0"/>
    <n v="0"/>
    <m/>
    <m/>
    <m/>
    <m/>
    <m/>
    <m/>
    <m/>
    <n v="1478.25"/>
    <n v="3585.66"/>
    <n v="3541.15"/>
    <n v="3750.05"/>
    <n v="4121.93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7"/>
    <n v="11.5"/>
    <n v="0"/>
    <n v="0"/>
    <m/>
    <m/>
    <n v="1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8"/>
    <n v="12.59"/>
    <n v="0"/>
    <n v="0"/>
    <m/>
    <m/>
    <n v="12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9"/>
    <n v="47935.1"/>
    <n v="0"/>
    <n v="0"/>
    <n v="5600.08"/>
    <n v="6308.21"/>
    <n v="7266.79"/>
    <n v="7333.73"/>
    <n v="6925.87"/>
    <n v="6228.56"/>
    <n v="5391.14"/>
    <n v="2728.57"/>
    <n v="102.5"/>
    <n v="49.64"/>
    <n v="0.0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1"/>
    <n v="0.87"/>
    <n v="0"/>
    <n v="0"/>
    <m/>
    <m/>
    <n v="0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2"/>
    <n v="586.08999999999992"/>
    <n v="0"/>
    <n v="0"/>
    <n v="567.42999999999995"/>
    <n v="9.68"/>
    <n v="9.35"/>
    <m/>
    <n v="-0.66"/>
    <n v="0.289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3"/>
    <n v="11349.32"/>
    <n v="0"/>
    <n v="0"/>
    <n v="380.53"/>
    <n v="1114.96"/>
    <n v="1289.79"/>
    <n v="1308.3399999999999"/>
    <n v="1236.08"/>
    <n v="1110.8699999999999"/>
    <n v="961.43"/>
    <n v="795.01"/>
    <n v="765.29"/>
    <n v="746.73"/>
    <n v="781.34"/>
    <n v="858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5"/>
    <n v="-0.56000000000000005"/>
    <n v="0"/>
    <n v="0"/>
    <m/>
    <m/>
    <n v="-0.56000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6"/>
    <n v="-0.81"/>
    <n v="0"/>
    <n v="0"/>
    <m/>
    <m/>
    <n v="-0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7"/>
    <n v="-2798.3900000000003"/>
    <n v="0"/>
    <n v="0"/>
    <m/>
    <m/>
    <m/>
    <n v="-182.89"/>
    <n v="-438.33"/>
    <n v="-400.38"/>
    <n v="-348.11"/>
    <n v="-287.63"/>
    <n v="-276.91000000000003"/>
    <n v="-270.24"/>
    <n v="-282.95999999999998"/>
    <n v="-310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8"/>
    <n v="-1560.0199999999998"/>
    <n v="0"/>
    <n v="0"/>
    <n v="-366.45"/>
    <n v="-412.57"/>
    <n v="-475.55"/>
    <n v="-294.33"/>
    <n v="-9.1"/>
    <n v="-2.02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09"/>
    <n v="-198.45999999999998"/>
    <n v="0"/>
    <n v="0"/>
    <n v="-67.84"/>
    <n v="-125.24"/>
    <n v="-5.17"/>
    <n v="-0.15"/>
    <n v="0.06"/>
    <n v="-0.12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10"/>
    <n v="-0.91"/>
    <n v="0"/>
    <n v="0"/>
    <m/>
    <m/>
    <n v="-0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11"/>
    <n v="-7.99"/>
    <n v="0"/>
    <n v="0"/>
    <m/>
    <m/>
    <n v="-7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8"/>
    <x v="113"/>
    <n v="189.06"/>
    <n v="0"/>
    <n v="0"/>
    <n v="13.87"/>
    <n v="15.94"/>
    <n v="18.98"/>
    <n v="20.3"/>
    <n v="17.5"/>
    <n v="16.71"/>
    <n v="16.04"/>
    <n v="15.71"/>
    <n v="14.38"/>
    <n v="11.92"/>
    <n v="14.41"/>
    <n v="13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4"/>
    <x v="114"/>
    <n v="3.48"/>
    <n v="0"/>
    <n v="0"/>
    <m/>
    <m/>
    <m/>
    <m/>
    <m/>
    <m/>
    <m/>
    <m/>
    <m/>
    <m/>
    <m/>
    <n v="3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4"/>
    <x v="115"/>
    <n v="7176.63"/>
    <n v="0"/>
    <n v="0"/>
    <n v="587.22"/>
    <n v="696.24"/>
    <n v="742.3"/>
    <n v="776.06"/>
    <n v="714.38"/>
    <n v="658.56"/>
    <n v="603.95000000000005"/>
    <n v="513.55999999999995"/>
    <n v="478.18"/>
    <n v="443.98"/>
    <n v="473.46"/>
    <n v="488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6"/>
    <n v="-628.61000000000013"/>
    <n v="0"/>
    <n v="0"/>
    <m/>
    <m/>
    <m/>
    <n v="-41.14"/>
    <n v="-98.53"/>
    <n v="-90.09"/>
    <n v="-78.150000000000006"/>
    <n v="-64.7"/>
    <n v="-62.23"/>
    <n v="-60.59"/>
    <n v="-63.48"/>
    <n v="-6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7"/>
    <n v="-816.97"/>
    <n v="0"/>
    <n v="0"/>
    <n v="-191.8"/>
    <n v="-216.25"/>
    <n v="-249.07"/>
    <n v="-154.1"/>
    <n v="-4.7"/>
    <n v="-1.05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8"/>
    <n v="-0.63"/>
    <n v="0"/>
    <n v="0"/>
    <m/>
    <m/>
    <n v="-0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9"/>
    <n v="-2.0699999999999998"/>
    <n v="0"/>
    <n v="0"/>
    <m/>
    <m/>
    <n v="-2.06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0"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120"/>
    <n v="-1.45"/>
    <n v="0"/>
    <n v="0"/>
    <m/>
    <m/>
    <n v="-1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121"/>
    <n v="-19188.63"/>
    <n v="0"/>
    <n v="0"/>
    <n v="-1599.51"/>
    <n v="-1801.65"/>
    <n v="-2076.9499999999998"/>
    <n v="-2094.66"/>
    <n v="-1978.05"/>
    <n v="-1778.99"/>
    <n v="-1539.71"/>
    <n v="-1272.53"/>
    <n v="-1225.4000000000001"/>
    <n v="-1195.51"/>
    <n v="-1250.72"/>
    <n v="-1374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3"/>
    <n v="-12275.03"/>
    <n v="0"/>
    <n v="0"/>
    <n v="-2882.08"/>
    <n v="-3246.36"/>
    <n v="-3742.21"/>
    <n v="-2316.64"/>
    <n v="-72.010000000000005"/>
    <n v="-15.7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4"/>
    <n v="-23001.89"/>
    <n v="0"/>
    <n v="0"/>
    <m/>
    <m/>
    <m/>
    <n v="-1503.53"/>
    <n v="-3602.24"/>
    <n v="-3290.19"/>
    <n v="-2861.83"/>
    <n v="-2364.91"/>
    <n v="-2277.38"/>
    <n v="-2221.7600000000002"/>
    <n v="-2324.63"/>
    <n v="-2555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5"/>
    <n v="-7.17"/>
    <n v="0"/>
    <n v="0"/>
    <m/>
    <m/>
    <n v="-7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6"/>
    <n v="-5.9"/>
    <n v="0"/>
    <n v="0"/>
    <m/>
    <m/>
    <n v="-5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6"/>
    <x v="0"/>
    <n v="0"/>
    <n v="0"/>
    <n v="0"/>
    <m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28"/>
    <n v="37.67"/>
    <n v="0"/>
    <n v="0"/>
    <m/>
    <m/>
    <n v="37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29"/>
    <n v="126500.47"/>
    <n v="0"/>
    <n v="0"/>
    <n v="10485.120000000001"/>
    <n v="10380.469999999999"/>
    <n v="10943.34"/>
    <n v="10464.799999999999"/>
    <n v="10515.6"/>
    <n v="10566.74"/>
    <n v="10576.56"/>
    <n v="10393.68"/>
    <n v="10637.52"/>
    <n v="10424.16"/>
    <n v="10637.52"/>
    <n v="10474.95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31"/>
    <n v="31075.239999999994"/>
    <n v="0"/>
    <n v="0"/>
    <n v="2606.81"/>
    <n v="2606.81"/>
    <n v="2606.81"/>
    <n v="2606.81"/>
    <n v="2606.81"/>
    <n v="2632.62"/>
    <n v="2581"/>
    <n v="2581"/>
    <n v="2555.19"/>
    <n v="2581"/>
    <n v="2555.19"/>
    <n v="2555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4"/>
    <x v="0"/>
    <n v="0"/>
    <n v="1557.35"/>
    <n v="0"/>
    <m/>
    <m/>
    <m/>
    <m/>
    <m/>
    <m/>
    <m/>
    <m/>
    <m/>
    <m/>
    <m/>
    <m/>
    <n v="129.16999999999999"/>
    <n v="129.66"/>
    <n v="146.66999999999999"/>
    <n v="130.31"/>
    <n v="129.41999999999999"/>
    <n v="127.68"/>
    <n v="99.91"/>
    <n v="93.89"/>
    <n v="97.98"/>
    <n v="221.64"/>
    <n v="125.06"/>
    <n v="125.96"/>
    <m/>
    <m/>
    <m/>
    <m/>
    <m/>
    <m/>
    <m/>
    <m/>
    <m/>
    <m/>
    <m/>
    <m/>
  </r>
  <r>
    <s v="10"/>
    <s v="Electric"/>
    <x v="4"/>
    <x v="6"/>
    <x v="4"/>
    <x v="5"/>
    <x v="0"/>
    <n v="0"/>
    <n v="0"/>
    <n v="13957595.09"/>
    <m/>
    <m/>
    <m/>
    <m/>
    <m/>
    <m/>
    <m/>
    <m/>
    <m/>
    <m/>
    <m/>
    <m/>
    <m/>
    <m/>
    <m/>
    <m/>
    <m/>
    <m/>
    <m/>
    <m/>
    <m/>
    <m/>
    <m/>
    <m/>
    <n v="1163056.4790000001"/>
    <n v="1310113.189"/>
    <n v="1514845.763"/>
    <n v="1523141.7849999999"/>
    <n v="1438404.0589999999"/>
    <n v="1293560.821"/>
    <n v="1119635.0619999999"/>
    <n v="925254.71"/>
    <n v="890982.95400000003"/>
    <n v="869253.50100000005"/>
    <n v="909582.272"/>
    <n v="999764.495"/>
  </r>
  <r>
    <s v="10"/>
    <s v="Electric"/>
    <x v="4"/>
    <x v="6"/>
    <x v="4"/>
    <x v="5"/>
    <x v="140"/>
    <n v="37.08"/>
    <n v="0"/>
    <n v="0"/>
    <m/>
    <m/>
    <n v="37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1"/>
    <n v="88.29"/>
    <n v="0"/>
    <n v="0"/>
    <m/>
    <m/>
    <n v="88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2"/>
    <n v="109.1"/>
    <n v="0"/>
    <n v="0"/>
    <m/>
    <m/>
    <n v="109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4"/>
    <n v="142.49"/>
    <n v="0"/>
    <n v="0"/>
    <m/>
    <m/>
    <n v="142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5"/>
    <n v="164205.92000000001"/>
    <n v="0"/>
    <n v="0"/>
    <n v="67348.960000000006"/>
    <n v="1140.6099999999999"/>
    <n v="690.1"/>
    <m/>
    <n v="-76.739999999999995"/>
    <n v="34.07"/>
    <n v="40569.550000000003"/>
    <n v="52083.19"/>
    <n v="1539.91"/>
    <n v="876.11"/>
    <n v="0.1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6"/>
    <n v="373787.44000000006"/>
    <n v="0"/>
    <n v="0"/>
    <m/>
    <m/>
    <m/>
    <m/>
    <m/>
    <m/>
    <m/>
    <n v="33534.86"/>
    <n v="81340.289999999994"/>
    <n v="80335.070000000007"/>
    <n v="85071.32"/>
    <n v="93505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7"/>
    <n v="144.16"/>
    <n v="0"/>
    <n v="0"/>
    <m/>
    <m/>
    <n v="144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8"/>
    <n v="792588.93999999983"/>
    <n v="0"/>
    <n v="0"/>
    <n v="42812.51"/>
    <n v="125459.35"/>
    <n v="145167.59"/>
    <n v="147230.03"/>
    <n v="139118.44"/>
    <n v="125002.94"/>
    <n v="66294.259999999995"/>
    <n v="945.85"/>
    <n v="466.78"/>
    <n v="91.1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149"/>
    <n v="0"/>
    <n v="0"/>
    <n v="0"/>
    <n v="-171.11"/>
    <n v="171.11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0"/>
    <n v="3605418.7399999998"/>
    <n v="0"/>
    <n v="0"/>
    <m/>
    <m/>
    <m/>
    <m/>
    <m/>
    <m/>
    <m/>
    <n v="318308.67"/>
    <n v="784917.4"/>
    <n v="755422.6"/>
    <n v="898266.34"/>
    <n v="848503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150"/>
    <n v="443.63"/>
    <n v="0"/>
    <n v="0"/>
    <n v="-924.99"/>
    <n v="1120.28"/>
    <n v="248.34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1"/>
    <n v="7030184"/>
    <n v="0"/>
    <n v="0"/>
    <n v="884416.58"/>
    <n v="888747.89"/>
    <n v="983993.49"/>
    <n v="998599.52"/>
    <n v="988654.12"/>
    <n v="913339.34"/>
    <n v="834691.85"/>
    <n v="464234.9"/>
    <n v="64360.82"/>
    <n v="11227"/>
    <n v="-2108.88"/>
    <n v="27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2"/>
    <n v="-546.5"/>
    <n v="0"/>
    <n v="0"/>
    <n v="645.80999999999995"/>
    <n v="1270.07"/>
    <n v="628.64"/>
    <n v="0"/>
    <n v="0"/>
    <m/>
    <n v="0"/>
    <m/>
    <n v="-404.35"/>
    <n v="196.71"/>
    <n v="-2883.3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151"/>
    <n v="3.4200000000000017"/>
    <n v="0"/>
    <n v="0"/>
    <n v="-84.74"/>
    <n v="88.1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33"/>
    <n v="86349.78"/>
    <n v="0"/>
    <n v="0"/>
    <n v="84122.77"/>
    <n v="2444.67"/>
    <n v="419.01"/>
    <n v="185.22"/>
    <n v="214.99"/>
    <n v="0"/>
    <n v="-295.82"/>
    <n v="0"/>
    <n v="-77.650000000000006"/>
    <n v="68.930000000000007"/>
    <n v="-732.3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34"/>
    <n v="1876267.07"/>
    <n v="0"/>
    <n v="0"/>
    <n v="67990.42"/>
    <n v="157443.18"/>
    <n v="176541.71"/>
    <n v="179260.54"/>
    <n v="177440.61"/>
    <n v="164137.67000000001"/>
    <n v="150320.79999999999"/>
    <n v="145781.03"/>
    <n v="165330.45000000001"/>
    <n v="149950.71"/>
    <n v="175858.88"/>
    <n v="166211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152"/>
    <n v="-1.480000000000002"/>
    <n v="0"/>
    <n v="0"/>
    <n v="49.32"/>
    <n v="-49.31"/>
    <n v="-1.49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5"/>
    <n v="-1.3599999999999994"/>
    <n v="0"/>
    <n v="0"/>
    <n v="23.11"/>
    <n v="-69.13"/>
    <n v="-37.79"/>
    <n v="0"/>
    <m/>
    <m/>
    <n v="0"/>
    <m/>
    <n v="3.41"/>
    <m/>
    <n v="79.04000000000000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6"/>
    <n v="-196531.65999999995"/>
    <n v="0"/>
    <n v="0"/>
    <n v="-51965.39"/>
    <n v="-52201.78"/>
    <n v="-57775.67"/>
    <n v="-34055.699999999997"/>
    <n v="-1546.96"/>
    <n v="-16.03"/>
    <n v="811.98"/>
    <n v="-8.34"/>
    <n v="44.4"/>
    <n v="-47.43"/>
    <n v="229.2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7"/>
    <n v="-455423.68"/>
    <n v="0"/>
    <n v="0"/>
    <m/>
    <m/>
    <m/>
    <n v="-25036.880000000001"/>
    <n v="-57573.74"/>
    <n v="-54628.12"/>
    <n v="-50766.48"/>
    <n v="-48523.63"/>
    <n v="-55062.02"/>
    <n v="-49897.64"/>
    <n v="-58600.44"/>
    <n v="-55334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38"/>
    <n v="-21632.31"/>
    <n v="0"/>
    <n v="0"/>
    <n v="-9020.17"/>
    <n v="-12201.29"/>
    <n v="-482.59"/>
    <n v="-36.06"/>
    <n v="-9.2100000000000009"/>
    <n v="-1.47"/>
    <n v="113.75"/>
    <n v="-0.11"/>
    <n v="-0.11"/>
    <n v="-1.1399999999999999"/>
    <n v="6.09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39"/>
    <n v="36.759999999999991"/>
    <n v="0"/>
    <n v="0"/>
    <n v="-30.77"/>
    <n v="-125.84"/>
    <n v="-27.58"/>
    <n v="0"/>
    <n v="0"/>
    <m/>
    <n v="0"/>
    <n v="0"/>
    <n v="51.68"/>
    <n v="-34.46"/>
    <n v="203.73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40"/>
    <n v="1179.04"/>
    <n v="0"/>
    <n v="0"/>
    <n v="-256.47000000000003"/>
    <n v="-568.96"/>
    <n v="-266.45"/>
    <n v="0"/>
    <m/>
    <m/>
    <n v="0"/>
    <m/>
    <n v="198.66"/>
    <m/>
    <n v="2072.260000000000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112"/>
    <n v="152.88"/>
    <n v="0"/>
    <n v="0"/>
    <m/>
    <m/>
    <m/>
    <m/>
    <m/>
    <m/>
    <m/>
    <m/>
    <m/>
    <m/>
    <m/>
    <n v="152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113"/>
    <n v="25629.950000000004"/>
    <n v="0"/>
    <n v="0"/>
    <n v="1828.94"/>
    <n v="2249.85"/>
    <n v="2218"/>
    <n v="2300.14"/>
    <n v="2447.5100000000002"/>
    <n v="966.5"/>
    <n v="3238.97"/>
    <n v="2329.84"/>
    <n v="1131.9000000000001"/>
    <n v="1102.1500000000001"/>
    <n v="4105"/>
    <n v="1711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41"/>
    <n v="35744"/>
    <n v="0"/>
    <n v="0"/>
    <n v="2892"/>
    <n v="2778"/>
    <n v="2892"/>
    <n v="3006"/>
    <n v="3074"/>
    <n v="2956"/>
    <n v="2998"/>
    <n v="2668"/>
    <n v="3608"/>
    <n v="2908"/>
    <n v="3048"/>
    <n v="29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4"/>
    <x v="114"/>
    <n v="93.44"/>
    <n v="0"/>
    <n v="0"/>
    <m/>
    <m/>
    <m/>
    <m/>
    <m/>
    <m/>
    <m/>
    <m/>
    <m/>
    <m/>
    <m/>
    <n v="93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4"/>
    <x v="115"/>
    <n v="103441.25"/>
    <n v="0"/>
    <n v="0"/>
    <n v="10643.56"/>
    <n v="9635.6"/>
    <n v="8679.4"/>
    <n v="9018.52"/>
    <n v="8500.7199999999993"/>
    <n v="7826.56"/>
    <n v="6278.88"/>
    <n v="7196.24"/>
    <n v="8086.56"/>
    <n v="8096.16"/>
    <n v="12271.24"/>
    <n v="7207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2"/>
    <n v="-111291.27"/>
    <n v="0"/>
    <n v="0"/>
    <m/>
    <m/>
    <m/>
    <n v="-6118"/>
    <n v="-14069.18"/>
    <n v="-13349.9"/>
    <n v="-12405.97"/>
    <n v="-11857.68"/>
    <n v="-13455.43"/>
    <n v="-12193.37"/>
    <n v="-14320.08"/>
    <n v="-13521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3"/>
    <n v="-121984.89"/>
    <n v="0"/>
    <n v="0"/>
    <n v="-32254.18"/>
    <n v="-32401.06"/>
    <n v="-35860.54"/>
    <n v="-21138.3"/>
    <n v="-960.13"/>
    <n v="-9.93"/>
    <n v="503.98"/>
    <n v="-5.18"/>
    <n v="27.58"/>
    <n v="-29.44"/>
    <n v="142.3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153"/>
    <n v="-1.950000000000004"/>
    <n v="0"/>
    <n v="0"/>
    <n v="65.42"/>
    <n v="-65.400000000000006"/>
    <n v="-1.97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4"/>
    <n v="-4.0300000000000296"/>
    <n v="0"/>
    <n v="0"/>
    <n v="69.3"/>
    <n v="-207.1"/>
    <n v="-113.23"/>
    <n v="0"/>
    <m/>
    <m/>
    <n v="0"/>
    <m/>
    <n v="10.210000000000001"/>
    <m/>
    <n v="236.79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0"/>
    <n v="0"/>
    <n v="0"/>
    <n v="0"/>
    <n v="0"/>
    <n v="0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46"/>
    <n v="-30.319999999999993"/>
    <n v="0"/>
    <n v="0"/>
    <n v="75.900000000000006"/>
    <n v="-145.78"/>
    <n v="-69.569999999999993"/>
    <n v="0"/>
    <m/>
    <m/>
    <n v="0"/>
    <m/>
    <n v="2.2799999999999998"/>
    <m/>
    <n v="106.8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47"/>
    <n v="-3377131.3699999992"/>
    <n v="0"/>
    <n v="0"/>
    <n v="-272783.46999999997"/>
    <n v="-274045.21000000002"/>
    <n v="-303282.68"/>
    <n v="-307711.06"/>
    <n v="-304645.90999999997"/>
    <n v="-281438.31"/>
    <n v="-257203.72"/>
    <n v="-249959.99"/>
    <n v="-283344.36"/>
    <n v="-257240.34"/>
    <n v="-300483.71000000002"/>
    <n v="-284992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48"/>
    <n v="-4040592.76"/>
    <n v="0"/>
    <n v="0"/>
    <m/>
    <m/>
    <m/>
    <n v="-222133.5"/>
    <n v="-510803.95"/>
    <n v="-484668.42"/>
    <n v="-450407.87"/>
    <n v="-430511.84"/>
    <n v="-488518.64"/>
    <n v="-442699.98"/>
    <n v="-519912.98"/>
    <n v="-490935.5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49"/>
    <n v="-1835047.2399999998"/>
    <n v="0"/>
    <n v="0"/>
    <n v="-485207.49"/>
    <n v="-487417.79"/>
    <n v="-539459.98"/>
    <n v="-317984.34999999998"/>
    <n v="-14443.69"/>
    <n v="-149.75"/>
    <n v="7581.54"/>
    <n v="-77.92"/>
    <n v="414.47"/>
    <n v="-442.82"/>
    <n v="2140.5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50"/>
    <n v="-13.92999999999995"/>
    <n v="0"/>
    <n v="0"/>
    <n v="240.11"/>
    <n v="-717.79"/>
    <n v="-392.38"/>
    <n v="0"/>
    <m/>
    <m/>
    <n v="0"/>
    <m/>
    <n v="35.42"/>
    <m/>
    <n v="820.7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154"/>
    <n v="-18.269999999999992"/>
    <n v="0"/>
    <n v="0"/>
    <n v="606.34"/>
    <n v="-606.35"/>
    <n v="-18.260000000000002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5"/>
    <x v="155"/>
    <n v="0"/>
    <n v="0"/>
    <n v="0"/>
    <n v="-189.46"/>
    <n v="189.4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5"/>
    <x v="51"/>
    <n v="4160126.56"/>
    <n v="0"/>
    <n v="0"/>
    <n v="351893.92"/>
    <n v="342051.15"/>
    <n v="351047.3"/>
    <n v="350895.35"/>
    <n v="355902.66"/>
    <n v="346466.92"/>
    <n v="335904.17"/>
    <n v="336240.64000000001"/>
    <n v="353677.59"/>
    <n v="329907.33"/>
    <n v="354960.17"/>
    <n v="351179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0"/>
    <n v="-34218.769999999997"/>
    <n v="0"/>
    <n v="0"/>
    <n v="-2353.2399999999998"/>
    <n v="-3189.65"/>
    <n v="-3621.7"/>
    <n v="-3544"/>
    <n v="-3179.79"/>
    <n v="-2987.09"/>
    <n v="-2086.69"/>
    <n v="-3539.91"/>
    <n v="-1956.91"/>
    <n v="-1769.78"/>
    <n v="-3847.71"/>
    <n v="-2142.30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"/>
    <x v="0"/>
    <n v="0"/>
    <n v="0"/>
    <n v="789945340.24000001"/>
    <m/>
    <m/>
    <m/>
    <m/>
    <m/>
    <m/>
    <m/>
    <m/>
    <m/>
    <m/>
    <m/>
    <m/>
    <m/>
    <m/>
    <m/>
    <m/>
    <m/>
    <m/>
    <m/>
    <m/>
    <m/>
    <m/>
    <m/>
    <m/>
    <n v="54620827.560000002"/>
    <n v="60590277.460000001"/>
    <n v="60943421.700000003"/>
    <n v="89103121.819999993"/>
    <n v="33017079.239999998"/>
    <n v="79811637.5"/>
    <n v="54698105.159999996"/>
    <n v="63121499.859999999"/>
    <n v="69381437.159999996"/>
    <n v="64566962.560000002"/>
    <n v="87919226.079999998"/>
    <n v="72171744.140000001"/>
  </r>
  <r>
    <s v="10"/>
    <s v="Electric"/>
    <x v="2"/>
    <x v="7"/>
    <x v="5"/>
    <x v="27"/>
    <x v="0"/>
    <n v="0"/>
    <n v="0"/>
    <n v="131187.02000000002"/>
    <m/>
    <m/>
    <m/>
    <m/>
    <m/>
    <m/>
    <m/>
    <m/>
    <m/>
    <m/>
    <m/>
    <m/>
    <m/>
    <m/>
    <m/>
    <m/>
    <m/>
    <m/>
    <m/>
    <m/>
    <m/>
    <m/>
    <m/>
    <m/>
    <n v="55236.639999999999"/>
    <n v="6904.58"/>
    <n v="6904.58"/>
    <n v="6904.58"/>
    <n v="6904.58"/>
    <n v="6904.58"/>
    <n v="6904.58"/>
    <n v="6904.58"/>
    <n v="6904.58"/>
    <n v="6904.58"/>
    <n v="6904.58"/>
    <n v="6904.58"/>
  </r>
  <r>
    <s v="10"/>
    <s v="Electric"/>
    <x v="2"/>
    <x v="7"/>
    <x v="5"/>
    <x v="4"/>
    <x v="0"/>
    <n v="0"/>
    <n v="4580630.9601666657"/>
    <n v="0"/>
    <m/>
    <m/>
    <m/>
    <m/>
    <m/>
    <m/>
    <m/>
    <m/>
    <m/>
    <m/>
    <m/>
    <m/>
    <n v="96519.926166666672"/>
    <n v="379381.08799999999"/>
    <n v="431681.97533333331"/>
    <n v="389249.90266666666"/>
    <n v="417653.11866666668"/>
    <n v="388878.78466666664"/>
    <n v="377006.55533333332"/>
    <n v="374078.23200000002"/>
    <n v="403179.11866666668"/>
    <n v="526259.88600000006"/>
    <n v="411330.76"/>
    <n v="385411.61266666668"/>
    <m/>
    <m/>
    <m/>
    <m/>
    <m/>
    <m/>
    <m/>
    <m/>
    <m/>
    <m/>
    <m/>
    <m/>
  </r>
  <r>
    <s v="10"/>
    <s v="Electric"/>
    <x v="2"/>
    <x v="7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156"/>
    <n v="-325.96000000000004"/>
    <n v="0"/>
    <n v="0"/>
    <n v="-1022.88"/>
    <n v="696.92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65"/>
    <n v="11211215.66"/>
    <n v="0"/>
    <n v="0"/>
    <n v="1041960.58"/>
    <n v="31532.79"/>
    <n v="3172.09"/>
    <n v="3308.92"/>
    <n v="3390.51"/>
    <n v="-2047.28"/>
    <n v="818879.81"/>
    <n v="1717509.92"/>
    <n v="1959114.55"/>
    <n v="1731160.06"/>
    <n v="1958777.37"/>
    <n v="1944456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157"/>
    <n v="-106.80000000000001"/>
    <n v="0"/>
    <n v="0"/>
    <n v="-365.81"/>
    <n v="259.01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66"/>
    <n v="17134706.569999997"/>
    <n v="0"/>
    <n v="0"/>
    <n v="1140031.1100000001"/>
    <n v="2654528.34"/>
    <n v="3027781.06"/>
    <n v="3002403.9"/>
    <n v="2963895.3"/>
    <n v="2739530.2"/>
    <n v="1487609.93"/>
    <n v="101364.47"/>
    <n v="27559.15"/>
    <n v="2356.98"/>
    <n v="-12353.87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1"/>
    <x v="0"/>
    <n v="0"/>
    <n v="39234.136000000006"/>
    <n v="4449458.175999999"/>
    <m/>
    <m/>
    <m/>
    <m/>
    <m/>
    <m/>
    <m/>
    <m/>
    <m/>
    <m/>
    <m/>
    <m/>
    <n v="3205.6039999999998"/>
    <n v="4371.3519999999999"/>
    <n v="2275.9960000000001"/>
    <n v="3862.2959999999998"/>
    <n v="4575.62"/>
    <n v="2448.14"/>
    <n v="3365.4479999999999"/>
    <n v="3231.4560000000001"/>
    <n v="3817.1559999999999"/>
    <n v="2443.9160000000002"/>
    <n v="3055.32"/>
    <n v="2581.8319999999999"/>
    <n v="364809.21399999998"/>
    <n v="412862.777"/>
    <n v="242943.43900000001"/>
    <n v="420827.51799999998"/>
    <n v="461846.14399999997"/>
    <n v="301324.42"/>
    <n v="388169.68199999997"/>
    <n v="356208.83"/>
    <n v="337593.74"/>
    <n v="295471.44799999997"/>
    <n v="483872.65"/>
    <n v="383528.31400000001"/>
  </r>
  <r>
    <s v="10"/>
    <s v="Electric"/>
    <x v="2"/>
    <x v="7"/>
    <x v="5"/>
    <x v="28"/>
    <x v="0"/>
    <n v="0"/>
    <n v="1793.5750000000005"/>
    <n v="0"/>
    <m/>
    <m/>
    <m/>
    <m/>
    <m/>
    <m/>
    <m/>
    <m/>
    <m/>
    <m/>
    <m/>
    <m/>
    <n v="727.125"/>
    <n v="96.95"/>
    <n v="96.95"/>
    <n v="96.95"/>
    <n v="96.95"/>
    <n v="96.95"/>
    <n v="96.95"/>
    <n v="96.95"/>
    <n v="96.95"/>
    <n v="96.95"/>
    <n v="96.95"/>
    <n v="96.95"/>
    <m/>
    <m/>
    <m/>
    <m/>
    <m/>
    <m/>
    <m/>
    <m/>
    <m/>
    <m/>
    <m/>
    <m/>
  </r>
  <r>
    <s v="10"/>
    <s v="Electric"/>
    <x v="2"/>
    <x v="7"/>
    <x v="5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0"/>
    <n v="0"/>
    <n v="0"/>
    <n v="2465121972.0120001"/>
    <m/>
    <m/>
    <m/>
    <m/>
    <m/>
    <m/>
    <m/>
    <m/>
    <m/>
    <m/>
    <m/>
    <m/>
    <m/>
    <m/>
    <m/>
    <m/>
    <m/>
    <m/>
    <m/>
    <m/>
    <m/>
    <m/>
    <m/>
    <m/>
    <n v="198798898.164"/>
    <n v="200492723.493"/>
    <n v="221519505.99700001"/>
    <n v="224606334.854"/>
    <n v="222369233.44299999"/>
    <n v="205429485.12799999"/>
    <n v="187739890.19999999"/>
    <n v="182452244.199"/>
    <n v="206815857.99399999"/>
    <n v="187766461.28200001"/>
    <n v="219107654.73899999"/>
    <n v="208023682.51899999"/>
  </r>
  <r>
    <s v="10"/>
    <s v="Electric"/>
    <x v="2"/>
    <x v="7"/>
    <x v="5"/>
    <x v="5"/>
    <x v="158"/>
    <n v="0"/>
    <n v="0"/>
    <n v="0"/>
    <n v="-1017.26"/>
    <n v="1017.2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59"/>
    <n v="1198.5700000000002"/>
    <n v="0"/>
    <n v="0"/>
    <n v="-1814.58"/>
    <n v="3013.15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7"/>
    <n v="-29706.699999999997"/>
    <n v="0"/>
    <n v="0"/>
    <n v="1008.54"/>
    <n v="3695.11"/>
    <m/>
    <n v="0"/>
    <n v="0"/>
    <m/>
    <m/>
    <m/>
    <n v="-1678.59"/>
    <m/>
    <n v="-32731.75999999999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8"/>
    <n v="54270824.010000005"/>
    <n v="0"/>
    <n v="0"/>
    <n v="6686109.9000000004"/>
    <n v="6831457.7999999998"/>
    <n v="7850272"/>
    <n v="8023053.4000000004"/>
    <n v="7859074.1900000004"/>
    <n v="6968541.4900000002"/>
    <n v="6066983.1500000004"/>
    <n v="3357828.18"/>
    <n v="571556.28"/>
    <n v="81651.06"/>
    <n v="-25903.15"/>
    <n v="199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9"/>
    <n v="30587194.039999999"/>
    <n v="0"/>
    <n v="0"/>
    <m/>
    <m/>
    <m/>
    <m/>
    <m/>
    <m/>
    <m/>
    <n v="2499780.9500000002"/>
    <n v="6558494.7199999997"/>
    <n v="6264656.3300000001"/>
    <n v="8030851.04"/>
    <n v="72334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0"/>
    <n v="0"/>
    <n v="0"/>
    <n v="0"/>
    <n v="-4554.59"/>
    <n v="4554.59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1"/>
    <n v="1902.3000000000002"/>
    <n v="0"/>
    <n v="0"/>
    <n v="-4726.17"/>
    <n v="5650.22"/>
    <n v="978.25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0"/>
    <n v="11155.589999999998"/>
    <n v="0"/>
    <n v="0"/>
    <n v="-451.45"/>
    <n v="9103.61"/>
    <n v="6150.87"/>
    <n v="0"/>
    <n v="0"/>
    <m/>
    <n v="0"/>
    <m/>
    <n v="-1775.42"/>
    <n v="1289.1300000000001"/>
    <n v="-3161.1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1"/>
    <n v="14804870.129999997"/>
    <n v="0"/>
    <n v="0"/>
    <n v="5325288.22"/>
    <n v="124978.83"/>
    <n v="13990.98"/>
    <n v="8610.7800000000007"/>
    <n v="10119.24"/>
    <n v="0"/>
    <n v="3995023.52"/>
    <n v="4710256.47"/>
    <n v="501493.1"/>
    <n v="113004.62"/>
    <n v="1809.87"/>
    <n v="294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2"/>
    <n v="40044201.900000006"/>
    <n v="0"/>
    <n v="0"/>
    <m/>
    <m/>
    <m/>
    <m/>
    <m/>
    <m/>
    <m/>
    <n v="3785887.44"/>
    <n v="8843294.5"/>
    <n v="8570161.3100000005"/>
    <n v="9464490.5999999996"/>
    <n v="9380368.05000000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2"/>
    <n v="0"/>
    <n v="0"/>
    <n v="0"/>
    <n v="-1216.3"/>
    <n v="1216.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3"/>
    <n v="6196.28"/>
    <n v="0"/>
    <n v="0"/>
    <n v="-9388.24"/>
    <n v="11090.58"/>
    <n v="4493.9399999999996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3"/>
    <n v="17378.099999999999"/>
    <n v="0"/>
    <n v="0"/>
    <n v="12524.98"/>
    <n v="11316"/>
    <n v="6319.8"/>
    <n v="0"/>
    <n v="0"/>
    <m/>
    <n v="0"/>
    <m/>
    <n v="-4140.8999999999996"/>
    <n v="2674.22"/>
    <n v="-1131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4"/>
    <n v="62472960.830000013"/>
    <n v="0"/>
    <n v="0"/>
    <n v="4264788.3600000003"/>
    <n v="9848374.3800000008"/>
    <n v="10648126.49"/>
    <n v="10735434.85"/>
    <n v="10741635.039999999"/>
    <n v="10332340.34"/>
    <n v="5484868.3300000001"/>
    <n v="351364.72"/>
    <n v="69574.63"/>
    <n v="8882.02"/>
    <n v="-12428.33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6"/>
    <x v="75"/>
    <n v="1650316.29"/>
    <n v="0"/>
    <n v="0"/>
    <n v="136850.47"/>
    <n v="130075.07"/>
    <n v="133596.88"/>
    <n v="127261.6"/>
    <n v="136276.12"/>
    <n v="124791.22"/>
    <n v="117825.47"/>
    <n v="130785.25"/>
    <n v="153093.68"/>
    <n v="138024.98000000001"/>
    <n v="163183.04000000001"/>
    <n v="158552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0"/>
    <n v="272684.08"/>
    <n v="0"/>
    <n v="0"/>
    <m/>
    <m/>
    <m/>
    <m/>
    <m/>
    <m/>
    <m/>
    <n v="24071.83"/>
    <n v="56142.01"/>
    <n v="54618.94"/>
    <n v="70051.48"/>
    <n v="67799.8200000000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1"/>
    <n v="506577.35"/>
    <n v="0"/>
    <n v="0"/>
    <n v="67442.080000000002"/>
    <n v="65963.42"/>
    <n v="66916.789999999994"/>
    <n v="68222.39"/>
    <n v="70856.42"/>
    <n v="66663.22"/>
    <n v="63573.03"/>
    <n v="31407.85"/>
    <n v="4299.13"/>
    <n v="1065.83"/>
    <n v="35.659999999999997"/>
    <n v="131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2"/>
    <n v="-13.2"/>
    <n v="0"/>
    <n v="0"/>
    <m/>
    <m/>
    <n v="-13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8"/>
    <x v="33"/>
    <n v="6256.93"/>
    <n v="0"/>
    <n v="0"/>
    <n v="6190.74"/>
    <n v="63.59"/>
    <n v="2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8"/>
    <x v="34"/>
    <n v="137684.01999999999"/>
    <n v="0"/>
    <n v="0"/>
    <n v="5426.69"/>
    <n v="11785.59"/>
    <n v="12020.57"/>
    <n v="12260.2"/>
    <n v="12733.85"/>
    <n v="11980.13"/>
    <n v="11424.51"/>
    <n v="10359.780000000001"/>
    <n v="11769.73"/>
    <n v="10890.43"/>
    <n v="13728.2"/>
    <n v="13304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5"/>
    <n v="0.47"/>
    <n v="0"/>
    <n v="0"/>
    <m/>
    <m/>
    <n v="0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6"/>
    <n v="-14055.169999999998"/>
    <n v="0"/>
    <n v="0"/>
    <n v="-3958.98"/>
    <n v="-3872.36"/>
    <n v="-3928.12"/>
    <n v="-2243.33"/>
    <n v="-52.38"/>
    <n v="0.25"/>
    <n v="-0.25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7"/>
    <n v="-33765.5"/>
    <n v="0"/>
    <n v="0"/>
    <m/>
    <m/>
    <m/>
    <n v="-1795.34"/>
    <n v="-4185.7700000000004"/>
    <n v="-3988.72"/>
    <n v="-3803.34"/>
    <n v="-3448.84"/>
    <n v="-3918.34"/>
    <n v="-3625.56"/>
    <n v="-4570.3"/>
    <n v="-4429.2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38"/>
    <n v="-1623.48"/>
    <n v="0"/>
    <n v="0"/>
    <n v="-719.92"/>
    <n v="-886"/>
    <n v="-17.47"/>
    <m/>
    <n v="-0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39"/>
    <n v="2.44"/>
    <n v="0"/>
    <n v="0"/>
    <m/>
    <n v="0"/>
    <n v="2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40"/>
    <n v="8.89"/>
    <n v="0"/>
    <n v="0"/>
    <m/>
    <m/>
    <n v="8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112"/>
    <n v="35.4"/>
    <n v="0"/>
    <n v="0"/>
    <m/>
    <m/>
    <m/>
    <m/>
    <m/>
    <m/>
    <m/>
    <m/>
    <m/>
    <m/>
    <m/>
    <n v="35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113"/>
    <n v="3162"/>
    <n v="0"/>
    <n v="0"/>
    <n v="232.5"/>
    <n v="318.75"/>
    <n v="315"/>
    <n v="318.75"/>
    <n v="330"/>
    <m/>
    <n v="521.25"/>
    <n v="221.25"/>
    <n v="228.75"/>
    <n v="236.25"/>
    <n v="262.5"/>
    <n v="1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41"/>
    <n v="3000"/>
    <n v="0"/>
    <n v="0"/>
    <n v="250"/>
    <n v="250"/>
    <n v="250"/>
    <n v="250"/>
    <n v="250"/>
    <n v="250"/>
    <n v="250"/>
    <n v="250"/>
    <n v="250"/>
    <n v="250"/>
    <n v="250"/>
    <n v="25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2"/>
    <n v="-8251.4599999999991"/>
    <n v="0"/>
    <n v="0"/>
    <m/>
    <m/>
    <m/>
    <n v="-438.72"/>
    <n v="-1022.87"/>
    <n v="-974.73"/>
    <n v="-929.48"/>
    <n v="-842.88"/>
    <n v="-957.48"/>
    <n v="-886.02"/>
    <n v="-1116.95"/>
    <n v="-1082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3"/>
    <n v="-8724.1"/>
    <n v="0"/>
    <n v="0"/>
    <n v="-2457.4299999999998"/>
    <n v="-2403.58"/>
    <n v="-2438.06"/>
    <n v="-1392.5"/>
    <n v="-32.53"/>
    <n v="0.16"/>
    <n v="-0.16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4"/>
    <n v="1.41"/>
    <n v="0"/>
    <n v="0"/>
    <m/>
    <m/>
    <n v="1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3"/>
    <x v="46"/>
    <n v="0.7"/>
    <n v="0"/>
    <n v="0"/>
    <m/>
    <m/>
    <n v="0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3"/>
    <x v="47"/>
    <n v="-247681.54"/>
    <n v="0"/>
    <n v="0"/>
    <n v="-20781.88"/>
    <n v="-20326.12"/>
    <n v="-20617.849999999999"/>
    <n v="-21022.17"/>
    <n v="-21833.88"/>
    <n v="-20541.8"/>
    <n v="-19589.560000000001"/>
    <n v="-17763.12"/>
    <n v="-20180.939999999999"/>
    <n v="-18673.09"/>
    <n v="-23538.91"/>
    <n v="-22812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48"/>
    <n v="-299573.53999999998"/>
    <n v="0"/>
    <n v="0"/>
    <m/>
    <m/>
    <m/>
    <n v="-15928.53"/>
    <n v="-37137.730000000003"/>
    <n v="-35388.07"/>
    <n v="-33743.230000000003"/>
    <n v="-30599.11"/>
    <n v="-34764.26"/>
    <n v="-32166.78"/>
    <n v="-40548.82"/>
    <n v="-39297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49"/>
    <n v="-131236.87"/>
    <n v="0"/>
    <n v="0"/>
    <n v="-36967.300000000003"/>
    <n v="-36156.81"/>
    <n v="-36676.79"/>
    <n v="-20946.61"/>
    <n v="-489.36"/>
    <n v="2.34"/>
    <n v="-2.34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50"/>
    <n v="4.88"/>
    <n v="0"/>
    <n v="0"/>
    <m/>
    <m/>
    <n v="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5"/>
    <x v="51"/>
    <n v="317374.58"/>
    <n v="0"/>
    <n v="0"/>
    <n v="27243.54"/>
    <n v="26483.759999999998"/>
    <n v="25941.06"/>
    <n v="26972.19"/>
    <n v="27189.27"/>
    <n v="26158.14"/>
    <n v="25127.01"/>
    <n v="23824.53"/>
    <n v="25723.98"/>
    <n v="24587.93"/>
    <n v="29794.23"/>
    <n v="28328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3"/>
    <x v="0"/>
    <n v="0"/>
    <n v="0"/>
    <n v="93643804.460000008"/>
    <m/>
    <m/>
    <m/>
    <m/>
    <m/>
    <m/>
    <m/>
    <m/>
    <m/>
    <m/>
    <m/>
    <m/>
    <m/>
    <m/>
    <m/>
    <m/>
    <m/>
    <m/>
    <m/>
    <m/>
    <m/>
    <m/>
    <m/>
    <m/>
    <n v="8274740"/>
    <n v="7802560"/>
    <n v="7360509.9199999999"/>
    <n v="7452420"/>
    <n v="7782850.0800000001"/>
    <n v="7517780"/>
    <n v="7288893.7599999998"/>
    <n v="7081020"/>
    <n v="7703944.6799999997"/>
    <n v="7297000"/>
    <n v="8887276.1199999992"/>
    <n v="9194809.9000000004"/>
  </r>
  <r>
    <s v="10"/>
    <s v="Electric"/>
    <x v="2"/>
    <x v="8"/>
    <x v="5"/>
    <x v="4"/>
    <x v="0"/>
    <n v="0"/>
    <n v="548863.75166666671"/>
    <n v="0"/>
    <m/>
    <m/>
    <m/>
    <m/>
    <m/>
    <m/>
    <m/>
    <m/>
    <m/>
    <m/>
    <m/>
    <m/>
    <n v="53728.05"/>
    <n v="53253.77"/>
    <n v="37100.406666666669"/>
    <n v="53000.29"/>
    <n v="36974.36"/>
    <n v="52821.919999999998"/>
    <n v="33664.026666666665"/>
    <n v="48126.014999999999"/>
    <n v="51736.85"/>
    <n v="30768.18"/>
    <n v="39393.833333333336"/>
    <n v="58296.05"/>
    <m/>
    <m/>
    <m/>
    <m/>
    <m/>
    <m/>
    <m/>
    <m/>
    <m/>
    <m/>
    <m/>
    <m/>
  </r>
  <r>
    <s v="10"/>
    <s v="Electric"/>
    <x v="2"/>
    <x v="8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20"/>
    <x v="65"/>
    <n v="1118740.7799999998"/>
    <n v="0"/>
    <n v="0"/>
    <n v="105731.92"/>
    <n v="1161.9000000000001"/>
    <n v="128.80000000000001"/>
    <m/>
    <m/>
    <m/>
    <n v="85920.44"/>
    <n v="164419.01"/>
    <n v="183726.52"/>
    <n v="163784.12"/>
    <n v="201956.44"/>
    <n v="211911.6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20"/>
    <x v="66"/>
    <n v="1708757.4199999995"/>
    <n v="0"/>
    <n v="0"/>
    <n v="124211.63"/>
    <n v="278438.78000000003"/>
    <n v="289309.74"/>
    <n v="291264.55"/>
    <n v="290699.12"/>
    <n v="280485.86"/>
    <n v="145010.13"/>
    <n v="7641.45"/>
    <n v="1640.95"/>
    <n v="55.21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0"/>
    <n v="0"/>
    <n v="0"/>
    <n v="180787945.43000001"/>
    <m/>
    <m/>
    <m/>
    <m/>
    <m/>
    <m/>
    <m/>
    <m/>
    <m/>
    <m/>
    <m/>
    <m/>
    <m/>
    <m/>
    <m/>
    <m/>
    <m/>
    <m/>
    <m/>
    <m/>
    <m/>
    <m/>
    <m/>
    <m/>
    <n v="15169196.17"/>
    <n v="14836566.359999999"/>
    <n v="15048108.51"/>
    <n v="15344655.52"/>
    <n v="15937129.52"/>
    <n v="14993980"/>
    <n v="14298933.439999999"/>
    <n v="12965730.640000001"/>
    <n v="14730641.039999999"/>
    <n v="13630011.65"/>
    <n v="17181732.43"/>
    <n v="16651260.15"/>
  </r>
  <r>
    <s v="10"/>
    <s v="Electric"/>
    <x v="2"/>
    <x v="8"/>
    <x v="5"/>
    <x v="5"/>
    <x v="68"/>
    <n v="3862495.26"/>
    <n v="0"/>
    <n v="0"/>
    <n v="521230.5"/>
    <n v="505400.76"/>
    <n v="507378.03"/>
    <n v="514783.23"/>
    <n v="549945.48"/>
    <n v="513942.97"/>
    <n v="482582.62"/>
    <n v="226611.49"/>
    <n v="32255.3"/>
    <n v="6971.27"/>
    <n v="124.96"/>
    <n v="1268.65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69"/>
    <n v="2296982.3000000003"/>
    <n v="0"/>
    <n v="0"/>
    <m/>
    <m/>
    <m/>
    <m/>
    <m/>
    <m/>
    <m/>
    <n v="195896.71"/>
    <n v="477502.55"/>
    <n v="451931.56"/>
    <n v="593004.36"/>
    <n v="578647.1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0"/>
    <n v="-67.260000000000005"/>
    <n v="0"/>
    <n v="0"/>
    <m/>
    <m/>
    <n v="-67.260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1"/>
    <n v="1072113.3100000003"/>
    <n v="0"/>
    <n v="0"/>
    <n v="381373.95"/>
    <n v="4726.58"/>
    <n v="566.11"/>
    <m/>
    <m/>
    <m/>
    <n v="307943.78000000003"/>
    <n v="323623.49"/>
    <n v="40250.49"/>
    <n v="12047.07"/>
    <n v="552.61"/>
    <n v="1029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2"/>
    <n v="3049071.4299999997"/>
    <n v="0"/>
    <n v="0"/>
    <m/>
    <m/>
    <m/>
    <m/>
    <m/>
    <m/>
    <m/>
    <n v="277749.44"/>
    <n v="622038.18999999994"/>
    <n v="620917.11"/>
    <n v="779651.16"/>
    <n v="748715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3"/>
    <n v="-200.71"/>
    <n v="0"/>
    <n v="0"/>
    <m/>
    <m/>
    <n v="-200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4"/>
    <n v="4561596.9400000013"/>
    <n v="0"/>
    <n v="0"/>
    <n v="336706.96"/>
    <n v="738161.27"/>
    <n v="760736.08"/>
    <n v="779615.91"/>
    <n v="788831.36"/>
    <n v="746872.6"/>
    <n v="385724.13"/>
    <n v="19126.91"/>
    <n v="5355.11"/>
    <n v="466.61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6"/>
    <x v="75"/>
    <n v="214424.03000000003"/>
    <n v="0"/>
    <n v="0"/>
    <n v="18864.37"/>
    <n v="18237.310000000001"/>
    <n v="17062.25"/>
    <n v="17483.740000000002"/>
    <n v="17697.38"/>
    <n v="17444.64"/>
    <n v="16778.66"/>
    <n v="16153.19"/>
    <n v="17910.61"/>
    <n v="16003.98"/>
    <n v="19511.599999999999"/>
    <n v="21276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7"/>
    <x v="30"/>
    <n v="1133.6499999999999"/>
    <n v="0"/>
    <n v="0"/>
    <m/>
    <m/>
    <m/>
    <m/>
    <m/>
    <m/>
    <m/>
    <n v="75.150000000000006"/>
    <n v="236.52"/>
    <n v="269.37"/>
    <n v="281.07"/>
    <n v="271.540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7"/>
    <x v="31"/>
    <n v="2992.05"/>
    <n v="0"/>
    <n v="0"/>
    <n v="310.24"/>
    <n v="314.69"/>
    <n v="448.7"/>
    <n v="503.56"/>
    <n v="492.57"/>
    <n v="422.51"/>
    <n v="333.66"/>
    <n v="137.41999999999999"/>
    <n v="28.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8"/>
    <x v="33"/>
    <n v="33.800000000000004"/>
    <n v="0"/>
    <n v="0"/>
    <n v="33.950000000000003"/>
    <n v="-0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8"/>
    <x v="34"/>
    <n v="723.15"/>
    <n v="0"/>
    <n v="0"/>
    <n v="19.03"/>
    <n v="56.72"/>
    <n v="80.63"/>
    <n v="90.48"/>
    <n v="88.52"/>
    <n v="75.930000000000007"/>
    <n v="59.96"/>
    <n v="39.409999999999997"/>
    <n v="51.48"/>
    <n v="52.74"/>
    <n v="55.05"/>
    <n v="53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9"/>
    <x v="36"/>
    <n v="-85.39"/>
    <n v="0"/>
    <n v="0"/>
    <n v="-18.21"/>
    <n v="-18.46"/>
    <n v="-26.33"/>
    <n v="-22.31"/>
    <n v="-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9"/>
    <x v="37"/>
    <n v="-165.89"/>
    <n v="0"/>
    <n v="0"/>
    <m/>
    <m/>
    <m/>
    <n v="-7.39"/>
    <n v="-29.38"/>
    <n v="-25.28"/>
    <n v="-19.96"/>
    <n v="-13.13"/>
    <n v="-17.14"/>
    <n v="-17.559999999999999"/>
    <n v="-18.34"/>
    <n v="-17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0"/>
    <x v="38"/>
    <n v="-8.2100000000000009"/>
    <n v="0"/>
    <n v="0"/>
    <n v="-2.5299999999999998"/>
    <n v="-5.63"/>
    <n v="-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1"/>
    <x v="42"/>
    <n v="-40.53"/>
    <n v="0"/>
    <n v="0"/>
    <m/>
    <m/>
    <m/>
    <n v="-1.81"/>
    <n v="-7.19"/>
    <n v="-6.18"/>
    <n v="-4.87"/>
    <n v="-3.21"/>
    <n v="-4.1900000000000004"/>
    <n v="-4.29"/>
    <n v="-4.47"/>
    <n v="-4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1"/>
    <x v="43"/>
    <n v="-53.019999999999996"/>
    <n v="0"/>
    <n v="0"/>
    <n v="-11.31"/>
    <n v="-11.46"/>
    <n v="-16.34"/>
    <n v="-13.86"/>
    <n v="-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3"/>
    <x v="47"/>
    <n v="-1302.7500000000002"/>
    <n v="0"/>
    <n v="0"/>
    <n v="-95.6"/>
    <n v="-96.97"/>
    <n v="-138.27000000000001"/>
    <n v="-155.16999999999999"/>
    <n v="-151.79"/>
    <n v="-130.19"/>
    <n v="-102.81"/>
    <n v="-67.58"/>
    <n v="-88.29"/>
    <n v="-90.48"/>
    <n v="-94.4"/>
    <n v="-91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4"/>
    <x v="48"/>
    <n v="-1471.6299999999997"/>
    <n v="0"/>
    <n v="0"/>
    <m/>
    <m/>
    <m/>
    <n v="-65.48"/>
    <n v="-260.70999999999998"/>
    <n v="-224.26"/>
    <n v="-177.11"/>
    <n v="-116.43"/>
    <n v="-152.07"/>
    <n v="-155.84"/>
    <n v="-162.63"/>
    <n v="-157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4"/>
    <x v="49"/>
    <n v="-797.66"/>
    <n v="0"/>
    <n v="0"/>
    <n v="-170.05"/>
    <n v="-172.5"/>
    <n v="-245.93"/>
    <n v="-208.4"/>
    <n v="-0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5"/>
    <x v="51"/>
    <n v="5861.16"/>
    <n v="0"/>
    <n v="0"/>
    <n v="488.43"/>
    <n v="488.43"/>
    <n v="488.43"/>
    <n v="434.16"/>
    <n v="542.70000000000005"/>
    <n v="488.43"/>
    <n v="488.43"/>
    <n v="434.16"/>
    <n v="488.43"/>
    <n v="542.70000000000005"/>
    <n v="488.43"/>
    <n v="488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3"/>
    <x v="0"/>
    <n v="0"/>
    <n v="0"/>
    <n v="185920"/>
    <m/>
    <m/>
    <m/>
    <m/>
    <m/>
    <m/>
    <m/>
    <m/>
    <m/>
    <m/>
    <m/>
    <m/>
    <m/>
    <m/>
    <m/>
    <m/>
    <m/>
    <m/>
    <m/>
    <m/>
    <m/>
    <m/>
    <m/>
    <m/>
    <n v="20800"/>
    <n v="11280"/>
    <n v="9440"/>
    <n v="8960"/>
    <n v="8480"/>
    <n v="7760"/>
    <n v="10080"/>
    <n v="12960"/>
    <n v="20240"/>
    <n v="24240"/>
    <n v="28160"/>
    <n v="23520"/>
  </r>
  <r>
    <s v="10"/>
    <s v="Electric"/>
    <x v="2"/>
    <x v="9"/>
    <x v="5"/>
    <x v="4"/>
    <x v="0"/>
    <n v="0"/>
    <n v="6759.5883333333331"/>
    <n v="0"/>
    <m/>
    <m/>
    <m/>
    <m/>
    <m/>
    <m/>
    <m/>
    <m/>
    <m/>
    <m/>
    <m/>
    <m/>
    <n v="499.8"/>
    <n v="413.02"/>
    <n v="472.81333333333333"/>
    <n v="373.95"/>
    <n v="562.99"/>
    <n v="545.49"/>
    <n v="790.61"/>
    <n v="723.09"/>
    <n v="728.57"/>
    <n v="568.64"/>
    <n v="620.07000000000005"/>
    <n v="460.54500000000002"/>
    <m/>
    <m/>
    <m/>
    <m/>
    <m/>
    <m/>
    <m/>
    <m/>
    <m/>
    <m/>
    <m/>
    <m/>
  </r>
  <r>
    <s v="10"/>
    <s v="Electric"/>
    <x v="2"/>
    <x v="9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20"/>
    <x v="65"/>
    <n v="11988.640000000001"/>
    <n v="0"/>
    <n v="0"/>
    <n v="1490.45"/>
    <n v="8.2200000000000006"/>
    <m/>
    <m/>
    <m/>
    <m/>
    <n v="491"/>
    <n v="2248.42"/>
    <n v="2130.89"/>
    <n v="2209.88"/>
    <n v="1730.08"/>
    <n v="167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20"/>
    <x v="66"/>
    <n v="14310.08"/>
    <n v="0"/>
    <n v="0"/>
    <n v="482.18"/>
    <n v="2228.08"/>
    <n v="2969.47"/>
    <n v="1819.24"/>
    <n v="1950.75"/>
    <n v="1823.58"/>
    <n v="3036.7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0"/>
    <n v="0"/>
    <n v="0"/>
    <n v="950900"/>
    <m/>
    <m/>
    <m/>
    <m/>
    <m/>
    <m/>
    <m/>
    <m/>
    <m/>
    <m/>
    <m/>
    <m/>
    <m/>
    <m/>
    <m/>
    <m/>
    <m/>
    <m/>
    <m/>
    <m/>
    <m/>
    <m/>
    <m/>
    <m/>
    <n v="69777.240000000005"/>
    <n v="70782.759999999995"/>
    <n v="100920"/>
    <n v="113260"/>
    <n v="110790"/>
    <n v="95030"/>
    <n v="75050"/>
    <n v="49333.440000000002"/>
    <n v="64440"/>
    <n v="66036.56"/>
    <n v="68910"/>
    <n v="66570"/>
  </r>
  <r>
    <s v="10"/>
    <s v="Electric"/>
    <x v="2"/>
    <x v="9"/>
    <x v="5"/>
    <x v="5"/>
    <x v="68"/>
    <n v="4333.05"/>
    <n v="0"/>
    <n v="0"/>
    <n v="306.98"/>
    <n v="493"/>
    <n v="652.86"/>
    <n v="1272.47"/>
    <n v="1073.71"/>
    <n v="470.37"/>
    <n v="63.6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69"/>
    <n v="1325.59"/>
    <n v="0"/>
    <n v="0"/>
    <m/>
    <m/>
    <m/>
    <m/>
    <m/>
    <m/>
    <m/>
    <m/>
    <n v="34.03"/>
    <n v="351.6"/>
    <n v="703.2"/>
    <n v="236.7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1"/>
    <n v="8932.61"/>
    <n v="0"/>
    <n v="0"/>
    <n v="3824.83"/>
    <n v="-18.05"/>
    <m/>
    <m/>
    <m/>
    <m/>
    <n v="1824.4"/>
    <n v="2731.07"/>
    <n v="570.36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2"/>
    <n v="22945.149999999998"/>
    <n v="0"/>
    <n v="0"/>
    <m/>
    <m/>
    <m/>
    <m/>
    <m/>
    <m/>
    <m/>
    <n v="1630.84"/>
    <n v="5089.99"/>
    <n v="5406.15"/>
    <n v="5221.4399999999996"/>
    <n v="5596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4"/>
    <n v="49349.33"/>
    <n v="0"/>
    <n v="0"/>
    <n v="2140.69"/>
    <n v="6186.99"/>
    <n v="8861.4699999999993"/>
    <n v="9207.48"/>
    <n v="9240.33"/>
    <n v="8541.57"/>
    <n v="5170.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6"/>
    <x v="75"/>
    <n v="291.36"/>
    <n v="0"/>
    <n v="0"/>
    <n v="14.94"/>
    <n v="15.62"/>
    <n v="14.94"/>
    <m/>
    <m/>
    <m/>
    <n v="13.58"/>
    <n v="14.49"/>
    <n v="57.28"/>
    <n v="14.26"/>
    <n v="79.69"/>
    <n v="66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76"/>
    <n v="2639597.1"/>
    <n v="0"/>
    <n v="0"/>
    <m/>
    <m/>
    <m/>
    <m/>
    <m/>
    <m/>
    <m/>
    <n v="207969.78"/>
    <n v="531398.76"/>
    <n v="599640.09"/>
    <n v="625180.62"/>
    <n v="675407.8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77"/>
    <n v="4739122.0199999996"/>
    <n v="0"/>
    <n v="0"/>
    <n v="620787.14"/>
    <n v="566555.18999999994"/>
    <n v="670959.35"/>
    <n v="616590.59"/>
    <n v="673363.66"/>
    <n v="596005.99"/>
    <n v="586425.92000000004"/>
    <n v="328944.90000000002"/>
    <n v="66940.39"/>
    <n v="12548.89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164"/>
    <n v="3934.97"/>
    <n v="0"/>
    <n v="0"/>
    <m/>
    <m/>
    <n v="0"/>
    <m/>
    <m/>
    <m/>
    <n v="3934.9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8"/>
    <x v="78"/>
    <n v="54201.97"/>
    <n v="0"/>
    <n v="0"/>
    <n v="50248.46"/>
    <n v="830.41"/>
    <n v="1821.53"/>
    <m/>
    <m/>
    <m/>
    <n v="1301.5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8"/>
    <x v="79"/>
    <n v="1100204.32"/>
    <n v="0"/>
    <n v="0"/>
    <n v="41724.730000000003"/>
    <n v="85729.31"/>
    <n v="100640.42"/>
    <n v="94256.9"/>
    <n v="102935.53"/>
    <n v="91109.93"/>
    <n v="88860.05"/>
    <n v="84362.05"/>
    <n v="97305.38"/>
    <n v="100172.16"/>
    <n v="102438.82"/>
    <n v="110669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165"/>
    <n v="-55.4"/>
    <n v="0"/>
    <n v="0"/>
    <m/>
    <m/>
    <n v="0"/>
    <m/>
    <m/>
    <m/>
    <n v="-55.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80"/>
    <n v="-104990.52000000002"/>
    <n v="0"/>
    <n v="0"/>
    <n v="-28509.68"/>
    <n v="-26019.03"/>
    <n v="-30813.86"/>
    <n v="-17130.72"/>
    <n v="-1445.24"/>
    <n v="-23.57"/>
    <n v="-1035.99"/>
    <n v="-12.43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81"/>
    <n v="-251825.91999999998"/>
    <n v="0"/>
    <n v="0"/>
    <m/>
    <m/>
    <m/>
    <n v="-11606.31"/>
    <n v="-30586.28"/>
    <n v="-28375.11"/>
    <n v="-26992.82"/>
    <n v="-26283.37"/>
    <n v="-30330.639999999999"/>
    <n v="-31224.25"/>
    <n v="-31930.78"/>
    <n v="-34496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82"/>
    <n v="-10598.610000000002"/>
    <n v="0"/>
    <n v="0"/>
    <n v="-4531.47"/>
    <n v="-5380.75"/>
    <n v="-567.95000000000005"/>
    <n v="0"/>
    <n v="-25.21"/>
    <m/>
    <n v="-93.11"/>
    <n v="-0.1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166"/>
    <n v="-302.39"/>
    <n v="0"/>
    <n v="0"/>
    <m/>
    <m/>
    <m/>
    <m/>
    <m/>
    <m/>
    <n v="-302.39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167"/>
    <n v="-2291.11"/>
    <n v="0"/>
    <n v="0"/>
    <m/>
    <m/>
    <n v="0"/>
    <m/>
    <m/>
    <m/>
    <n v="-2291.1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8"/>
    <x v="113"/>
    <n v="3798"/>
    <n v="0"/>
    <n v="0"/>
    <n v="319.5"/>
    <n v="384"/>
    <n v="376.5"/>
    <n v="325.5"/>
    <n v="337.5"/>
    <n v="481.5"/>
    <n v="397.5"/>
    <n v="256.5"/>
    <n v="235.5"/>
    <n v="232.5"/>
    <n v="259.5"/>
    <n v="1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8"/>
    <x v="41"/>
    <n v="3216"/>
    <n v="0"/>
    <n v="0"/>
    <n v="268"/>
    <n v="26"/>
    <n v="510"/>
    <n v="26"/>
    <n v="510"/>
    <n v="268"/>
    <n v="26"/>
    <n v="26"/>
    <n v="752"/>
    <n v="268"/>
    <n v="268"/>
    <n v="26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4"/>
    <x v="114"/>
    <n v="36.79"/>
    <n v="0"/>
    <n v="0"/>
    <m/>
    <m/>
    <m/>
    <m/>
    <m/>
    <m/>
    <m/>
    <m/>
    <m/>
    <m/>
    <m/>
    <n v="36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4"/>
    <x v="115"/>
    <n v="43293.93"/>
    <n v="0"/>
    <n v="0"/>
    <n v="3216.08"/>
    <n v="3369.44"/>
    <n v="3466.64"/>
    <n v="3665"/>
    <n v="3512"/>
    <n v="3249.6"/>
    <n v="2624.24"/>
    <n v="4186.32"/>
    <n v="4121.12"/>
    <n v="4275.2"/>
    <n v="3412.72"/>
    <n v="4195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12"/>
    <n v="-77484.819999999992"/>
    <n v="0"/>
    <n v="0"/>
    <m/>
    <m/>
    <m/>
    <n v="-3571.24"/>
    <n v="-9411.09"/>
    <n v="-8730.77"/>
    <n v="-8305.34"/>
    <n v="-8087.12"/>
    <n v="-9332.58"/>
    <n v="-9607.48"/>
    <n v="-9824.8700000000008"/>
    <n v="-10614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83"/>
    <n v="-82809.229999999981"/>
    <n v="0"/>
    <n v="0"/>
    <n v="-22486.400000000001"/>
    <n v="-20522.05"/>
    <n v="-24303.83"/>
    <n v="-13511.51"/>
    <n v="-1139.9000000000001"/>
    <n v="-18.59"/>
    <n v="-817.15"/>
    <n v="-9.8000000000000007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168"/>
    <n v="-211.27"/>
    <n v="0"/>
    <n v="0"/>
    <m/>
    <m/>
    <n v="0"/>
    <m/>
    <m/>
    <m/>
    <n v="-211.2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3"/>
    <x v="169"/>
    <n v="-66.290000000000006"/>
    <n v="0"/>
    <n v="0"/>
    <m/>
    <m/>
    <n v="0"/>
    <m/>
    <m/>
    <m/>
    <n v="-66.29000000000000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3"/>
    <x v="84"/>
    <n v="-2306767.16"/>
    <n v="0"/>
    <n v="0"/>
    <n v="-189127.2"/>
    <n v="-172605.18"/>
    <n v="-204412.59"/>
    <n v="-187848.71"/>
    <n v="-205145.13"/>
    <n v="-181577.5"/>
    <n v="-179646.64"/>
    <n v="-168128.94"/>
    <n v="-193924.44"/>
    <n v="-199638.12"/>
    <n v="-204155.32"/>
    <n v="-220557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123"/>
    <n v="-2823639.39"/>
    <n v="0"/>
    <n v="0"/>
    <m/>
    <m/>
    <m/>
    <n v="-130138.4"/>
    <n v="-342952.85"/>
    <n v="-318161.09000000003"/>
    <n v="-302659.67"/>
    <n v="-294705.68"/>
    <n v="-340088.22"/>
    <n v="-350108.33"/>
    <n v="-358030.4"/>
    <n v="-386794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86"/>
    <n v="-1247560.46"/>
    <n v="0"/>
    <n v="0"/>
    <n v="-338769.39"/>
    <n v="-309174.57"/>
    <n v="-366148.7"/>
    <n v="-203557.29"/>
    <n v="-17172.75"/>
    <n v="-280.08999999999997"/>
    <n v="-12310"/>
    <n v="-147.66999999999999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170"/>
    <n v="-731.84"/>
    <n v="0"/>
    <n v="0"/>
    <m/>
    <m/>
    <n v="0"/>
    <m/>
    <m/>
    <m/>
    <n v="-731.8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51"/>
    <n v="54.27"/>
    <n v="0"/>
    <n v="0"/>
    <m/>
    <m/>
    <m/>
    <m/>
    <m/>
    <m/>
    <n v="54.2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87"/>
    <n v="921475.72"/>
    <n v="0"/>
    <n v="0"/>
    <n v="76548.78"/>
    <n v="73124.52"/>
    <n v="76106.94"/>
    <n v="74670.960000000006"/>
    <n v="80083.5"/>
    <n v="74008.2"/>
    <n v="73684.179999999993"/>
    <n v="73349.119999999995"/>
    <n v="77984.759999999995"/>
    <n v="80090.86"/>
    <n v="76106.94"/>
    <n v="85716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19"/>
    <n v="8565.84"/>
    <n v="0"/>
    <n v="0"/>
    <n v="713.82"/>
    <n v="-713.82"/>
    <n v="2141.46"/>
    <n v="356.91"/>
    <n v="1070.73"/>
    <n v="713.82"/>
    <n v="356.91"/>
    <m/>
    <n v="713.82"/>
    <n v="1427.64"/>
    <n v="1070.73"/>
    <n v="713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1"/>
    <n v="2924.43"/>
    <n v="0"/>
    <n v="0"/>
    <m/>
    <m/>
    <m/>
    <m/>
    <m/>
    <m/>
    <n v="2924.4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2"/>
    <n v="27755.4"/>
    <n v="0"/>
    <n v="0"/>
    <n v="6210.43"/>
    <n v="-20453.66"/>
    <n v="20453.66"/>
    <m/>
    <m/>
    <m/>
    <n v="12171.57"/>
    <m/>
    <n v="4723.47"/>
    <n v="4649.9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88"/>
    <n v="4625531.41"/>
    <n v="0"/>
    <n v="0"/>
    <n v="1596651.39"/>
    <n v="38686.910000000003"/>
    <n v="36303.410000000003"/>
    <m/>
    <m/>
    <m/>
    <n v="1152339.02"/>
    <n v="1483985.28"/>
    <n v="275933.15999999997"/>
    <n v="41632.239999999998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3"/>
    <n v="97626.14"/>
    <n v="0"/>
    <n v="0"/>
    <m/>
    <m/>
    <m/>
    <m/>
    <m/>
    <m/>
    <m/>
    <m/>
    <n v="26636.75"/>
    <n v="13890.9"/>
    <n v="37291.519999999997"/>
    <n v="19806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89"/>
    <n v="13659894.23"/>
    <n v="0"/>
    <n v="0"/>
    <m/>
    <m/>
    <m/>
    <m/>
    <m/>
    <m/>
    <m/>
    <n v="1151452.97"/>
    <n v="2796278.33"/>
    <n v="3143778.74"/>
    <n v="3086638.74"/>
    <n v="3481745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4"/>
    <n v="24257.96"/>
    <n v="0"/>
    <n v="0"/>
    <m/>
    <m/>
    <n v="0"/>
    <m/>
    <m/>
    <m/>
    <n v="24257.9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5"/>
    <n v="212739.97000000003"/>
    <n v="0"/>
    <n v="0"/>
    <n v="22110.99"/>
    <n v="-17228.939999999999"/>
    <n v="92088.74"/>
    <n v="6974.35"/>
    <n v="65516.639999999999"/>
    <n v="34767.35"/>
    <n v="6838.31"/>
    <m/>
    <m/>
    <n v="1672.5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90"/>
    <n v="24365613.120000001"/>
    <n v="0"/>
    <n v="0"/>
    <n v="1780016.75"/>
    <n v="3777150.94"/>
    <n v="4179936.07"/>
    <n v="3915343.9"/>
    <n v="4284250.97"/>
    <n v="3855158.35"/>
    <n v="2300808.36"/>
    <n v="207580.35"/>
    <n v="60141.53"/>
    <n v="5225.8999999999996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0"/>
    <n v="-88162.07"/>
    <n v="0"/>
    <n v="0"/>
    <n v="-5700.42"/>
    <n v="-8831.34"/>
    <n v="-7331.89"/>
    <n v="-7618.03"/>
    <n v="-7279.47"/>
    <n v="-7444.15"/>
    <n v="-4252.4399999999996"/>
    <n v="-8760.48"/>
    <n v="-6468.87"/>
    <n v="-7899.5"/>
    <n v="-8849.0499999999993"/>
    <n v="-7726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"/>
    <x v="0"/>
    <n v="0"/>
    <n v="0"/>
    <n v="663568679.79999995"/>
    <m/>
    <m/>
    <m/>
    <m/>
    <m/>
    <m/>
    <m/>
    <m/>
    <m/>
    <m/>
    <m/>
    <m/>
    <m/>
    <m/>
    <m/>
    <m/>
    <m/>
    <m/>
    <m/>
    <m/>
    <m/>
    <m/>
    <m/>
    <m/>
    <n v="57105038.259999998"/>
    <n v="48292168.700000003"/>
    <n v="52611499.340000004"/>
    <n v="57241478.799999997"/>
    <n v="42290183.700000003"/>
    <n v="49831040"/>
    <n v="51714287.799999997"/>
    <n v="49189857.82"/>
    <n v="58487486.5"/>
    <n v="62962157.340000004"/>
    <n v="69911698.099999994"/>
    <n v="63931783.439999998"/>
  </r>
  <r>
    <s v="10"/>
    <s v="Electric"/>
    <x v="3"/>
    <x v="10"/>
    <x v="6"/>
    <x v="4"/>
    <x v="0"/>
    <n v="0"/>
    <n v="3261237.4466666668"/>
    <n v="0"/>
    <m/>
    <m/>
    <m/>
    <m/>
    <m/>
    <m/>
    <m/>
    <m/>
    <m/>
    <m/>
    <m/>
    <m/>
    <n v="302821.88"/>
    <n v="273123.95"/>
    <n v="218649.94666666666"/>
    <n v="273127.84999999998"/>
    <n v="317137.96000000002"/>
    <n v="289924.17"/>
    <n v="192231.96666666667"/>
    <n v="190416.11333333334"/>
    <n v="321898.53999999998"/>
    <n v="211438.04"/>
    <n v="321559.83"/>
    <n v="348907.2"/>
    <m/>
    <m/>
    <m/>
    <m/>
    <m/>
    <m/>
    <m/>
    <m/>
    <m/>
    <m/>
    <m/>
    <m/>
  </r>
  <r>
    <s v="10"/>
    <s v="Electric"/>
    <x v="3"/>
    <x v="10"/>
    <x v="6"/>
    <x v="21"/>
    <x v="0"/>
    <n v="0"/>
    <n v="147627.28599999999"/>
    <n v="23872091.274999995"/>
    <m/>
    <m/>
    <m/>
    <m/>
    <m/>
    <m/>
    <m/>
    <m/>
    <m/>
    <m/>
    <m/>
    <m/>
    <n v="10961.432000000001"/>
    <n v="6865.49"/>
    <n v="13953.075999999999"/>
    <n v="14443.156000000001"/>
    <n v="19468.687999999998"/>
    <n v="7158.076"/>
    <n v="12305.111999999999"/>
    <n v="13665.88"/>
    <n v="12216.628000000001"/>
    <n v="11322.288"/>
    <n v="14142.312"/>
    <n v="11125.147999999999"/>
    <n v="1527769.3910000001"/>
    <n v="1765403.2390000001"/>
    <n v="2478632.7889999999"/>
    <n v="1862927.7860000001"/>
    <n v="2859233.3679999998"/>
    <n v="926454.87399999995"/>
    <n v="1875577.2169999999"/>
    <n v="2007753.8929999999"/>
    <n v="2032597.56"/>
    <n v="1847264.08"/>
    <n v="2599358.7769999998"/>
    <n v="2089118.301"/>
  </r>
  <r>
    <s v="10"/>
    <s v="Electric"/>
    <x v="3"/>
    <x v="10"/>
    <x v="6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0"/>
    <n v="0"/>
    <n v="0"/>
    <n v="1632666808.0310001"/>
    <m/>
    <m/>
    <m/>
    <m/>
    <m/>
    <m/>
    <m/>
    <m/>
    <m/>
    <m/>
    <m/>
    <m/>
    <m/>
    <m/>
    <m/>
    <m/>
    <m/>
    <m/>
    <m/>
    <m/>
    <m/>
    <m/>
    <m/>
    <m/>
    <n v="133848021.14399999"/>
    <n v="122155071.16"/>
    <n v="144665653.04899999"/>
    <n v="132943192.279"/>
    <n v="145184050.14399999"/>
    <n v="128504941.899"/>
    <n v="127273979.219"/>
    <n v="118987118.788"/>
    <n v="137242983.03"/>
    <n v="141286680.926"/>
    <n v="144483613.93099999"/>
    <n v="156091502.46200001"/>
  </r>
  <r>
    <s v="10"/>
    <s v="Electric"/>
    <x v="3"/>
    <x v="10"/>
    <x v="6"/>
    <x v="34"/>
    <x v="176"/>
    <n v="489301.22"/>
    <n v="0"/>
    <n v="0"/>
    <n v="59298.62"/>
    <n v="-86543.47"/>
    <n v="227428.84"/>
    <n v="18570.61"/>
    <n v="131597.23000000001"/>
    <n v="66557.47"/>
    <n v="43371.21"/>
    <m/>
    <n v="10138.24"/>
    <n v="1888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7"/>
    <n v="264245.09999999998"/>
    <n v="0"/>
    <n v="0"/>
    <m/>
    <m/>
    <m/>
    <m/>
    <m/>
    <m/>
    <m/>
    <m/>
    <n v="65287.3"/>
    <n v="44942.96"/>
    <n v="100278.5"/>
    <n v="53736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8"/>
    <n v="8367.41"/>
    <n v="0"/>
    <n v="0"/>
    <m/>
    <m/>
    <m/>
    <m/>
    <m/>
    <m/>
    <n v="8367.4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9"/>
    <n v="48945.33"/>
    <n v="0"/>
    <n v="0"/>
    <m/>
    <m/>
    <n v="0"/>
    <m/>
    <m/>
    <m/>
    <n v="48945.3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91"/>
    <n v="59567403.410000004"/>
    <n v="0"/>
    <n v="0"/>
    <n v="7808923.7199999997"/>
    <n v="7272241.2300000004"/>
    <n v="8271081.6100000003"/>
    <n v="7797849.7300000004"/>
    <n v="8400694.2699999996"/>
    <n v="7487241.6799999997"/>
    <n v="7381314.5099999998"/>
    <n v="4170321.57"/>
    <n v="838174.46"/>
    <n v="139560.63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92"/>
    <n v="35778831.060000002"/>
    <n v="0"/>
    <n v="0"/>
    <m/>
    <m/>
    <m/>
    <m/>
    <m/>
    <m/>
    <m/>
    <n v="2840491.91"/>
    <n v="7190422.6699999999"/>
    <n v="8143517.29"/>
    <n v="8435124.3000000007"/>
    <n v="9169274.89000000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6"/>
    <x v="93"/>
    <n v="864218.47"/>
    <n v="0"/>
    <n v="0"/>
    <n v="73519.83"/>
    <n v="62725.7"/>
    <n v="69438.960000000006"/>
    <n v="74257.67"/>
    <n v="56714.81"/>
    <n v="63738.39"/>
    <n v="67550.52"/>
    <n v="64546.59"/>
    <n v="75917.070000000007"/>
    <n v="81779.11"/>
    <n v="91019.73"/>
    <n v="83010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7"/>
    <x v="76"/>
    <n v="393989.43000000005"/>
    <n v="0"/>
    <n v="0"/>
    <m/>
    <m/>
    <m/>
    <m/>
    <m/>
    <m/>
    <m/>
    <n v="32441.01"/>
    <n v="72457.31"/>
    <n v="93869.07"/>
    <n v="111322.21"/>
    <n v="83899.8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7"/>
    <x v="77"/>
    <n v="695096.78999999992"/>
    <n v="0"/>
    <n v="0"/>
    <n v="92174.57"/>
    <n v="94058.86"/>
    <n v="86590"/>
    <n v="85302.17"/>
    <n v="100989.98"/>
    <n v="88157.24"/>
    <n v="82211.17"/>
    <n v="55274.36"/>
    <n v="6900.88"/>
    <n v="3249.48"/>
    <n v="188.0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8"/>
    <x v="78"/>
    <n v="7620.5599999999995"/>
    <n v="0"/>
    <n v="0"/>
    <n v="7004.65"/>
    <n v="613"/>
    <n v="2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8"/>
    <x v="79"/>
    <n v="162750.46000000002"/>
    <n v="0"/>
    <n v="0"/>
    <n v="6678.02"/>
    <n v="13729.88"/>
    <n v="13233.7"/>
    <n v="13039.94"/>
    <n v="15438.06"/>
    <n v="13476.42"/>
    <n v="12567.41"/>
    <n v="13765.19"/>
    <n v="12927.43"/>
    <n v="15877.6"/>
    <n v="18269.419999999998"/>
    <n v="13747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9"/>
    <x v="80"/>
    <n v="-15079.72"/>
    <n v="0"/>
    <n v="0"/>
    <n v="-4233.1400000000003"/>
    <n v="-4319.68"/>
    <n v="-3976.6"/>
    <n v="-2333.73"/>
    <n v="-216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9"/>
    <x v="81"/>
    <n v="-37598.17"/>
    <n v="0"/>
    <n v="0"/>
    <m/>
    <m/>
    <m/>
    <n v="-1643.35"/>
    <n v="-4587.4399999999996"/>
    <n v="-4200.7299999999996"/>
    <n v="-3917.32"/>
    <n v="-4290.7700000000004"/>
    <n v="-4029.55"/>
    <n v="-4949.17"/>
    <n v="-5694.67"/>
    <n v="-4285.1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0"/>
    <x v="82"/>
    <n v="-1595.9099999999999"/>
    <n v="0"/>
    <n v="0"/>
    <n v="-725.27"/>
    <n v="-835.18"/>
    <n v="-31.97"/>
    <n v="-3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1"/>
    <x v="12"/>
    <n v="-11568.710000000001"/>
    <n v="0"/>
    <n v="0"/>
    <m/>
    <m/>
    <m/>
    <n v="-505.66"/>
    <n v="-1411.54"/>
    <n v="-1292.56"/>
    <n v="-1205.3599999999999"/>
    <n v="-1320.25"/>
    <n v="-1239.8399999999999"/>
    <n v="-1522.8"/>
    <n v="-1752.21"/>
    <n v="-1318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1"/>
    <x v="83"/>
    <n v="-11893.859999999999"/>
    <n v="0"/>
    <n v="0"/>
    <n v="-3338.81"/>
    <n v="-3407.08"/>
    <n v="-3136.5"/>
    <n v="-1840.65"/>
    <n v="-170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3"/>
    <x v="84"/>
    <n v="-340425.01"/>
    <n v="0"/>
    <n v="0"/>
    <n v="-28081.63"/>
    <n v="-28655.74"/>
    <n v="-26380.22"/>
    <n v="-25987.89"/>
    <n v="-30767.34"/>
    <n v="-26857.72"/>
    <n v="-25046.19"/>
    <n v="-27433.42"/>
    <n v="-25763.62"/>
    <n v="-31643.360000000001"/>
    <n v="-36410.01"/>
    <n v="-27397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4"/>
    <x v="123"/>
    <n v="-421574.98"/>
    <n v="0"/>
    <n v="0"/>
    <m/>
    <m/>
    <m/>
    <n v="-18425.96"/>
    <n v="-51437.49"/>
    <n v="-47100.85"/>
    <n v="-43923.91"/>
    <n v="-48110.47"/>
    <n v="-45182.080000000002"/>
    <n v="-55493.35"/>
    <n v="-63852.85"/>
    <n v="-48048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4"/>
    <x v="86"/>
    <n v="-179185.85"/>
    <n v="0"/>
    <n v="0"/>
    <n v="-50300.51"/>
    <n v="-51328.76"/>
    <n v="-47252.959999999999"/>
    <n v="-27730.12"/>
    <n v="-2573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5"/>
    <x v="87"/>
    <n v="134579.71"/>
    <n v="0"/>
    <n v="0"/>
    <n v="10604.16"/>
    <n v="10525.77"/>
    <n v="11046"/>
    <n v="11046"/>
    <n v="12150.6"/>
    <n v="10493.7"/>
    <n v="9830.94"/>
    <n v="10935.54"/>
    <n v="11046"/>
    <n v="12599.8"/>
    <n v="13255.2"/>
    <n v="110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88"/>
    <n v="777063.36999999988"/>
    <n v="0"/>
    <n v="0"/>
    <n v="254925.42"/>
    <n v="17621.759999999998"/>
    <n v="183.72"/>
    <m/>
    <m/>
    <m/>
    <n v="203632.96"/>
    <n v="244509.56"/>
    <n v="37639.730000000003"/>
    <n v="17817.900000000001"/>
    <n v="732.3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89"/>
    <n v="2314411.9099999997"/>
    <n v="0"/>
    <n v="0"/>
    <m/>
    <m/>
    <m/>
    <m/>
    <m/>
    <m/>
    <m/>
    <n v="193035.19"/>
    <n v="440039.51"/>
    <n v="567272.69999999995"/>
    <n v="620555.43999999994"/>
    <n v="493509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90"/>
    <n v="4156092.6600000006"/>
    <n v="0"/>
    <n v="0"/>
    <n v="313363.94"/>
    <n v="661706.47"/>
    <n v="680037.7"/>
    <n v="676483.07"/>
    <n v="743771.64"/>
    <n v="666391.55000000005"/>
    <n v="330491.7"/>
    <n v="79297.37"/>
    <n v="4549.22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"/>
    <x v="0"/>
    <n v="0"/>
    <n v="0"/>
    <n v="141103761.69999999"/>
    <m/>
    <m/>
    <m/>
    <m/>
    <m/>
    <m/>
    <m/>
    <m/>
    <m/>
    <m/>
    <m/>
    <m/>
    <m/>
    <m/>
    <m/>
    <m/>
    <m/>
    <m/>
    <m/>
    <m/>
    <m/>
    <m/>
    <m/>
    <m/>
    <n v="12123420"/>
    <n v="11725060"/>
    <n v="10794280"/>
    <n v="10054460"/>
    <n v="11694622.4"/>
    <n v="11342077.6"/>
    <n v="10542640"/>
    <n v="11374960"/>
    <n v="11383400"/>
    <n v="12725799.5"/>
    <n v="15858180.5"/>
    <n v="11484861.699999999"/>
  </r>
  <r>
    <s v="10"/>
    <s v="Electric"/>
    <x v="3"/>
    <x v="11"/>
    <x v="6"/>
    <x v="4"/>
    <x v="0"/>
    <n v="0"/>
    <n v="586610.68333333347"/>
    <n v="0"/>
    <m/>
    <m/>
    <m/>
    <m/>
    <m/>
    <m/>
    <m/>
    <m/>
    <m/>
    <m/>
    <m/>
    <m/>
    <n v="50558"/>
    <n v="49123.82"/>
    <n v="35008.559999999998"/>
    <n v="47695.7"/>
    <n v="54358.54"/>
    <n v="49402.05"/>
    <n v="45265.96"/>
    <n v="51659.81"/>
    <n v="49403.15"/>
    <n v="39255.333333333336"/>
    <n v="65430.34"/>
    <n v="49449.42"/>
    <m/>
    <m/>
    <m/>
    <m/>
    <m/>
    <m/>
    <m/>
    <m/>
    <m/>
    <m/>
    <m/>
    <m/>
  </r>
  <r>
    <s v="10"/>
    <s v="Electric"/>
    <x v="3"/>
    <x v="11"/>
    <x v="6"/>
    <x v="21"/>
    <x v="0"/>
    <n v="0"/>
    <n v="19705.824000000001"/>
    <n v="7230826.5569999991"/>
    <m/>
    <m/>
    <m/>
    <m/>
    <m/>
    <m/>
    <m/>
    <m/>
    <m/>
    <m/>
    <m/>
    <m/>
    <n v="1643.316"/>
    <n v="3369.3960000000002"/>
    <n v="5.04"/>
    <n v="1623.6959999999999"/>
    <n v="3259.12"/>
    <n v="6.12"/>
    <n v="1631.164"/>
    <n v="1609.4760000000001"/>
    <n v="1601.672"/>
    <n v="1632.3679999999999"/>
    <n v="1605.2439999999999"/>
    <n v="1719.212"/>
    <n v="592825.92299999995"/>
    <n v="1195150.825"/>
    <n v="8430.42"/>
    <n v="597340.51899999997"/>
    <n v="1158975.8219999999"/>
    <n v="8149.62"/>
    <n v="613872.78300000005"/>
    <n v="595079.71699999995"/>
    <n v="608345.68599999999"/>
    <n v="597074.43000000005"/>
    <n v="591590.04700000002"/>
    <n v="663990.76500000001"/>
  </r>
  <r>
    <s v="10"/>
    <s v="Electric"/>
    <x v="3"/>
    <x v="11"/>
    <x v="6"/>
    <x v="34"/>
    <x v="0"/>
    <n v="0"/>
    <n v="0"/>
    <n v="240923591.86700001"/>
    <m/>
    <m/>
    <m/>
    <m/>
    <m/>
    <m/>
    <m/>
    <m/>
    <m/>
    <m/>
    <m/>
    <m/>
    <m/>
    <m/>
    <m/>
    <m/>
    <m/>
    <m/>
    <m/>
    <m/>
    <m/>
    <m/>
    <m/>
    <m/>
    <n v="19873764.363000002"/>
    <n v="20280039.829"/>
    <n v="18669676.510000002"/>
    <n v="18392020.421"/>
    <n v="21774467.892000001"/>
    <n v="19007599.239999998"/>
    <n v="17725557.243000001"/>
    <n v="19415026.192000002"/>
    <n v="18233289.997000001"/>
    <n v="22394410.892000001"/>
    <n v="25767891.945"/>
    <n v="19389847.342999998"/>
  </r>
  <r>
    <s v="10"/>
    <s v="Electric"/>
    <x v="3"/>
    <x v="11"/>
    <x v="6"/>
    <x v="34"/>
    <x v="91"/>
    <n v="8812349.6100000013"/>
    <n v="0"/>
    <n v="0"/>
    <n v="1168577.3999999999"/>
    <n v="1192466.3400000001"/>
    <n v="1097777.01"/>
    <n v="1081450.77"/>
    <n v="1280338.73"/>
    <n v="1117646.82"/>
    <n v="1042262.78"/>
    <n v="700760.52"/>
    <n v="87488.49"/>
    <n v="41196.32"/>
    <n v="2384.429999999999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4"/>
    <x v="92"/>
    <n v="5381182.8400000008"/>
    <n v="0"/>
    <n v="0"/>
    <m/>
    <m/>
    <m/>
    <m/>
    <m/>
    <m/>
    <m/>
    <n v="443084.79999999999"/>
    <n v="989635.79"/>
    <n v="1282081.52"/>
    <n v="1520460.12"/>
    <n v="1145920.61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6"/>
    <x v="93"/>
    <n v="187842.93999999997"/>
    <n v="0"/>
    <n v="0"/>
    <n v="16138.96"/>
    <n v="16314.63"/>
    <n v="13599.65"/>
    <n v="13513.15"/>
    <n v="16285.35"/>
    <n v="14402.9"/>
    <n v="14157.65"/>
    <n v="15191.2"/>
    <n v="15161.63"/>
    <n v="16901.55"/>
    <n v="20838.25"/>
    <n v="15338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0"/>
    <n v="39309.32"/>
    <n v="0"/>
    <n v="0"/>
    <m/>
    <m/>
    <m/>
    <m/>
    <m/>
    <m/>
    <m/>
    <n v="1330.43"/>
    <n v="6360.54"/>
    <n v="9314.11"/>
    <n v="11990.14"/>
    <n v="10314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1"/>
    <n v="26.599999999999998"/>
    <n v="0"/>
    <n v="0"/>
    <n v="0.88"/>
    <n v="0"/>
    <n v="25.72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2"/>
    <n v="14344.189999999999"/>
    <n v="0"/>
    <n v="0"/>
    <n v="3928.48"/>
    <n v="1477.32"/>
    <n v="1656.84"/>
    <n v="1415.6"/>
    <n v="1407.27"/>
    <n v="914.99"/>
    <n v="1323.64"/>
    <n v="2004.69"/>
    <n v="265.82"/>
    <n v="44.34"/>
    <n v="-83.52"/>
    <n v="-11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8"/>
    <x v="183"/>
    <n v="8607.01"/>
    <n v="0"/>
    <n v="0"/>
    <n v="153.51"/>
    <n v="197.45"/>
    <n v="220.98"/>
    <n v="226.82"/>
    <n v="173.22"/>
    <n v="145.6"/>
    <n v="210.89"/>
    <n v="553.36"/>
    <n v="1162.17"/>
    <n v="1651.27"/>
    <n v="2097.19"/>
    <n v="1814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8"/>
    <x v="184"/>
    <n v="617.69999999999993"/>
    <n v="0"/>
    <n v="0"/>
    <n v="486.64"/>
    <n v="38.72"/>
    <n v="48.39"/>
    <n v="-1.71"/>
    <n v="52.27"/>
    <n v="0"/>
    <n v="-0.25"/>
    <m/>
    <n v="-0.32"/>
    <n v="-4.9800000000000004"/>
    <m/>
    <n v="-1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5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6"/>
    <n v="-473.15999999999997"/>
    <n v="0"/>
    <n v="0"/>
    <n v="-229.79"/>
    <n v="-86.37"/>
    <n v="-98.5"/>
    <n v="-55.08"/>
    <n v="-21.48"/>
    <n v="15.01"/>
    <n v="0.18"/>
    <n v="0"/>
    <n v="0.53"/>
    <n v="1.93"/>
    <m/>
    <n v="0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7"/>
    <n v="-2966.2599999999998"/>
    <n v="0"/>
    <n v="0"/>
    <m/>
    <m/>
    <m/>
    <n v="-28.08"/>
    <n v="-62.01"/>
    <n v="-69.86"/>
    <n v="-79.040000000000006"/>
    <n v="-207.2"/>
    <n v="-435.8"/>
    <n v="-618.63"/>
    <n v="-785.75"/>
    <n v="-679.8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38"/>
    <n v="-43.81"/>
    <n v="0"/>
    <n v="0"/>
    <n v="-22.89"/>
    <n v="-20.34"/>
    <n v="-2.36"/>
    <n v="0.8"/>
    <n v="-0.16"/>
    <n v="0.93"/>
    <n v="0"/>
    <m/>
    <n v="0.14000000000000001"/>
    <n v="0.06"/>
    <m/>
    <n v="0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39"/>
    <n v="-50.06"/>
    <n v="0"/>
    <n v="0"/>
    <n v="-25.08"/>
    <n v="-7.0000000000000007E-2"/>
    <n v="-21.64"/>
    <m/>
    <n v="-3.27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40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8"/>
    <x v="113"/>
    <n v="-21.88"/>
    <n v="0"/>
    <n v="0"/>
    <n v="5.82"/>
    <n v="-28.45"/>
    <n v="0.25"/>
    <n v="0.25"/>
    <n v="0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42"/>
    <n v="-724.15"/>
    <n v="0"/>
    <n v="0"/>
    <m/>
    <m/>
    <m/>
    <n v="-6.81"/>
    <n v="-15.05"/>
    <n v="-16.940000000000001"/>
    <n v="-19.22"/>
    <n v="-50.44"/>
    <n v="-106.49"/>
    <n v="-151.09"/>
    <n v="-191.98"/>
    <n v="-166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185"/>
    <n v="-265.7"/>
    <n v="0"/>
    <n v="0"/>
    <n v="-129.11000000000001"/>
    <n v="-48.45"/>
    <n v="-55.31"/>
    <n v="-30.96"/>
    <n v="-12.06"/>
    <n v="8.4600000000000009"/>
    <n v="0.1"/>
    <n v="0"/>
    <n v="0.31"/>
    <n v="1.0900000000000001"/>
    <m/>
    <n v="0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186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14"/>
    <n v="-82353.34"/>
    <n v="0"/>
    <n v="0"/>
    <n v="-1468.37"/>
    <n v="-1889.42"/>
    <n v="-2115.77"/>
    <n v="-2170.41"/>
    <n v="-1657.41"/>
    <n v="-1392.85"/>
    <n v="-2017.06"/>
    <n v="-5291.76"/>
    <n v="-11119.76"/>
    <n v="-15800.55"/>
    <n v="-20066.66"/>
    <n v="-17363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15"/>
    <n v="-7600.4900000000007"/>
    <n v="0"/>
    <n v="0"/>
    <n v="-6079.32"/>
    <n v="-490.36"/>
    <n v="-484.85"/>
    <n v="21.44"/>
    <n v="-651.21"/>
    <n v="0"/>
    <n v="3.17"/>
    <m/>
    <n v="4.12"/>
    <n v="63.11"/>
    <m/>
    <n v="13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45"/>
    <n v="-361.85"/>
    <n v="0"/>
    <n v="0"/>
    <n v="-135.66"/>
    <n v="-0.36"/>
    <n v="-208.6"/>
    <m/>
    <n v="-17.2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3"/>
    <x v="187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3"/>
    <x v="188"/>
    <n v="-16723.89"/>
    <n v="0"/>
    <n v="0"/>
    <n v="-1135.6199999999999"/>
    <n v="-426.89"/>
    <n v="-486.82"/>
    <n v="-409.09"/>
    <n v="-406.67"/>
    <n v="-264.5"/>
    <n v="-382.43"/>
    <n v="-1004.7"/>
    <n v="-2110.7600000000002"/>
    <n v="-2991.29"/>
    <n v="-3810.1"/>
    <n v="-3295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189"/>
    <n v="-4002.71"/>
    <n v="0"/>
    <n v="0"/>
    <n v="-1943.55"/>
    <n v="-730.7"/>
    <n v="-833.27"/>
    <n v="-466.44"/>
    <n v="-181.56"/>
    <n v="126.88"/>
    <n v="1.54"/>
    <n v="0"/>
    <n v="4.57"/>
    <n v="16.38"/>
    <m/>
    <n v="3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48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190"/>
    <n v="-26518.000000000004"/>
    <n v="0"/>
    <n v="0"/>
    <m/>
    <m/>
    <m/>
    <n v="-251.84"/>
    <n v="-554.12"/>
    <n v="-624.17999999999995"/>
    <n v="-706.79"/>
    <n v="-1852.18"/>
    <n v="-3895.94"/>
    <n v="-5531.81"/>
    <n v="-7023.51"/>
    <n v="-6077.6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0"/>
    <n v="1040.08"/>
    <n v="0"/>
    <n v="0"/>
    <n v="102"/>
    <n v="102"/>
    <n v="51"/>
    <n v="153"/>
    <n v="-51"/>
    <m/>
    <n v="0"/>
    <m/>
    <n v="408"/>
    <n v="51"/>
    <n v="102"/>
    <n v="122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91"/>
    <n v="22569.919999999998"/>
    <n v="0"/>
    <n v="0"/>
    <n v="2028.08"/>
    <n v="1787.12"/>
    <n v="1827.28"/>
    <n v="1646.56"/>
    <n v="1736.92"/>
    <n v="1616.44"/>
    <n v="1877.48"/>
    <n v="1807.2"/>
    <n v="2148.56"/>
    <n v="2008"/>
    <n v="2098.36"/>
    <n v="1987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92"/>
    <n v="128551.45"/>
    <n v="0"/>
    <n v="0"/>
    <n v="12241.7"/>
    <n v="10659"/>
    <n v="9409.5"/>
    <n v="9871.0499999999993"/>
    <n v="9180"/>
    <n v="10200"/>
    <n v="8542.5"/>
    <n v="10939.5"/>
    <n v="11373"/>
    <n v="12190.7"/>
    <n v="11985"/>
    <n v="11959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31"/>
    <n v="25.81"/>
    <n v="0"/>
    <n v="0"/>
    <n v="25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3"/>
    <x v="0"/>
    <n v="0"/>
    <n v="0"/>
    <n v="379925"/>
    <m/>
    <m/>
    <m/>
    <m/>
    <m/>
    <m/>
    <m/>
    <m/>
    <m/>
    <m/>
    <m/>
    <m/>
    <m/>
    <m/>
    <m/>
    <m/>
    <m/>
    <m/>
    <m/>
    <m/>
    <m/>
    <m/>
    <m/>
    <m/>
    <n v="18120"/>
    <n v="12840"/>
    <n v="45320"/>
    <n v="43840"/>
    <n v="34760"/>
    <n v="32720"/>
    <n v="33560"/>
    <n v="27760"/>
    <n v="47165"/>
    <n v="27160"/>
    <n v="33720"/>
    <n v="22960"/>
  </r>
  <r>
    <s v="10"/>
    <s v="Electric"/>
    <x v="5"/>
    <x v="12"/>
    <x v="7"/>
    <x v="4"/>
    <x v="0"/>
    <n v="0"/>
    <n v="21615.959999999995"/>
    <n v="0"/>
    <m/>
    <m/>
    <m/>
    <m/>
    <m/>
    <m/>
    <m/>
    <m/>
    <m/>
    <m/>
    <m/>
    <m/>
    <n v="2165.0066666666667"/>
    <n v="2230.83"/>
    <n v="837.23333333333335"/>
    <n v="550.26666666666665"/>
    <n v="654.00666666666666"/>
    <n v="1025.98"/>
    <n v="1352.23"/>
    <n v="2103.3850000000002"/>
    <n v="2436.64"/>
    <n v="3642.2449999999999"/>
    <n v="2146.4566666666665"/>
    <n v="2471.6799999999998"/>
    <m/>
    <m/>
    <m/>
    <m/>
    <m/>
    <m/>
    <m/>
    <m/>
    <m/>
    <m/>
    <m/>
    <m/>
  </r>
  <r>
    <s v="10"/>
    <s v="Electric"/>
    <x v="5"/>
    <x v="12"/>
    <x v="7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20"/>
    <x v="193"/>
    <n v="14953.81"/>
    <n v="0"/>
    <n v="0"/>
    <n v="3270.9"/>
    <n v="1112.92"/>
    <m/>
    <m/>
    <m/>
    <m/>
    <n v="384.63"/>
    <n v="1039.0899999999999"/>
    <n v="1237.6199999999999"/>
    <n v="3710.47"/>
    <n v="2631.57"/>
    <n v="1566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20"/>
    <x v="194"/>
    <n v="17056.45"/>
    <n v="0"/>
    <n v="0"/>
    <n v="1556.18"/>
    <n v="2930.45"/>
    <n v="4101.28"/>
    <n v="1908.26"/>
    <n v="2912.41"/>
    <n v="2424.79"/>
    <n v="1167.04"/>
    <n v="56.0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0"/>
    <n v="0"/>
    <n v="0"/>
    <n v="12964399.686000001"/>
    <m/>
    <m/>
    <m/>
    <m/>
    <m/>
    <m/>
    <m/>
    <m/>
    <m/>
    <m/>
    <m/>
    <m/>
    <m/>
    <m/>
    <m/>
    <m/>
    <m/>
    <m/>
    <m/>
    <m/>
    <m/>
    <m/>
    <m/>
    <m/>
    <n v="880265.29099999997"/>
    <n v="330969.81"/>
    <n v="377415.65100000001"/>
    <n v="317140.19900000002"/>
    <n v="315266.55800000002"/>
    <n v="205004.87"/>
    <n v="296518.79700000002"/>
    <n v="778883.91899999999"/>
    <n v="1636265.9210000001"/>
    <n v="2318848.2000000002"/>
    <n v="2953584.5819999999"/>
    <n v="2554235.8879999998"/>
  </r>
  <r>
    <s v="10"/>
    <s v="Electric"/>
    <x v="5"/>
    <x v="12"/>
    <x v="7"/>
    <x v="5"/>
    <x v="195"/>
    <n v="3517.81"/>
    <n v="0"/>
    <n v="0"/>
    <n v="2832.62"/>
    <n v="398.89"/>
    <m/>
    <m/>
    <m/>
    <m/>
    <n v="94.02"/>
    <m/>
    <n v="192.28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6"/>
    <n v="18473.349999999999"/>
    <n v="0"/>
    <n v="0"/>
    <m/>
    <m/>
    <m/>
    <m/>
    <m/>
    <m/>
    <m/>
    <m/>
    <n v="1817.89"/>
    <n v="4348.8599999999997"/>
    <n v="8469.33"/>
    <n v="3837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7"/>
    <n v="414.86"/>
    <n v="0"/>
    <n v="0"/>
    <n v="10.98"/>
    <n v="0"/>
    <n v="403.88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8"/>
    <n v="96838.25"/>
    <n v="0"/>
    <n v="0"/>
    <n v="42308.78"/>
    <n v="3170.18"/>
    <n v="4103.82"/>
    <n v="-158.57"/>
    <n v="4895.1099999999997"/>
    <n v="0"/>
    <n v="8506.31"/>
    <n v="29474.84"/>
    <n v="4566.0600000000004"/>
    <n v="690.74"/>
    <n v="-569.71"/>
    <n v="-149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9"/>
    <n v="649102.80000000005"/>
    <n v="0"/>
    <n v="0"/>
    <m/>
    <m/>
    <m/>
    <m/>
    <m/>
    <m/>
    <m/>
    <n v="22688.46"/>
    <n v="106376.86"/>
    <n v="153834.32999999999"/>
    <n v="194729.25"/>
    <n v="171473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0"/>
    <n v="1423.66"/>
    <n v="0"/>
    <n v="0"/>
    <n v="74.44"/>
    <m/>
    <n v="678.14"/>
    <n v="666.94"/>
    <m/>
    <m/>
    <n v="4.139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1"/>
    <n v="16.02"/>
    <n v="0"/>
    <n v="0"/>
    <n v="4.5"/>
    <m/>
    <n v="11.52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2"/>
    <n v="166497.35"/>
    <n v="0"/>
    <n v="0"/>
    <n v="20771.439999999999"/>
    <n v="26848.1"/>
    <n v="29188.240000000002"/>
    <n v="29978.67"/>
    <n v="23551.72"/>
    <n v="19791.830000000002"/>
    <n v="16504.68"/>
    <n v="1898.11"/>
    <n v="-984.99"/>
    <n v="-11.8"/>
    <n v="-1004.81"/>
    <n v="-33.84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6"/>
    <x v="203"/>
    <n v="404.96000000000004"/>
    <n v="0"/>
    <n v="0"/>
    <n v="2.4700000000000002"/>
    <n v="5.62"/>
    <n v="120.38"/>
    <n v="116.33"/>
    <n v="21.81"/>
    <n v="83.06"/>
    <m/>
    <m/>
    <m/>
    <n v="16.63"/>
    <n v="19.78"/>
    <n v="18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4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5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5"/>
    <n v="1122496.26"/>
    <n v="0"/>
    <n v="0"/>
    <m/>
    <m/>
    <m/>
    <m/>
    <m/>
    <m/>
    <m/>
    <n v="63737.79"/>
    <n v="222244.33"/>
    <n v="218724.63"/>
    <n v="342922.61"/>
    <n v="274866.9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6"/>
    <n v="4518.119999999999"/>
    <n v="0"/>
    <n v="0"/>
    <n v="-3713.53"/>
    <n v="8231.6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6"/>
    <n v="2378271.4500000002"/>
    <n v="0"/>
    <n v="0"/>
    <n v="321342.81"/>
    <n v="257272.59"/>
    <n v="363953.95"/>
    <n v="282111.09999999998"/>
    <n v="336739.42"/>
    <n v="293982.28000000003"/>
    <n v="267551.96999999997"/>
    <n v="192508.57"/>
    <n v="59514.85"/>
    <n v="10102.870000000001"/>
    <n v="8.34"/>
    <n v="-6817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207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7"/>
    <n v="35405.82"/>
    <n v="0"/>
    <n v="0"/>
    <n v="30623.22"/>
    <n v="3285.92"/>
    <n v="1477.15"/>
    <n v="0.2"/>
    <m/>
    <m/>
    <n v="19.32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8"/>
    <n v="516539.37999999995"/>
    <n v="0"/>
    <n v="0"/>
    <n v="15158.45"/>
    <n v="36436.660000000003"/>
    <n v="52969.43"/>
    <n v="42268.28"/>
    <n v="50453.42"/>
    <n v="44047.17"/>
    <n v="40066.82"/>
    <n v="40022.949999999997"/>
    <n v="47898.62"/>
    <n v="39877.85"/>
    <n v="60149.73"/>
    <n v="4719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208"/>
    <n v="-27.909999999999997"/>
    <n v="0"/>
    <n v="0"/>
    <n v="105.59"/>
    <n v="-133.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9"/>
    <n v="-55540.369999999995"/>
    <n v="0"/>
    <n v="0"/>
    <n v="-15120.6"/>
    <n v="-12463.45"/>
    <n v="-17220.25"/>
    <n v="-9343.3799999999992"/>
    <n v="-1295.49"/>
    <n v="-58.28"/>
    <n v="-38.92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10"/>
    <n v="-139262.74999999997"/>
    <n v="0"/>
    <n v="0"/>
    <m/>
    <m/>
    <m/>
    <n v="-4672.04"/>
    <n v="-17076.68"/>
    <n v="-16159.96"/>
    <n v="-14723.6"/>
    <n v="-14745.34"/>
    <n v="-17646.96"/>
    <n v="-14691.81"/>
    <n v="-22160.46"/>
    <n v="-17385.9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11"/>
    <n v="-7155.2300000000005"/>
    <n v="0"/>
    <n v="0"/>
    <n v="-2393.54"/>
    <n v="-3939.3"/>
    <n v="-795.85"/>
    <n v="-20.78"/>
    <n v="-0.5"/>
    <m/>
    <n v="-5.2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209"/>
    <n v="-1199.43"/>
    <n v="0"/>
    <n v="0"/>
    <n v="-0.49"/>
    <n v="-1198.94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210"/>
    <n v="-1187.3600000000001"/>
    <n v="0"/>
    <n v="0"/>
    <n v="2374.7199999999998"/>
    <n v="-3562.08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8"/>
    <x v="41"/>
    <n v="1848"/>
    <n v="0"/>
    <n v="0"/>
    <n v="154"/>
    <n v="154"/>
    <n v="154"/>
    <n v="154"/>
    <n v="154"/>
    <n v="154"/>
    <n v="154"/>
    <n v="154"/>
    <n v="154"/>
    <n v="154"/>
    <n v="154"/>
    <n v="1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24"/>
    <x v="115"/>
    <n v="101207.28000000001"/>
    <n v="0"/>
    <n v="0"/>
    <n v="8756.7199999999993"/>
    <n v="9069"/>
    <n v="9877.24"/>
    <n v="8698.2000000000007"/>
    <n v="9600.4"/>
    <n v="9840.48"/>
    <n v="9036.08"/>
    <n v="2423.04"/>
    <n v="15113.76"/>
    <n v="11041.99"/>
    <n v="3105.24"/>
    <n v="4645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12"/>
    <n v="-36563.19"/>
    <n v="0"/>
    <n v="0"/>
    <m/>
    <m/>
    <m/>
    <n v="-1226.68"/>
    <n v="-4483.3900000000003"/>
    <n v="-4242.83"/>
    <n v="-3865.7"/>
    <n v="-3871.32"/>
    <n v="-4633.0600000000004"/>
    <n v="-3857.41"/>
    <n v="-5818.15"/>
    <n v="-4564.64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13"/>
    <n v="-38027.46"/>
    <n v="0"/>
    <n v="0"/>
    <n v="-10352.700000000001"/>
    <n v="-8533.48"/>
    <n v="-11790.49"/>
    <n v="-6397.22"/>
    <n v="-887.02"/>
    <n v="-39.9"/>
    <n v="-26.65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211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212"/>
    <n v="-92.07"/>
    <n v="0"/>
    <n v="0"/>
    <n v="348.13"/>
    <n v="-440.2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213"/>
    <n v="-29.039999999999992"/>
    <n v="0"/>
    <n v="0"/>
    <n v="165.53"/>
    <n v="-194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16"/>
    <n v="-1008566.5800000001"/>
    <n v="0"/>
    <n v="0"/>
    <n v="-87006.61"/>
    <n v="-72123.48"/>
    <n v="-99288.39"/>
    <n v="-76961.33"/>
    <n v="-91864.08"/>
    <n v="-80199.8"/>
    <n v="-72989.48"/>
    <n v="-72872.53"/>
    <n v="-87212.08"/>
    <n v="-72608.259999999995"/>
    <n v="-109518.5"/>
    <n v="-8592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17"/>
    <n v="-571916.15"/>
    <n v="0"/>
    <n v="0"/>
    <n v="-155700.9"/>
    <n v="-128339.66"/>
    <n v="-177322.86"/>
    <n v="-96211.59"/>
    <n v="-13340.28"/>
    <n v="-600.09"/>
    <n v="-400.77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214"/>
    <n v="-318.90000000000009"/>
    <n v="0"/>
    <n v="0"/>
    <n v="1205.74"/>
    <n v="-1524.64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18"/>
    <n v="-1339929.7300000002"/>
    <n v="0"/>
    <n v="0"/>
    <m/>
    <m/>
    <m/>
    <n v="-44952.53"/>
    <n v="-164305.54999999999"/>
    <n v="-155484.70000000001"/>
    <n v="-141664.39000000001"/>
    <n v="-141873.91"/>
    <n v="-169791.15"/>
    <n v="-141359.17000000001"/>
    <n v="-213219.03"/>
    <n v="-167279.2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215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0"/>
    <n v="713.82"/>
    <n v="0"/>
    <n v="0"/>
    <m/>
    <m/>
    <m/>
    <m/>
    <m/>
    <m/>
    <m/>
    <m/>
    <m/>
    <m/>
    <m/>
    <n v="713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216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19"/>
    <n v="1485233.36"/>
    <n v="0"/>
    <n v="0"/>
    <n v="122420.13"/>
    <n v="118958.1"/>
    <n v="129046.76"/>
    <n v="115638.84"/>
    <n v="128868.3"/>
    <n v="116471.63"/>
    <n v="121016.28"/>
    <n v="112783.56"/>
    <n v="127749.99"/>
    <n v="113497.38"/>
    <n v="152043.66"/>
    <n v="126738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7"/>
    <n v="304.85000000000002"/>
    <n v="0"/>
    <n v="0"/>
    <n v="304.85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8"/>
    <n v="567.27"/>
    <n v="0"/>
    <n v="0"/>
    <n v="567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9"/>
    <n v="6780.54"/>
    <n v="0"/>
    <n v="0"/>
    <n v="1327.99"/>
    <n v="5452.5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0"/>
    <n v="180.43"/>
    <n v="0"/>
    <n v="0"/>
    <n v="180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1"/>
    <n v="600.48"/>
    <n v="0"/>
    <n v="0"/>
    <n v="600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0"/>
    <n v="2562534.27"/>
    <n v="0"/>
    <n v="0"/>
    <n v="1032959.3"/>
    <n v="57756.61"/>
    <n v="37930.089999999997"/>
    <n v="6.68"/>
    <m/>
    <m/>
    <n v="366026.96"/>
    <n v="770451.23"/>
    <n v="258955.59"/>
    <n v="37296.32"/>
    <n v="0"/>
    <n v="1151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2"/>
    <n v="21.39"/>
    <n v="0"/>
    <n v="0"/>
    <n v="21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3"/>
    <n v="432.96"/>
    <n v="0"/>
    <n v="0"/>
    <n v="432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"/>
    <n v="6743720.4800000004"/>
    <n v="0"/>
    <n v="0"/>
    <m/>
    <m/>
    <m/>
    <m/>
    <m/>
    <m/>
    <m/>
    <n v="389514.26"/>
    <n v="1353729.23"/>
    <n v="1386753.54"/>
    <n v="1959533.94"/>
    <n v="1654189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4"/>
    <n v="22914.58"/>
    <n v="0"/>
    <n v="0"/>
    <n v="-27326.35"/>
    <n v="50240.93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5"/>
    <n v="456.03"/>
    <n v="0"/>
    <n v="0"/>
    <n v="456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"/>
    <n v="11983296.679999998"/>
    <n v="0"/>
    <n v="0"/>
    <n v="667601.97"/>
    <n v="1672623.29"/>
    <n v="2292984.34"/>
    <n v="1790851.02"/>
    <n v="2120198.67"/>
    <n v="1869370.83"/>
    <n v="1315527.95"/>
    <n v="212964.01"/>
    <n v="38077.32"/>
    <n v="3097.28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"/>
    <x v="0"/>
    <n v="0"/>
    <n v="0"/>
    <n v="439536290.94"/>
    <m/>
    <m/>
    <m/>
    <m/>
    <m/>
    <m/>
    <m/>
    <m/>
    <m/>
    <m/>
    <m/>
    <m/>
    <m/>
    <m/>
    <m/>
    <m/>
    <m/>
    <m/>
    <m/>
    <m/>
    <m/>
    <m/>
    <m/>
    <m/>
    <n v="31720942.420000002"/>
    <n v="25151350.02"/>
    <n v="32978749.399999999"/>
    <n v="24458656.5"/>
    <n v="28006750.5"/>
    <n v="26827787.199999999"/>
    <n v="25164890"/>
    <n v="26699950"/>
    <n v="119935631.2"/>
    <n v="26493613.199999999"/>
    <n v="39512595.899999999"/>
    <n v="32585374.600000001"/>
  </r>
  <r>
    <s v="10"/>
    <s v="Electric"/>
    <x v="1"/>
    <x v="13"/>
    <x v="8"/>
    <x v="4"/>
    <x v="0"/>
    <n v="0"/>
    <n v="1375441.79"/>
    <n v="0"/>
    <m/>
    <m/>
    <m/>
    <m/>
    <m/>
    <m/>
    <m/>
    <m/>
    <m/>
    <m/>
    <m/>
    <m/>
    <n v="147570.07999999999"/>
    <n v="123396.02"/>
    <n v="122320.55333333333"/>
    <n v="120424.93"/>
    <n v="99070.133333333331"/>
    <n v="93782.433333333334"/>
    <n v="84289.96"/>
    <n v="130438.36"/>
    <n v="103162.91333333333"/>
    <n v="128668.84"/>
    <n v="122849.34666666666"/>
    <n v="99468.22"/>
    <m/>
    <m/>
    <m/>
    <m/>
    <m/>
    <m/>
    <m/>
    <m/>
    <m/>
    <m/>
    <m/>
    <m/>
  </r>
  <r>
    <s v="10"/>
    <s v="Electric"/>
    <x v="1"/>
    <x v="13"/>
    <x v="8"/>
    <x v="21"/>
    <x v="0"/>
    <n v="0"/>
    <n v="135333.88800000001"/>
    <n v="37778685.689999998"/>
    <m/>
    <m/>
    <m/>
    <m/>
    <m/>
    <m/>
    <m/>
    <m/>
    <m/>
    <m/>
    <m/>
    <m/>
    <n v="11093.216"/>
    <n v="12728.88"/>
    <n v="8303.4"/>
    <n v="8959.6"/>
    <n v="19965.712"/>
    <n v="7262.7839999999997"/>
    <n v="11005.828"/>
    <n v="9169.52"/>
    <n v="11877.444"/>
    <n v="11394.316000000001"/>
    <n v="11886.124"/>
    <n v="11687.064"/>
    <n v="2778273.75"/>
    <n v="3879177.1009999998"/>
    <n v="2080957.2290000001"/>
    <n v="2494888.165"/>
    <n v="6392150.375"/>
    <n v="1602196.9040000001"/>
    <n v="3294938.5619999999"/>
    <n v="2733577.8810000001"/>
    <n v="3846032.3560000001"/>
    <n v="2845146.094"/>
    <n v="2916823.9559999998"/>
    <n v="2914523.3169999998"/>
  </r>
  <r>
    <s v="10"/>
    <s v="Electric"/>
    <x v="1"/>
    <x v="13"/>
    <x v="8"/>
    <x v="5"/>
    <x v="0"/>
    <n v="0"/>
    <n v="0"/>
    <n v="788006218.0029999"/>
    <m/>
    <m/>
    <m/>
    <m/>
    <m/>
    <m/>
    <m/>
    <m/>
    <m/>
    <m/>
    <m/>
    <m/>
    <m/>
    <m/>
    <m/>
    <m/>
    <m/>
    <m/>
    <m/>
    <m/>
    <m/>
    <m/>
    <m/>
    <m/>
    <n v="67612574.726999998"/>
    <n v="56771307.450000003"/>
    <n v="77569040.240999997"/>
    <n v="60125975.347000003"/>
    <n v="71768846.843999997"/>
    <n v="62656064.425999999"/>
    <n v="57023016.527999997"/>
    <n v="56931746.972000003"/>
    <n v="68134499.802000001"/>
    <n v="56725213.774999999"/>
    <n v="85561351.856000006"/>
    <n v="67126580.034999996"/>
  </r>
  <r>
    <s v="10"/>
    <s v="Electric"/>
    <x v="1"/>
    <x v="13"/>
    <x v="8"/>
    <x v="5"/>
    <x v="226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7"/>
    <n v="59780.869999999995"/>
    <n v="0"/>
    <n v="0"/>
    <n v="-49134.89"/>
    <n v="108915.76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7"/>
    <n v="28660907.27"/>
    <n v="0"/>
    <n v="0"/>
    <n v="3872550.16"/>
    <n v="3100429.94"/>
    <n v="4386063.8099999996"/>
    <n v="3399763.25"/>
    <n v="4058097.64"/>
    <n v="3542824.52"/>
    <n v="3224309.43"/>
    <n v="2319950.1"/>
    <n v="717222.72"/>
    <n v="121751.34"/>
    <n v="100.52"/>
    <n v="-82156.16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8"/>
    <n v="15865341.020000001"/>
    <n v="0"/>
    <n v="0"/>
    <m/>
    <m/>
    <m/>
    <m/>
    <m/>
    <m/>
    <m/>
    <n v="900868.36"/>
    <n v="3141196.69"/>
    <n v="3091449.24"/>
    <n v="4846864.33"/>
    <n v="388496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8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6"/>
    <x v="29"/>
    <n v="394200.67"/>
    <n v="0"/>
    <n v="0"/>
    <n v="35079.980000000003"/>
    <n v="28995.919999999998"/>
    <n v="36989.4"/>
    <n v="26853.56"/>
    <n v="34400.82"/>
    <n v="29563.68"/>
    <n v="28544.54"/>
    <n v="29472.92"/>
    <n v="34422.44"/>
    <n v="30170.85"/>
    <n v="43179.56"/>
    <n v="365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7"/>
    <x v="5"/>
    <n v="710420.35"/>
    <n v="0"/>
    <n v="0"/>
    <m/>
    <m/>
    <m/>
    <m/>
    <m/>
    <m/>
    <m/>
    <n v="42795.86"/>
    <n v="136815.22"/>
    <n v="147513.82"/>
    <n v="221759.47"/>
    <n v="161535.98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7"/>
    <x v="6"/>
    <n v="1416366.8399999999"/>
    <n v="0"/>
    <n v="0"/>
    <n v="182664.85"/>
    <n v="158705.46"/>
    <n v="206010.44"/>
    <n v="168609.7"/>
    <n v="200974.87"/>
    <n v="192457.53"/>
    <n v="156019.74"/>
    <n v="118081.36"/>
    <n v="17501.490000000002"/>
    <n v="8331.1299999999992"/>
    <n v="7010.27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8"/>
    <x v="7"/>
    <n v="15900.35"/>
    <n v="0"/>
    <n v="0"/>
    <n v="15026.4"/>
    <n v="493.11"/>
    <n v="380.8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8"/>
    <x v="8"/>
    <n v="320011.69999999995"/>
    <n v="0"/>
    <n v="0"/>
    <n v="11483.55"/>
    <n v="23257.55"/>
    <n v="30463.88"/>
    <n v="25262.75"/>
    <n v="30111.98"/>
    <n v="28835.8"/>
    <n v="23376.34"/>
    <n v="25198.45"/>
    <n v="26619.46"/>
    <n v="27121.98"/>
    <n v="39946.800000000003"/>
    <n v="28333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9"/>
    <x v="9"/>
    <n v="-31788.25"/>
    <n v="0"/>
    <n v="0"/>
    <n v="-8642.7199999999993"/>
    <n v="-7509.15"/>
    <n v="-9747.2900000000009"/>
    <n v="-5388"/>
    <n v="-477.63"/>
    <n v="-23.4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9"/>
    <x v="10"/>
    <n v="-87005.59"/>
    <n v="0"/>
    <n v="0"/>
    <m/>
    <m/>
    <m/>
    <n v="-3021.25"/>
    <n v="-10536.71"/>
    <n v="-10596.34"/>
    <n v="-8612.4"/>
    <n v="-9283.64"/>
    <n v="-9807.2099999999991"/>
    <n v="-9992.34"/>
    <n v="-14717.2"/>
    <n v="-10438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0"/>
    <x v="11"/>
    <n v="-4519.01"/>
    <n v="0"/>
    <n v="0"/>
    <n v="-1813.21"/>
    <n v="-2247.23"/>
    <n v="-436.6"/>
    <n v="-21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1"/>
    <x v="12"/>
    <n v="-22843.119999999999"/>
    <n v="0"/>
    <n v="0"/>
    <m/>
    <m/>
    <m/>
    <n v="-793.24"/>
    <n v="-2766.35"/>
    <n v="-2781.97"/>
    <n v="-2261.15"/>
    <n v="-2437.38"/>
    <n v="-2574.91"/>
    <n v="-2623.47"/>
    <n v="-3864.04"/>
    <n v="-2740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1"/>
    <x v="13"/>
    <n v="-21764.9"/>
    <n v="0"/>
    <n v="0"/>
    <n v="-5917.56"/>
    <n v="-5141.32"/>
    <n v="-6673.82"/>
    <n v="-3689.14"/>
    <n v="-326.99"/>
    <n v="-16.0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3"/>
    <x v="16"/>
    <n v="-613272.35999999987"/>
    <n v="0"/>
    <n v="0"/>
    <n v="-49831.81"/>
    <n v="-43295.61"/>
    <n v="-56200.67"/>
    <n v="-45997.53"/>
    <n v="-54826.87"/>
    <n v="-52503.3"/>
    <n v="-42562.93"/>
    <n v="-45880.47"/>
    <n v="-48467.97"/>
    <n v="-49383.03"/>
    <n v="-72733.84"/>
    <n v="-51588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4"/>
    <x v="17"/>
    <n v="-327332.77"/>
    <n v="0"/>
    <n v="0"/>
    <n v="-88996.51"/>
    <n v="-77323.31"/>
    <n v="-100370.89"/>
    <n v="-55482.27"/>
    <n v="-4918.18"/>
    <n v="-241.6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4"/>
    <x v="18"/>
    <n v="-837134.5"/>
    <n v="0"/>
    <n v="0"/>
    <m/>
    <m/>
    <m/>
    <n v="-29069.360000000001"/>
    <n v="-101379.7"/>
    <n v="-101954.04"/>
    <n v="-82864.7"/>
    <n v="-89323.61"/>
    <n v="-94361.05"/>
    <n v="-96142.46"/>
    <n v="-141603.57"/>
    <n v="-100436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5"/>
    <x v="19"/>
    <n v="549308.28999999992"/>
    <n v="0"/>
    <n v="0"/>
    <n v="45684.480000000003"/>
    <n v="43186.11"/>
    <n v="47480.93"/>
    <n v="42829.2"/>
    <n v="48182.85"/>
    <n v="45327.57"/>
    <n v="40687.74"/>
    <n v="46041.39"/>
    <n v="42484.19"/>
    <n v="44256.84"/>
    <n v="55677.96"/>
    <n v="47469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0"/>
    <n v="1429606.35"/>
    <n v="0"/>
    <n v="0"/>
    <n v="511618.81"/>
    <n v="13155.2"/>
    <n v="15248.61"/>
    <n v="0"/>
    <m/>
    <m/>
    <n v="283139.59000000003"/>
    <n v="489769.24"/>
    <n v="69629.11"/>
    <n v="29172.86"/>
    <n v="17872.93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1"/>
    <n v="4247008.67"/>
    <n v="0"/>
    <n v="0"/>
    <m/>
    <m/>
    <m/>
    <m/>
    <m/>
    <m/>
    <m/>
    <n v="281966.84000000003"/>
    <n v="826985.6"/>
    <n v="877022.82"/>
    <n v="1275773.6299999999"/>
    <n v="985259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2"/>
    <n v="7516753.2299999986"/>
    <n v="0"/>
    <n v="0"/>
    <n v="508951.16"/>
    <n v="1065205.44"/>
    <n v="1349303.87"/>
    <n v="1125419.69"/>
    <n v="1378914.69"/>
    <n v="1255138.72"/>
    <n v="644345.25"/>
    <n v="171771.34"/>
    <n v="10759.55"/>
    <m/>
    <n v="6943.5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"/>
    <x v="0"/>
    <n v="0"/>
    <n v="0"/>
    <n v="293086935.5"/>
    <m/>
    <m/>
    <m/>
    <m/>
    <m/>
    <m/>
    <m/>
    <m/>
    <m/>
    <m/>
    <m/>
    <m/>
    <m/>
    <m/>
    <m/>
    <m/>
    <m/>
    <m/>
    <m/>
    <m/>
    <m/>
    <m/>
    <m/>
    <m/>
    <n v="24560000"/>
    <n v="19805699.199999999"/>
    <n v="27069813.879999999"/>
    <n v="21313436.52"/>
    <n v="23680330"/>
    <n v="24873590"/>
    <n v="19572810"/>
    <n v="22776139.600000001"/>
    <n v="24306700"/>
    <n v="24375250"/>
    <n v="35265615.539999999"/>
    <n v="25487550.760000002"/>
  </r>
  <r>
    <s v="10"/>
    <s v="Electric"/>
    <x v="1"/>
    <x v="14"/>
    <x v="8"/>
    <x v="4"/>
    <x v="0"/>
    <n v="0"/>
    <n v="1117720.06"/>
    <n v="0"/>
    <m/>
    <m/>
    <m/>
    <m/>
    <m/>
    <m/>
    <m/>
    <m/>
    <m/>
    <m/>
    <m/>
    <m/>
    <n v="93668.46"/>
    <n v="76655.34"/>
    <n v="72520.2"/>
    <n v="83578.02"/>
    <n v="103669.8"/>
    <n v="98530.73"/>
    <n v="79483.7"/>
    <n v="94224.639999999999"/>
    <n v="91780.56"/>
    <n v="90266.08"/>
    <n v="133553.04"/>
    <n v="99789.49"/>
    <m/>
    <m/>
    <m/>
    <m/>
    <m/>
    <m/>
    <m/>
    <m/>
    <m/>
    <m/>
    <m/>
    <m/>
  </r>
  <r>
    <s v="10"/>
    <s v="Electric"/>
    <x v="1"/>
    <x v="14"/>
    <x v="8"/>
    <x v="21"/>
    <x v="0"/>
    <n v="0"/>
    <n v="42757.473999999995"/>
    <n v="30853181.515999995"/>
    <m/>
    <m/>
    <m/>
    <m/>
    <m/>
    <m/>
    <m/>
    <m/>
    <m/>
    <m/>
    <m/>
    <m/>
    <n v="4394.2839999999997"/>
    <n v="8360.8799999999992"/>
    <n v="325.762"/>
    <n v="3578.7640000000001"/>
    <n v="6379.26"/>
    <n v="362.40600000000001"/>
    <n v="3481.9079999999999"/>
    <n v="3769.748"/>
    <n v="1810.2819999999999"/>
    <n v="3597.3760000000002"/>
    <n v="3926.3919999999998"/>
    <n v="2770.4119999999998"/>
    <n v="2994504.8879999998"/>
    <n v="4597680.8609999996"/>
    <n v="173921.76699999999"/>
    <n v="2061940.8689999999"/>
    <n v="3271093.6260000002"/>
    <n v="597304.89500000002"/>
    <n v="2635261.3110000002"/>
    <n v="2489351.8190000001"/>
    <n v="2718210.8730000001"/>
    <n v="2646283.9300000002"/>
    <n v="4011190.1979999999"/>
    <n v="2656436.4789999998"/>
  </r>
  <r>
    <s v="10"/>
    <s v="Electric"/>
    <x v="1"/>
    <x v="14"/>
    <x v="8"/>
    <x v="5"/>
    <x v="0"/>
    <n v="0"/>
    <n v="0"/>
    <n v="479119065.00199991"/>
    <m/>
    <m/>
    <m/>
    <m/>
    <m/>
    <m/>
    <m/>
    <m/>
    <m/>
    <m/>
    <m/>
    <m/>
    <m/>
    <m/>
    <m/>
    <m/>
    <m/>
    <m/>
    <m/>
    <m/>
    <m/>
    <m/>
    <m/>
    <m/>
    <n v="38931128.593000002"/>
    <n v="33824704.858999997"/>
    <n v="43906756.847000003"/>
    <n v="35935563.530000001"/>
    <n v="42833523.412"/>
    <n v="41018234.329000004"/>
    <n v="33252301.905999999"/>
    <n v="35844144.476999998"/>
    <n v="37865596.794"/>
    <n v="38580442.140000001"/>
    <n v="56823287.807999998"/>
    <n v="40303380.306999996"/>
  </r>
  <r>
    <s v="10"/>
    <s v="Electric"/>
    <x v="1"/>
    <x v="14"/>
    <x v="8"/>
    <x v="5"/>
    <x v="27"/>
    <n v="17068852.32"/>
    <n v="0"/>
    <n v="0"/>
    <n v="2201321.7200000002"/>
    <n v="1912584.11"/>
    <n v="2482663.65"/>
    <n v="2031940.47"/>
    <n v="2421978.75"/>
    <n v="2319335.0299999998"/>
    <n v="1880218.18"/>
    <n v="1423015.85"/>
    <n v="210912.99"/>
    <n v="100399.63"/>
    <n v="84481.94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5"/>
    <x v="28"/>
    <n v="10041067.33"/>
    <n v="0"/>
    <n v="0"/>
    <m/>
    <m/>
    <m/>
    <m/>
    <m/>
    <m/>
    <m/>
    <n v="604876.59"/>
    <n v="1933743.53"/>
    <n v="2084957.43"/>
    <n v="3134343.54"/>
    <n v="2283146.24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6"/>
    <x v="29"/>
    <n v="342142.79"/>
    <n v="0"/>
    <n v="0"/>
    <n v="29233.29"/>
    <n v="25467.85"/>
    <n v="28968.34"/>
    <n v="24436.06"/>
    <n v="28554.01"/>
    <n v="26646.07"/>
    <n v="23386.76"/>
    <n v="26840.75"/>
    <n v="28543.19"/>
    <n v="28589.279999999999"/>
    <n v="41852.25"/>
    <n v="29624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7"/>
    <x v="230"/>
    <n v="9163.5999999999985"/>
    <n v="0"/>
    <n v="0"/>
    <m/>
    <m/>
    <m/>
    <m/>
    <m/>
    <m/>
    <m/>
    <m/>
    <n v="2197.23"/>
    <n v="2126.56"/>
    <n v="2594.9299999999998"/>
    <n v="2244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7"/>
    <x v="231"/>
    <n v="3792.62"/>
    <n v="0"/>
    <n v="0"/>
    <n v="2693.61"/>
    <n v="10.37"/>
    <n v="12.44"/>
    <n v="8.2899999999999991"/>
    <n v="12.44"/>
    <n v="10.37"/>
    <n v="10.37"/>
    <n v="1034.7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8"/>
    <x v="232"/>
    <n v="328.16"/>
    <n v="0"/>
    <n v="0"/>
    <n v="328.12"/>
    <n v="0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8"/>
    <x v="233"/>
    <n v="1839.08"/>
    <n v="0"/>
    <n v="0"/>
    <m/>
    <n v="1.46"/>
    <n v="1.81"/>
    <n v="1.21"/>
    <n v="1.81"/>
    <n v="1.5"/>
    <n v="1.5"/>
    <n v="150.30000000000001"/>
    <n v="402.7"/>
    <n v="389.75"/>
    <n v="475.6"/>
    <n v="411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9"/>
    <x v="9"/>
    <n v="-175.05"/>
    <n v="0"/>
    <n v="0"/>
    <n v="-173.03"/>
    <n v="-0.67"/>
    <n v="-0.8"/>
    <n v="-0.53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9"/>
    <x v="10"/>
    <n v="-946.52"/>
    <n v="0"/>
    <n v="0"/>
    <m/>
    <m/>
    <m/>
    <m/>
    <n v="-0.9"/>
    <n v="-0.78"/>
    <n v="-0.78"/>
    <n v="-77.540000000000006"/>
    <n v="-207.77"/>
    <n v="-201.09"/>
    <n v="-245.38"/>
    <n v="-212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0"/>
    <x v="11"/>
    <n v="-0.34"/>
    <n v="0"/>
    <n v="0"/>
    <m/>
    <n v="-0.32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1"/>
    <x v="234"/>
    <n v="-182.72"/>
    <n v="0"/>
    <n v="0"/>
    <m/>
    <m/>
    <m/>
    <m/>
    <n v="-0.17"/>
    <n v="-0.15"/>
    <n v="-0.15"/>
    <n v="-14.97"/>
    <n v="-40.11"/>
    <n v="-38.82"/>
    <n v="-47.37"/>
    <n v="-40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1"/>
    <x v="235"/>
    <n v="-106.45999999999998"/>
    <n v="0"/>
    <n v="0"/>
    <n v="-105.22"/>
    <n v="-0.41"/>
    <n v="-0.49"/>
    <n v="-0.32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2"/>
    <x v="14"/>
    <n v="-24889.829999999998"/>
    <n v="0"/>
    <n v="0"/>
    <m/>
    <n v="-19.71"/>
    <n v="-24.46"/>
    <n v="-16.309999999999999"/>
    <n v="-24.46"/>
    <n v="-20.38"/>
    <n v="-20.38"/>
    <n v="-2034.12"/>
    <n v="-5450.15"/>
    <n v="-5274.86"/>
    <n v="-6436.64"/>
    <n v="-5568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2"/>
    <x v="15"/>
    <n v="-7232.97"/>
    <n v="0"/>
    <n v="0"/>
    <n v="-7232.05"/>
    <n v="-0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3"/>
    <x v="236"/>
    <n v="-4945.0600000000004"/>
    <n v="0"/>
    <n v="0"/>
    <n v="-867.47"/>
    <n v="-3.34"/>
    <n v="-4.01"/>
    <n v="-2.67"/>
    <n v="-4.01"/>
    <n v="-3.34"/>
    <n v="-3.34"/>
    <n v="-333.23"/>
    <n v="-892.85"/>
    <n v="-864.13"/>
    <n v="-1054.46"/>
    <n v="-912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4"/>
    <x v="237"/>
    <n v="-6742.53"/>
    <n v="0"/>
    <n v="0"/>
    <m/>
    <m/>
    <m/>
    <m/>
    <n v="-6.43"/>
    <n v="-5.54"/>
    <n v="-5.54"/>
    <n v="-552.39"/>
    <n v="-1480.06"/>
    <n v="-1432.46"/>
    <n v="-1747.95"/>
    <n v="-1512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4"/>
    <x v="238"/>
    <n v="-1605.4199999999998"/>
    <n v="0"/>
    <n v="0"/>
    <n v="-1586.86"/>
    <n v="-6.11"/>
    <n v="-7.33"/>
    <n v="-4.8899999999999997"/>
    <n v="-0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5"/>
    <x v="19"/>
    <n v="4282.9199999999992"/>
    <n v="0"/>
    <n v="0"/>
    <n v="356.91"/>
    <n v="356.91"/>
    <n v="356.91"/>
    <n v="356.91"/>
    <n v="356.91"/>
    <n v="356.91"/>
    <n v="356.91"/>
    <n v="356.91"/>
    <n v="356.91"/>
    <n v="356.91"/>
    <n v="356.91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3"/>
    <x v="0"/>
    <n v="0"/>
    <n v="0"/>
    <n v="2375400"/>
    <m/>
    <m/>
    <m/>
    <m/>
    <m/>
    <m/>
    <m/>
    <m/>
    <m/>
    <m/>
    <m/>
    <m/>
    <m/>
    <m/>
    <m/>
    <m/>
    <m/>
    <m/>
    <m/>
    <m/>
    <m/>
    <m/>
    <m/>
    <m/>
    <n v="439200"/>
    <n v="4200"/>
    <n v="4200"/>
    <n v="3600"/>
    <n v="4200"/>
    <n v="4200"/>
    <n v="3600"/>
    <n v="131400"/>
    <n v="417600"/>
    <n v="410400"/>
    <n v="516600"/>
    <n v="436200"/>
  </r>
  <r>
    <s v="10"/>
    <s v="Electric"/>
    <x v="6"/>
    <x v="15"/>
    <x v="9"/>
    <x v="4"/>
    <x v="0"/>
    <n v="0"/>
    <n v="8303.9999999999982"/>
    <n v="0"/>
    <m/>
    <m/>
    <m/>
    <m/>
    <m/>
    <m/>
    <m/>
    <m/>
    <m/>
    <m/>
    <m/>
    <m/>
    <n v="1500"/>
    <n v="184.8"/>
    <n v="4.8"/>
    <n v="4.8"/>
    <n v="4.8"/>
    <n v="4.8"/>
    <n v="4.8"/>
    <n v="988.8"/>
    <n v="1238.4000000000001"/>
    <n v="1449.6"/>
    <n v="1461.6"/>
    <n v="1456.8"/>
    <m/>
    <m/>
    <m/>
    <m/>
    <m/>
    <m/>
    <m/>
    <m/>
    <m/>
    <m/>
    <m/>
    <m/>
  </r>
  <r>
    <s v="10"/>
    <s v="Electric"/>
    <x v="6"/>
    <x v="15"/>
    <x v="9"/>
    <x v="20"/>
    <x v="239"/>
    <n v="24223.059999999998"/>
    <n v="0"/>
    <n v="0"/>
    <n v="4485"/>
    <n v="18.420000000000002"/>
    <m/>
    <m/>
    <m/>
    <m/>
    <m/>
    <n v="2956.51"/>
    <n v="3702.82"/>
    <n v="4334.3"/>
    <n v="4370.18"/>
    <n v="4355.8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20"/>
    <x v="240"/>
    <n v="909.8399999999998"/>
    <n v="0"/>
    <n v="0"/>
    <m/>
    <n v="802.09"/>
    <n v="21.55"/>
    <n v="21.55"/>
    <n v="21.55"/>
    <n v="21.55"/>
    <n v="21.5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5"/>
    <x v="0"/>
    <n v="0"/>
    <n v="0"/>
    <n v="4443000"/>
    <m/>
    <m/>
    <m/>
    <m/>
    <m/>
    <m/>
    <m/>
    <m/>
    <m/>
    <m/>
    <m/>
    <m/>
    <m/>
    <m/>
    <m/>
    <m/>
    <m/>
    <m/>
    <m/>
    <m/>
    <m/>
    <m/>
    <m/>
    <m/>
    <n v="779400"/>
    <n v="3000"/>
    <n v="3600"/>
    <n v="2400"/>
    <n v="3600"/>
    <n v="3000"/>
    <n v="3000"/>
    <n v="299400"/>
    <n v="802200"/>
    <n v="776400"/>
    <n v="947400"/>
    <n v="819600"/>
  </r>
  <r>
    <s v="10"/>
    <s v="Electric"/>
    <x v="6"/>
    <x v="15"/>
    <x v="9"/>
    <x v="5"/>
    <x v="241"/>
    <n v="181237.84"/>
    <n v="0"/>
    <n v="0"/>
    <m/>
    <m/>
    <m/>
    <m/>
    <m/>
    <m/>
    <m/>
    <m/>
    <n v="43456.78"/>
    <n v="42059.14"/>
    <n v="51322.55"/>
    <n v="44399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5"/>
    <x v="242"/>
    <n v="59467.020000000011"/>
    <n v="0"/>
    <n v="0"/>
    <n v="42234.91"/>
    <n v="162.57"/>
    <n v="195.08"/>
    <n v="130.05000000000001"/>
    <n v="195.08"/>
    <n v="162.57"/>
    <n v="162.57"/>
    <n v="16224.1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6"/>
    <x v="243"/>
    <n v="2544.06"/>
    <n v="0"/>
    <n v="0"/>
    <n v="474.34"/>
    <n v="4.54"/>
    <m/>
    <m/>
    <m/>
    <m/>
    <m/>
    <n v="141.91"/>
    <n v="451.01"/>
    <n v="443.23"/>
    <n v="557.92999999999995"/>
    <n v="471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7"/>
    <x v="244"/>
    <n v="887533.59000000008"/>
    <n v="0"/>
    <n v="0"/>
    <m/>
    <m/>
    <m/>
    <m/>
    <m/>
    <m/>
    <m/>
    <n v="63479.82"/>
    <n v="125457.03"/>
    <n v="201270.39"/>
    <n v="293883.07"/>
    <n v="203443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7"/>
    <x v="245"/>
    <n v="1942040.06"/>
    <n v="0"/>
    <n v="0"/>
    <n v="247420.69"/>
    <n v="206578.14"/>
    <n v="315663.3"/>
    <n v="276310.59999999998"/>
    <n v="240445.76"/>
    <n v="175170.51"/>
    <n v="228430.29"/>
    <n v="180494.36"/>
    <n v="70055.33"/>
    <n v="1471.0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8"/>
    <x v="246"/>
    <n v="16862.27"/>
    <n v="0"/>
    <n v="0"/>
    <n v="15793.11"/>
    <n v="411.75"/>
    <n v="657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8"/>
    <x v="247"/>
    <n v="334905.60999999993"/>
    <n v="0"/>
    <n v="0"/>
    <n v="10982.14"/>
    <n v="23205.31"/>
    <n v="35428.120000000003"/>
    <n v="31643.73"/>
    <n v="27536.37"/>
    <n v="20060.830000000002"/>
    <n v="26160.36"/>
    <n v="30042.16"/>
    <n v="26544.02"/>
    <n v="29882.1"/>
    <n v="43386.06"/>
    <n v="30034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9"/>
    <x v="248"/>
    <n v="-18869.93"/>
    <n v="0"/>
    <n v="0"/>
    <n v="-4957.5200000000004"/>
    <n v="-4139.12"/>
    <n v="-6324.88"/>
    <n v="-3379.56"/>
    <n v="-68.84999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9"/>
    <x v="249"/>
    <n v="-62281.84"/>
    <n v="0"/>
    <n v="0"/>
    <m/>
    <m/>
    <m/>
    <n v="-3126.34"/>
    <n v="-6883.76"/>
    <n v="-5087.62"/>
    <n v="-6634.55"/>
    <n v="-7619.08"/>
    <n v="-6731.86"/>
    <n v="-7578.44"/>
    <n v="-11003.16"/>
    <n v="-7617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0"/>
    <x v="250"/>
    <n v="-3997.42"/>
    <n v="0"/>
    <n v="0"/>
    <n v="-1463.12"/>
    <n v="-1990.13"/>
    <n v="-544.16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1"/>
    <x v="251"/>
    <n v="-31535.199999999997"/>
    <n v="0"/>
    <n v="0"/>
    <m/>
    <m/>
    <m/>
    <n v="-1583.01"/>
    <n v="-3485.46"/>
    <n v="-2576.0500000000002"/>
    <n v="-3359.29"/>
    <n v="-3857.73"/>
    <n v="-3408.53"/>
    <n v="-3837.17"/>
    <n v="-5571.19"/>
    <n v="-3856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1"/>
    <x v="252"/>
    <n v="-29257.229999999996"/>
    <n v="0"/>
    <n v="0"/>
    <n v="-7686.44"/>
    <n v="-6417.66"/>
    <n v="-9806.48"/>
    <n v="-5239.87"/>
    <n v="-106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4"/>
    <x v="253"/>
    <n v="-441107.38"/>
    <n v="0"/>
    <n v="0"/>
    <n v="-115887.46"/>
    <n v="-96757.54"/>
    <n v="-147851.14000000001"/>
    <n v="-79001.19"/>
    <n v="-161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4"/>
    <x v="254"/>
    <n v="-1156158.3199999998"/>
    <n v="0"/>
    <n v="0"/>
    <m/>
    <m/>
    <m/>
    <n v="-58035.98"/>
    <n v="-127784.05"/>
    <n v="-94443.95"/>
    <n v="-123159.21"/>
    <n v="-141434.32"/>
    <n v="-124966.33"/>
    <n v="-140680.79999999999"/>
    <n v="-204255.74"/>
    <n v="-141397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6"/>
    <x v="255"/>
    <n v="-803876.57999999984"/>
    <n v="0"/>
    <n v="0"/>
    <n v="-64447.72"/>
    <n v="-53809.08"/>
    <n v="-82223.38"/>
    <n v="-71972.789999999994"/>
    <n v="-62630.79"/>
    <n v="-45628.07"/>
    <n v="-59501.05"/>
    <n v="-68330.17"/>
    <n v="-60374.080000000002"/>
    <n v="-67966.179999999993"/>
    <n v="-98680.65"/>
    <n v="-68312.6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51"/>
    <n v="24909.93"/>
    <n v="0"/>
    <n v="0"/>
    <n v="2007.99"/>
    <n v="2007.99"/>
    <n v="2062.2600000000002"/>
    <n v="1953.72"/>
    <n v="2116.5300000000002"/>
    <n v="2116.5300000000002"/>
    <n v="1736.64"/>
    <n v="1953.72"/>
    <n v="1953.72"/>
    <n v="2225.0700000000002"/>
    <n v="2442.15"/>
    <n v="233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87"/>
    <n v="87152.94"/>
    <n v="0"/>
    <n v="0"/>
    <n v="7400.82"/>
    <n v="7400.82"/>
    <n v="7290.36"/>
    <n v="7290.36"/>
    <n v="7290.36"/>
    <n v="5081.16"/>
    <n v="6738.06"/>
    <n v="6296.22"/>
    <n v="8505.42"/>
    <n v="7290.36"/>
    <n v="9720.48"/>
    <n v="6848.5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19"/>
    <n v="129558.32999999999"/>
    <n v="0"/>
    <n v="0"/>
    <n v="11064.21"/>
    <n v="8922.75"/>
    <n v="12491.85"/>
    <n v="10707.3"/>
    <n v="9993.48"/>
    <n v="8208.93"/>
    <n v="9993.48"/>
    <n v="10350.39"/>
    <n v="9993.48"/>
    <n v="11064.21"/>
    <n v="15347.13"/>
    <n v="11421.1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6"/>
    <n v="360938.93"/>
    <n v="0"/>
    <n v="0"/>
    <n v="18002.05"/>
    <n v="15950.79"/>
    <n v="17708.52"/>
    <n v="16427.349999999999"/>
    <n v="17515.13"/>
    <n v="13188.16"/>
    <n v="15602"/>
    <n v="14652.35"/>
    <n v="14521.13"/>
    <n v="16030.22"/>
    <n v="25388.67"/>
    <n v="175952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7"/>
    <n v="43622.57"/>
    <n v="0"/>
    <n v="0"/>
    <n v="2311.25"/>
    <n v="2474.17"/>
    <n v="2527.41"/>
    <n v="1949.91"/>
    <n v="2689.35"/>
    <n v="2483.0500000000002"/>
    <n v="1184.02"/>
    <n v="2173.33"/>
    <n v="1373.54"/>
    <n v="2614.83"/>
    <n v="4014.05"/>
    <n v="17827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8"/>
    <n v="146842.72999999998"/>
    <n v="0"/>
    <n v="0"/>
    <n v="13127.8"/>
    <m/>
    <n v="25312.29"/>
    <m/>
    <n v="12498.93"/>
    <n v="13127.8"/>
    <n v="12341.71"/>
    <n v="25469.51"/>
    <m/>
    <n v="14542.78"/>
    <n v="30421.9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9"/>
    <n v="15874.75"/>
    <n v="0"/>
    <n v="0"/>
    <n v="1298.73"/>
    <n v="1319.62"/>
    <n v="1398.96"/>
    <n v="1280.6400000000001"/>
    <n v="1326.58"/>
    <n v="874.18"/>
    <n v="1293.17"/>
    <m/>
    <n v="1711.47"/>
    <n v="1816.22"/>
    <n v="2249.48"/>
    <n v="1305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0"/>
    <n v="62647.69"/>
    <n v="0"/>
    <n v="0"/>
    <n v="5542.25"/>
    <n v="5039.6400000000003"/>
    <n v="4782.5600000000004"/>
    <n v="4554.72"/>
    <n v="4413.13"/>
    <n v="4773.6000000000004"/>
    <n v="3835.07"/>
    <n v="6715.17"/>
    <n v="3476.64"/>
    <n v="7883.01"/>
    <n v="5701.04"/>
    <n v="5930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1"/>
    <n v="814135.69000000006"/>
    <n v="0"/>
    <n v="0"/>
    <n v="68752.69"/>
    <n v="53929.08"/>
    <n v="84001.81"/>
    <n v="69239.11"/>
    <n v="59557.31"/>
    <n v="44907.99"/>
    <n v="54469.53"/>
    <n v="81623.47"/>
    <n v="71618.039999999994"/>
    <n v="66611.77"/>
    <n v="113475.9"/>
    <n v="45948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2"/>
    <n v="87388.090000000011"/>
    <n v="0"/>
    <n v="0"/>
    <n v="7048.34"/>
    <n v="6509.53"/>
    <n v="6239.25"/>
    <n v="11717.93"/>
    <n v="145.83000000000001"/>
    <n v="5850.7"/>
    <n v="13293.9"/>
    <n v="7056.81"/>
    <n v="7230.45"/>
    <n v="7401.68"/>
    <n v="7576.93"/>
    <n v="7316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3"/>
    <n v="100923.84"/>
    <n v="0"/>
    <n v="0"/>
    <n v="-9637.92"/>
    <n v="0"/>
    <n v="17280"/>
    <n v="19163.52"/>
    <n v="9132.48"/>
    <n v="0"/>
    <n v="9188.64"/>
    <n v="18463.68"/>
    <n v="0"/>
    <n v="9059.0400000000009"/>
    <n v="18826.560000000001"/>
    <n v="9447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4"/>
    <n v="20998.670000000002"/>
    <n v="0"/>
    <n v="0"/>
    <n v="1785.6"/>
    <m/>
    <n v="3785.47"/>
    <m/>
    <n v="1714.18"/>
    <n v="1571.33"/>
    <n v="1499.9"/>
    <n v="3428.36"/>
    <m/>
    <n v="1714.18"/>
    <n v="3785.47"/>
    <n v="1714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5"/>
    <n v="110328.18000000001"/>
    <n v="0"/>
    <n v="0"/>
    <n v="9619.14"/>
    <n v="8754.9699999999993"/>
    <n v="9321.5"/>
    <n v="9027.33"/>
    <n v="9173.67"/>
    <n v="8790.9599999999991"/>
    <n v="8706.61"/>
    <n v="5523.28"/>
    <n v="10311.9"/>
    <n v="10947.66"/>
    <n v="10510.16"/>
    <n v="96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6"/>
    <n v="209743.88999999998"/>
    <n v="0"/>
    <n v="0"/>
    <n v="18616.32"/>
    <n v="17607.939999999999"/>
    <n v="16172.93"/>
    <n v="15785.09"/>
    <n v="15746.3"/>
    <n v="16289.28"/>
    <n v="15668.74"/>
    <n v="18306.05"/>
    <n v="18228.48"/>
    <n v="18383.62"/>
    <n v="19159.3"/>
    <n v="19779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7"/>
    <n v="1075493.8600000001"/>
    <n v="0"/>
    <n v="0"/>
    <n v="110119.47"/>
    <n v="93794.97"/>
    <n v="95342.88"/>
    <n v="93153.67"/>
    <n v="88547.82"/>
    <n v="68998.320000000007"/>
    <n v="95270.54"/>
    <n v="58621.23"/>
    <n v="124193.84"/>
    <n v="99846.89"/>
    <n v="102241.69"/>
    <n v="45362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8"/>
    <n v="233378.88999999996"/>
    <n v="0"/>
    <n v="0"/>
    <n v="19071.57"/>
    <n v="20561.009999999998"/>
    <n v="23229.17"/>
    <n v="22388.15"/>
    <n v="23266.080000000002"/>
    <n v="9633.2099999999991"/>
    <n v="24858.240000000002"/>
    <n v="28657.919999999998"/>
    <n v="13262.12"/>
    <n v="19653.87"/>
    <n v="28797.5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69"/>
    <n v="1827729.5599999998"/>
    <n v="0"/>
    <n v="0"/>
    <n v="165464.21"/>
    <n v="111930.33"/>
    <n v="188747.49"/>
    <n v="148876.07999999999"/>
    <n v="109806.35"/>
    <n v="117096.85"/>
    <n v="148932.75"/>
    <n v="160465.56"/>
    <n v="147033.31"/>
    <n v="162302.62"/>
    <n v="233195.78"/>
    <n v="133878.23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0"/>
    <n v="2235893.1399999997"/>
    <n v="0"/>
    <n v="0"/>
    <n v="195559.58"/>
    <n v="187783.74"/>
    <n v="203043.46"/>
    <n v="198162.58"/>
    <n v="190185.95"/>
    <n v="130963.3"/>
    <n v="172843.01"/>
    <n v="190426.1"/>
    <n v="215806.5"/>
    <n v="199270.7"/>
    <n v="260832.76"/>
    <n v="91015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1"/>
    <n v="276843.03999999998"/>
    <n v="0"/>
    <n v="0"/>
    <n v="-18060.98"/>
    <n v="0"/>
    <n v="47820.67"/>
    <n v="43756.7"/>
    <n v="24640.28"/>
    <n v="3472.13"/>
    <n v="24295.03"/>
    <n v="49734.29"/>
    <n v="0"/>
    <n v="24472.59"/>
    <n v="51351.98"/>
    <n v="25360.3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2"/>
    <n v="176266.41"/>
    <n v="0"/>
    <n v="0"/>
    <n v="1104.98"/>
    <n v="1243.71"/>
    <n v="1242.52"/>
    <n v="751.13"/>
    <n v="1578.7"/>
    <n v="1220.7"/>
    <n v="389.89"/>
    <n v="1111.67"/>
    <n v="1101.1099999999999"/>
    <n v="1221.49"/>
    <n v="1625.17"/>
    <n v="163675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0"/>
    <n v="-62596.51"/>
    <n v="0"/>
    <n v="0"/>
    <n v="-5739.62"/>
    <n v="-5205.6099999999997"/>
    <n v="-5133.67"/>
    <n v="-4901.5"/>
    <n v="-4459.55"/>
    <n v="-4869.3900000000003"/>
    <n v="-3389.7"/>
    <n v="-6612.82"/>
    <n v="-2902.76"/>
    <n v="-7980.1"/>
    <n v="-5286.46"/>
    <n v="-611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"/>
    <x v="0"/>
    <n v="0"/>
    <n v="0"/>
    <n v="126269950"/>
    <m/>
    <m/>
    <m/>
    <m/>
    <m/>
    <m/>
    <m/>
    <m/>
    <m/>
    <m/>
    <m/>
    <m/>
    <m/>
    <m/>
    <m/>
    <m/>
    <m/>
    <m/>
    <m/>
    <m/>
    <m/>
    <m/>
    <m/>
    <m/>
    <n v="10764390.1"/>
    <n v="8357679.9000000004"/>
    <n v="11353300"/>
    <n v="10332093"/>
    <n v="8765807"/>
    <n v="5752981.2000000002"/>
    <n v="9701318.8000000007"/>
    <n v="10027610"/>
    <n v="10730864.4"/>
    <n v="11468115.6"/>
    <n v="16820110"/>
    <n v="12195680"/>
  </r>
  <r>
    <s v="10"/>
    <s v="Electric"/>
    <x v="7"/>
    <x v="16"/>
    <x v="10"/>
    <x v="4"/>
    <x v="0"/>
    <n v="0"/>
    <n v="1113220.0076666665"/>
    <n v="0"/>
    <m/>
    <m/>
    <m/>
    <m/>
    <m/>
    <m/>
    <m/>
    <m/>
    <m/>
    <m/>
    <m/>
    <m/>
    <n v="89509.71"/>
    <n v="78303.539999999994"/>
    <n v="77760.82666666666"/>
    <n v="97387.81"/>
    <n v="84691.36"/>
    <n v="65944.36"/>
    <n v="86110.930999999997"/>
    <n v="102646.951"/>
    <n v="92105.12"/>
    <n v="97302.430999999997"/>
    <n v="140423.90400000001"/>
    <n v="101033.064"/>
    <m/>
    <m/>
    <m/>
    <m/>
    <m/>
    <m/>
    <m/>
    <m/>
    <m/>
    <m/>
    <m/>
    <m/>
  </r>
  <r>
    <s v="10"/>
    <s v="Electric"/>
    <x v="7"/>
    <x v="16"/>
    <x v="10"/>
    <x v="34"/>
    <x v="0"/>
    <n v="0"/>
    <n v="0"/>
    <n v="567308690"/>
    <m/>
    <m/>
    <m/>
    <m/>
    <m/>
    <m/>
    <m/>
    <m/>
    <m/>
    <m/>
    <m/>
    <m/>
    <m/>
    <m/>
    <m/>
    <m/>
    <m/>
    <m/>
    <m/>
    <m/>
    <m/>
    <m/>
    <m/>
    <m/>
    <n v="45481740"/>
    <n v="37973930"/>
    <n v="58026350"/>
    <n v="50792400"/>
    <n v="44199590"/>
    <n v="32200460"/>
    <n v="41990860"/>
    <n v="48221720"/>
    <n v="42606970"/>
    <n v="47964820"/>
    <n v="69640540"/>
    <n v="48209310"/>
  </r>
  <r>
    <s v="10"/>
    <s v="Electric"/>
    <x v="7"/>
    <x v="16"/>
    <x v="10"/>
    <x v="34"/>
    <x v="273"/>
    <n v="6266794.79"/>
    <n v="0"/>
    <n v="0"/>
    <m/>
    <m/>
    <m/>
    <m/>
    <m/>
    <m/>
    <m/>
    <n v="506586.71"/>
    <n v="776274.53"/>
    <n v="1449967.19"/>
    <n v="2289876.66"/>
    <n v="124408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4"/>
    <n v="11151883.280000001"/>
    <n v="0"/>
    <n v="0"/>
    <n v="1377383.08"/>
    <n v="920076.47"/>
    <n v="2036165.2"/>
    <n v="1680242.33"/>
    <n v="1220204.1100000001"/>
    <n v="1052578.56"/>
    <n v="1431240.3"/>
    <n v="1066623.32"/>
    <n v="367369.9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5"/>
    <n v="6779869.0699999994"/>
    <n v="0"/>
    <n v="0"/>
    <m/>
    <m/>
    <m/>
    <m/>
    <m/>
    <m/>
    <m/>
    <n v="425172.2"/>
    <n v="1070541.02"/>
    <n v="1508002.92"/>
    <n v="2025064.22"/>
    <n v="1751088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6"/>
    <n v="11067765.01"/>
    <n v="0"/>
    <n v="0"/>
    <n v="1454483.69"/>
    <n v="1449778.27"/>
    <n v="1570163.32"/>
    <n v="1478918.15"/>
    <n v="1534637.67"/>
    <n v="950509.25"/>
    <n v="1179486.5900000001"/>
    <n v="997767.9"/>
    <n v="434988.57"/>
    <n v="17031.59999999999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40"/>
    <x v="243"/>
    <n v="70691.599999999991"/>
    <n v="0"/>
    <n v="0"/>
    <n v="5766.88"/>
    <n v="3834.88"/>
    <n v="7189.23"/>
    <n v="6475.14"/>
    <n v="4531.1400000000003"/>
    <n v="2528.98"/>
    <n v="6658.67"/>
    <n v="5771.06"/>
    <n v="5230.16"/>
    <n v="6414.73"/>
    <n v="10566.95"/>
    <n v="5723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40"/>
    <x v="93"/>
    <n v="76082.51999999999"/>
    <n v="0"/>
    <n v="0"/>
    <n v="6568.9"/>
    <n v="6046.48"/>
    <n v="5915.9"/>
    <n v="5335.81"/>
    <n v="5744.21"/>
    <n v="4270.43"/>
    <n v="4461.18"/>
    <n v="5883.78"/>
    <n v="7424.28"/>
    <n v="6942.79"/>
    <n v="8796.07"/>
    <n v="8692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7"/>
    <x v="244"/>
    <n v="91339.23"/>
    <n v="0"/>
    <n v="0"/>
    <m/>
    <m/>
    <m/>
    <m/>
    <m/>
    <m/>
    <m/>
    <n v="1075.01"/>
    <n v="2048.2600000000002"/>
    <n v="43052.37"/>
    <n v="31237.84"/>
    <n v="13925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7"/>
    <x v="245"/>
    <n v="219746.87"/>
    <n v="0"/>
    <n v="0"/>
    <n v="27951.59"/>
    <n v="28762.42"/>
    <n v="38182.379999999997"/>
    <n v="26227.439999999999"/>
    <n v="16996.3"/>
    <n v="27786.7"/>
    <n v="24588.42"/>
    <n v="16679.150000000001"/>
    <m/>
    <n v="1257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8"/>
    <x v="246"/>
    <n v="2922.55"/>
    <n v="0"/>
    <n v="0"/>
    <n v="2700.06"/>
    <n v="222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8"/>
    <x v="247"/>
    <n v="35439.130000000005"/>
    <n v="0"/>
    <n v="0"/>
    <n v="234.33"/>
    <n v="3049.48"/>
    <n v="4372.72"/>
    <n v="3003.62"/>
    <n v="1946.46"/>
    <n v="3182.19"/>
    <n v="2815.93"/>
    <n v="2068.84"/>
    <n v="302.39999999999998"/>
    <n v="7795.65"/>
    <n v="4611.6400000000003"/>
    <n v="2055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9"/>
    <x v="248"/>
    <n v="-2200.31"/>
    <n v="0"/>
    <n v="0"/>
    <n v="-560.04999999999995"/>
    <n v="-576.30999999999995"/>
    <n v="-765.05"/>
    <n v="-298.8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9"/>
    <x v="249"/>
    <n v="-6612.71"/>
    <n v="0"/>
    <n v="0"/>
    <m/>
    <m/>
    <m/>
    <n v="-328.48"/>
    <n v="-493.64"/>
    <n v="-807.05"/>
    <n v="-714.15"/>
    <n v="-524.67999999999995"/>
    <n v="-76.680000000000007"/>
    <n v="-1977.06"/>
    <n v="-1169.58"/>
    <n v="-521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0"/>
    <x v="250"/>
    <n v="-427.74999999999994"/>
    <n v="0"/>
    <n v="0"/>
    <n v="-31.21"/>
    <n v="-368.34"/>
    <n v="-28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1"/>
    <x v="251"/>
    <n v="-3348.22"/>
    <n v="0"/>
    <n v="0"/>
    <m/>
    <m/>
    <m/>
    <n v="-166.31"/>
    <n v="-249.95"/>
    <n v="-408.63"/>
    <n v="-361.6"/>
    <n v="-265.67"/>
    <n v="-38.83"/>
    <n v="-1001.05"/>
    <n v="-592.17999999999995"/>
    <n v="-26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1"/>
    <x v="252"/>
    <n v="-3411.5"/>
    <n v="0"/>
    <n v="0"/>
    <n v="-868.34"/>
    <n v="-893.53"/>
    <n v="-1186.18"/>
    <n v="-463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4"/>
    <x v="253"/>
    <n v="-51435.08"/>
    <n v="0"/>
    <n v="0"/>
    <n v="-13092.03"/>
    <n v="-13471.81"/>
    <n v="-17883.95"/>
    <n v="-6987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4"/>
    <x v="254"/>
    <n v="-122753.54000000001"/>
    <n v="0"/>
    <n v="0"/>
    <m/>
    <m/>
    <m/>
    <n v="-6097.57"/>
    <n v="-9163.6299999999992"/>
    <n v="-14981.33"/>
    <n v="-13256.95"/>
    <n v="-9739.7900000000009"/>
    <n v="-1423.58"/>
    <n v="-36700.910000000003"/>
    <n v="-21711.05"/>
    <n v="-9678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6"/>
    <x v="255"/>
    <n v="-87909.35"/>
    <n v="0"/>
    <n v="0"/>
    <n v="-7280.77"/>
    <n v="-7491.98"/>
    <n v="-9945.68"/>
    <n v="-6831.68"/>
    <n v="-4427.17"/>
    <n v="-7237.83"/>
    <n v="-6404.75"/>
    <n v="-4705.51"/>
    <n v="-687.78"/>
    <n v="-17731.09"/>
    <n v="-10489.09"/>
    <n v="-4676.0200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51"/>
    <n v="1302.4799999999998"/>
    <n v="0"/>
    <n v="0"/>
    <n v="108.54"/>
    <n v="108.54"/>
    <n v="108.54"/>
    <n v="108.54"/>
    <n v="108.54"/>
    <n v="108.54"/>
    <n v="108.54"/>
    <n v="108.54"/>
    <n v="108.54"/>
    <n v="108.54"/>
    <n v="108.54"/>
    <n v="108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87"/>
    <n v="2651.0400000000004"/>
    <n v="0"/>
    <n v="0"/>
    <n v="220.92"/>
    <n v="220.92"/>
    <n v="220.92"/>
    <n v="220.92"/>
    <n v="220.92"/>
    <n v="220.92"/>
    <n v="220.92"/>
    <n v="220.92"/>
    <n v="220.92"/>
    <n v="220.92"/>
    <n v="220.92"/>
    <n v="220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19"/>
    <n v="8565.84"/>
    <n v="0"/>
    <n v="0"/>
    <n v="713.82"/>
    <n v="713.82"/>
    <n v="1070.73"/>
    <n v="713.82"/>
    <n v="356.91"/>
    <n v="713.82"/>
    <n v="713.82"/>
    <n v="356.91"/>
    <m/>
    <n v="1784.55"/>
    <n v="1070.73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57"/>
    <n v="77.75"/>
    <n v="0"/>
    <n v="0"/>
    <m/>
    <m/>
    <m/>
    <m/>
    <m/>
    <m/>
    <m/>
    <m/>
    <m/>
    <m/>
    <m/>
    <n v="77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77"/>
    <n v="34342.080000000002"/>
    <n v="0"/>
    <n v="0"/>
    <n v="2924.26"/>
    <n v="2820.67"/>
    <n v="5856.48"/>
    <n v="2844.58"/>
    <m/>
    <n v="2956.13"/>
    <n v="5665.25"/>
    <m/>
    <m/>
    <n v="5617.43"/>
    <n v="5657.2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78"/>
    <n v="58560.05"/>
    <n v="0"/>
    <n v="0"/>
    <n v="4549.75"/>
    <n v="4568.54"/>
    <n v="4723.0600000000004"/>
    <n v="4558.1000000000004"/>
    <n v="4802.3999999999996"/>
    <n v="4779.43"/>
    <m/>
    <n v="4727.2299999999996"/>
    <m/>
    <n v="15350.98"/>
    <n v="5224.18"/>
    <n v="5276.3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67"/>
    <n v="90422.26"/>
    <n v="0"/>
    <n v="0"/>
    <n v="6476.87"/>
    <n v="6722.5"/>
    <n v="8193.2999999999993"/>
    <n v="8543.67"/>
    <n v="7849.68"/>
    <n v="7272.67"/>
    <n v="7280.91"/>
    <n v="8114.09"/>
    <n v="7555.64"/>
    <n v="7807.39"/>
    <n v="7370.24"/>
    <n v="7235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0"/>
    <n v="66104.150000000009"/>
    <n v="0"/>
    <n v="0"/>
    <n v="4734.9799999999996"/>
    <n v="4914.5600000000004"/>
    <n v="5989.79"/>
    <n v="6245.95"/>
    <n v="5738.58"/>
    <n v="5316.77"/>
    <n v="5322.79"/>
    <n v="5931.9"/>
    <n v="5523.62"/>
    <n v="5707.68"/>
    <n v="5388.1"/>
    <n v="5289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1"/>
    <n v="446701.13"/>
    <n v="0"/>
    <n v="0"/>
    <n v="35974.01"/>
    <n v="35549.85"/>
    <n v="51312.53"/>
    <n v="35618.9"/>
    <n v="22687.200000000001"/>
    <n v="37216.879999999997"/>
    <n v="28053.22"/>
    <n v="22332.1"/>
    <m/>
    <n v="100336.62"/>
    <n v="52693.49"/>
    <n v="24926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2"/>
    <n v="67.2"/>
    <n v="0"/>
    <n v="0"/>
    <m/>
    <m/>
    <m/>
    <m/>
    <m/>
    <m/>
    <m/>
    <m/>
    <m/>
    <m/>
    <m/>
    <n v="67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"/>
    <x v="0"/>
    <n v="0"/>
    <n v="0"/>
    <n v="34649410"/>
    <m/>
    <m/>
    <m/>
    <m/>
    <m/>
    <m/>
    <m/>
    <m/>
    <m/>
    <m/>
    <m/>
    <m/>
    <m/>
    <m/>
    <m/>
    <m/>
    <m/>
    <m/>
    <m/>
    <m/>
    <m/>
    <m/>
    <m/>
    <m/>
    <n v="2918080"/>
    <n v="2964420"/>
    <n v="4374840"/>
    <n v="2640940"/>
    <n v="1157550"/>
    <n v="2836680"/>
    <n v="3635060"/>
    <n v="1285840"/>
    <n v="239870"/>
    <n v="6531820"/>
    <n v="4771810"/>
    <n v="1292500"/>
  </r>
  <r>
    <s v="10"/>
    <s v="Electric"/>
    <x v="7"/>
    <x v="17"/>
    <x v="11"/>
    <x v="4"/>
    <x v="0"/>
    <n v="0"/>
    <n v="125761.27999999997"/>
    <n v="0"/>
    <m/>
    <m/>
    <m/>
    <m/>
    <m/>
    <m/>
    <m/>
    <m/>
    <m/>
    <m/>
    <m/>
    <m/>
    <n v="9914.7999999999993"/>
    <n v="9922.7999999999993"/>
    <n v="14036.56"/>
    <n v="10284.52"/>
    <n v="7006.68"/>
    <n v="10432.6"/>
    <n v="8204.56"/>
    <n v="6970.36"/>
    <n v="1430.92"/>
    <n v="25889.68"/>
    <n v="14216.68"/>
    <n v="7451.12"/>
    <m/>
    <m/>
    <m/>
    <m/>
    <m/>
    <m/>
    <m/>
    <m/>
    <m/>
    <m/>
    <m/>
    <m/>
  </r>
  <r>
    <s v="10"/>
    <s v="Electric"/>
    <x v="7"/>
    <x v="17"/>
    <x v="11"/>
    <x v="34"/>
    <x v="0"/>
    <n v="0"/>
    <n v="0"/>
    <n v="62039010"/>
    <m/>
    <m/>
    <m/>
    <m/>
    <m/>
    <m/>
    <m/>
    <m/>
    <m/>
    <m/>
    <m/>
    <m/>
    <m/>
    <m/>
    <m/>
    <m/>
    <m/>
    <m/>
    <m/>
    <m/>
    <m/>
    <m/>
    <m/>
    <m/>
    <n v="5138160"/>
    <n v="5287210"/>
    <n v="7018820"/>
    <n v="4821220"/>
    <n v="3124320"/>
    <n v="5107850"/>
    <n v="4519930"/>
    <n v="3320760"/>
    <n v="485370"/>
    <n v="12513100"/>
    <n v="7402330"/>
    <n v="3299940"/>
  </r>
  <r>
    <s v="10"/>
    <s v="Electric"/>
    <x v="7"/>
    <x v="17"/>
    <x v="11"/>
    <x v="34"/>
    <x v="273"/>
    <n v="1181217.48"/>
    <n v="0"/>
    <n v="0"/>
    <m/>
    <m/>
    <m/>
    <m/>
    <m/>
    <m/>
    <m/>
    <m/>
    <m/>
    <n v="591861.5"/>
    <n v="419476.73"/>
    <n v="169879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4"/>
    <n v="2253951.4700000002"/>
    <n v="0"/>
    <n v="0"/>
    <n v="290142.46999999997"/>
    <n v="296786.96000000002"/>
    <n v="396897.18"/>
    <n v="263121.57"/>
    <n v="157991.06"/>
    <n v="284236.26"/>
    <n v="248651.35"/>
    <n v="173937.83"/>
    <m/>
    <n v="142186.7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5"/>
    <n v="148693.43"/>
    <n v="0"/>
    <n v="0"/>
    <m/>
    <m/>
    <m/>
    <m/>
    <m/>
    <m/>
    <m/>
    <n v="15983.21"/>
    <n v="30453.56"/>
    <n v="34151.019999999997"/>
    <n v="34981.11"/>
    <n v="33124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6"/>
    <n v="236732.27999999997"/>
    <n v="0"/>
    <n v="0"/>
    <n v="26588.48"/>
    <n v="29173.89"/>
    <n v="35749.85"/>
    <n v="34288.660000000003"/>
    <n v="35038.15"/>
    <n v="30725.77"/>
    <n v="30126.18"/>
    <n v="15041.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40"/>
    <x v="243"/>
    <n v="34507.279999999999"/>
    <n v="0"/>
    <n v="0"/>
    <n v="2949.69"/>
    <n v="2996.35"/>
    <n v="4512.67"/>
    <n v="2646.43"/>
    <n v="1008.29"/>
    <n v="2848.6"/>
    <n v="3691.01"/>
    <n v="1124.93"/>
    <m/>
    <n v="6780.67"/>
    <n v="4841.8599999999997"/>
    <n v="1106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40"/>
    <x v="93"/>
    <n v="3295.27"/>
    <n v="0"/>
    <n v="0"/>
    <n v="226.69"/>
    <n v="227.84"/>
    <n v="236.6"/>
    <n v="231.26"/>
    <n v="272.41000000000003"/>
    <n v="242.32"/>
    <n v="265.56"/>
    <n v="298.7"/>
    <n v="294.52"/>
    <n v="312.8"/>
    <n v="355.86"/>
    <n v="330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7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80"/>
    <n v="102460.75"/>
    <n v="0"/>
    <n v="0"/>
    <m/>
    <m/>
    <m/>
    <m/>
    <m/>
    <m/>
    <m/>
    <n v="6565.13"/>
    <n v="23883.41"/>
    <n v="20806.32"/>
    <n v="28691.62"/>
    <n v="22514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81"/>
    <n v="411379.47"/>
    <n v="0"/>
    <n v="0"/>
    <n v="35531.040000000001"/>
    <n v="40176.089999999997"/>
    <n v="65266.55"/>
    <n v="62184.480000000003"/>
    <n v="66629.649999999994"/>
    <n v="56059.6"/>
    <n v="47075.81"/>
    <n v="30380.6"/>
    <n v="5896.33"/>
    <n v="1773.68"/>
    <n v="405.6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8"/>
    <x v="282"/>
    <n v="4620.51"/>
    <n v="0"/>
    <n v="0"/>
    <n v="4262.38"/>
    <n v="355.83"/>
    <n v="2.29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8"/>
    <x v="283"/>
    <n v="87130.599999999991"/>
    <n v="0"/>
    <n v="0"/>
    <n v="1486.52"/>
    <n v="6557.17"/>
    <n v="11281.27"/>
    <n v="10750.88"/>
    <n v="11519.43"/>
    <n v="9692.16"/>
    <n v="8138.8"/>
    <n v="6601.56"/>
    <n v="5927.41"/>
    <n v="4582.3999999999996"/>
    <n v="5966.28"/>
    <n v="4626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9"/>
    <x v="9"/>
    <n v="-9439.5300000000007"/>
    <n v="0"/>
    <n v="0"/>
    <n v="-1721.87"/>
    <n v="-1946.93"/>
    <n v="-3162.89"/>
    <n v="-2309.62"/>
    <n v="-298.22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9"/>
    <x v="10"/>
    <n v="-19131.510000000002"/>
    <n v="0"/>
    <n v="0"/>
    <m/>
    <m/>
    <m/>
    <n v="-821.28"/>
    <n v="-3419.19"/>
    <n v="-3169.48"/>
    <n v="-2661.51"/>
    <n v="-2158.86"/>
    <n v="-1938.45"/>
    <n v="-1498.51"/>
    <n v="-1951.14"/>
    <n v="-1513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11"/>
    <n v="-1011.36"/>
    <n v="0"/>
    <n v="0"/>
    <n v="-208.33"/>
    <n v="-689.03"/>
    <n v="-11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20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1"/>
    <x v="12"/>
    <n v="-5022.84"/>
    <n v="0"/>
    <n v="0"/>
    <m/>
    <m/>
    <m/>
    <n v="-215.62"/>
    <n v="-897.68"/>
    <n v="-832.14"/>
    <n v="-698.82"/>
    <n v="-566.79"/>
    <n v="-508.91"/>
    <n v="-393.42"/>
    <n v="-512.24"/>
    <n v="-397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1"/>
    <x v="284"/>
    <n v="-5825.45"/>
    <n v="0"/>
    <n v="0"/>
    <n v="-1062.6400000000001"/>
    <n v="-1201.51"/>
    <n v="-1951.94"/>
    <n v="-1425.32"/>
    <n v="-184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3"/>
    <x v="285"/>
    <n v="-146181.81000000003"/>
    <n v="0"/>
    <n v="0"/>
    <n v="-9741.7800000000007"/>
    <n v="-11015.28"/>
    <n v="-17894.52"/>
    <n v="-17049.490000000002"/>
    <n v="-18268.27"/>
    <n v="-15370.19"/>
    <n v="-12907.02"/>
    <n v="-10469.16"/>
    <n v="-9400.15"/>
    <n v="-7266.99"/>
    <n v="-9461.65"/>
    <n v="-7337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4"/>
    <x v="286"/>
    <n v="-87549.66"/>
    <n v="0"/>
    <n v="0"/>
    <n v="-15969.97"/>
    <n v="-18057.740000000002"/>
    <n v="-29335.040000000001"/>
    <n v="-21420.84"/>
    <n v="-2766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4"/>
    <x v="287"/>
    <n v="-184518.26"/>
    <n v="0"/>
    <n v="0"/>
    <m/>
    <m/>
    <m/>
    <n v="-7920.91"/>
    <n v="-32977.089999999997"/>
    <n v="-30569.15"/>
    <n v="-25670.29"/>
    <n v="-20821.68"/>
    <n v="-18695.46"/>
    <n v="-14452.95"/>
    <n v="-18817.91"/>
    <n v="-1459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5"/>
    <x v="19"/>
    <n v="679699.39"/>
    <n v="0"/>
    <n v="0"/>
    <n v="57462.51"/>
    <n v="53203.39"/>
    <n v="61031.61"/>
    <n v="52822.68"/>
    <n v="57462.51"/>
    <n v="55321.05"/>
    <n v="55059.3"/>
    <n v="53179.59"/>
    <n v="53536.5"/>
    <n v="52465.77"/>
    <n v="71025.09"/>
    <n v="57129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3"/>
    <x v="0"/>
    <n v="0"/>
    <n v="0"/>
    <n v="58351853.100000001"/>
    <m/>
    <m/>
    <m/>
    <m/>
    <m/>
    <m/>
    <m/>
    <m/>
    <m/>
    <m/>
    <m/>
    <m/>
    <m/>
    <m/>
    <m/>
    <m/>
    <m/>
    <m/>
    <m/>
    <m/>
    <m/>
    <m/>
    <m/>
    <m/>
    <n v="4773351.2"/>
    <n v="4514027.5199999996"/>
    <n v="5650092.7800000003"/>
    <n v="5162240"/>
    <n v="5426300"/>
    <n v="4970705.2"/>
    <n v="4501980"/>
    <n v="4515853"/>
    <n v="4426717"/>
    <n v="3964120"/>
    <n v="5916547.7999999998"/>
    <n v="4529918.5999999996"/>
  </r>
  <r>
    <s v="10"/>
    <s v="Electric"/>
    <x v="8"/>
    <x v="18"/>
    <x v="12"/>
    <x v="4"/>
    <x v="0"/>
    <n v="0"/>
    <n v="529646.10666666669"/>
    <n v="0"/>
    <m/>
    <m/>
    <m/>
    <m/>
    <m/>
    <m/>
    <m/>
    <m/>
    <m/>
    <m/>
    <m/>
    <m/>
    <n v="38740.81"/>
    <n v="44828.639999999999"/>
    <n v="50688.973333333335"/>
    <n v="58915.55"/>
    <n v="67428.02"/>
    <n v="63549.98"/>
    <n v="36687.686666666668"/>
    <n v="48433.14"/>
    <n v="39396.67"/>
    <n v="29933.99"/>
    <n v="33333.4"/>
    <n v="17709.246666666666"/>
    <m/>
    <m/>
    <m/>
    <m/>
    <m/>
    <m/>
    <m/>
    <m/>
    <m/>
    <m/>
    <m/>
    <m/>
  </r>
  <r>
    <s v="10"/>
    <s v="Electric"/>
    <x v="8"/>
    <x v="18"/>
    <x v="12"/>
    <x v="20"/>
    <x v="288"/>
    <n v="3011560.54"/>
    <n v="0"/>
    <n v="0"/>
    <n v="205727.59"/>
    <n v="240030.96"/>
    <n v="373462.68"/>
    <n v="324395.78999999998"/>
    <n v="340494.08000000002"/>
    <n v="316676.07"/>
    <n v="290861.92"/>
    <n v="245289.13"/>
    <n v="198536.05"/>
    <n v="164459.96"/>
    <n v="167671.76"/>
    <n v="143954.54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21"/>
    <x v="0"/>
    <n v="0"/>
    <n v="2665.9800000000005"/>
    <n v="157545.99"/>
    <m/>
    <m/>
    <m/>
    <m/>
    <m/>
    <m/>
    <m/>
    <m/>
    <m/>
    <m/>
    <m/>
    <m/>
    <n v="234"/>
    <n v="436.5"/>
    <m/>
    <n v="396.72"/>
    <n v="472.14"/>
    <m/>
    <n v="317.88"/>
    <m/>
    <m/>
    <n v="565.38"/>
    <n v="96.84"/>
    <n v="146.52000000000001"/>
    <n v="6743.5649999999996"/>
    <n v="17284.455000000002"/>
    <m/>
    <n v="8410.7250000000004"/>
    <n v="33868.35"/>
    <m/>
    <n v="17617.59"/>
    <m/>
    <m/>
    <n v="42602.714999999997"/>
    <n v="15003.99"/>
    <n v="16014.6"/>
  </r>
  <r>
    <s v="10"/>
    <s v="Electric"/>
    <x v="8"/>
    <x v="18"/>
    <x v="12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0"/>
    <n v="0"/>
    <n v="0"/>
    <n v="116386804.39500001"/>
    <m/>
    <m/>
    <m/>
    <m/>
    <m/>
    <m/>
    <m/>
    <m/>
    <m/>
    <m/>
    <m/>
    <m/>
    <m/>
    <m/>
    <m/>
    <m/>
    <m/>
    <m/>
    <m/>
    <m/>
    <m/>
    <m/>
    <m/>
    <m/>
    <n v="7756169.4349999996"/>
    <n v="8770154.8550000004"/>
    <n v="14247222.48"/>
    <n v="13574436.525"/>
    <n v="14544775.385"/>
    <n v="12237424"/>
    <n v="10276326.109999999"/>
    <n v="8335341.5999999996"/>
    <n v="7484170"/>
    <n v="5785814.4950000001"/>
    <n v="7533180.6849999996"/>
    <n v="5841788.8250000002"/>
  </r>
  <r>
    <s v="10"/>
    <s v="Electric"/>
    <x v="8"/>
    <x v="18"/>
    <x v="12"/>
    <x v="5"/>
    <x v="28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290"/>
    <n v="5701660.3899999997"/>
    <n v="0"/>
    <n v="0"/>
    <n v="492454.74"/>
    <n v="556834.69999999995"/>
    <n v="904584.65"/>
    <n v="861868.12"/>
    <n v="923476.89"/>
    <n v="776978.43"/>
    <n v="652464.48"/>
    <n v="421071.06"/>
    <n v="81722.23"/>
    <n v="24582.91"/>
    <n v="5622.18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291"/>
    <n v="1688396.04"/>
    <n v="0"/>
    <n v="0"/>
    <m/>
    <m/>
    <m/>
    <m/>
    <m/>
    <m/>
    <m/>
    <n v="108183.79"/>
    <n v="393561.89"/>
    <n v="342856.4"/>
    <n v="472793.65"/>
    <n v="371000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6"/>
    <x v="292"/>
    <n v="155161.99"/>
    <n v="0"/>
    <n v="0"/>
    <n v="12700.32"/>
    <n v="12320.29"/>
    <n v="15869.68"/>
    <n v="14409.25"/>
    <n v="14857.67"/>
    <n v="13564.55"/>
    <n v="12063.76"/>
    <n v="12557.3"/>
    <n v="12756.8"/>
    <n v="11340.88"/>
    <n v="11472.96"/>
    <n v="11248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1"/>
    <x v="293"/>
    <n v="70132.2"/>
    <n v="0"/>
    <n v="0"/>
    <n v="5983.63"/>
    <n v="6261.58"/>
    <n v="6003.84"/>
    <n v="6243.09"/>
    <n v="6333.58"/>
    <n v="5859.36"/>
    <n v="6074.13"/>
    <n v="5631.21"/>
    <n v="5651.5"/>
    <n v="5507.88"/>
    <n v="5402.33"/>
    <n v="5180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2"/>
    <x v="294"/>
    <n v="1660.04"/>
    <n v="0"/>
    <n v="0"/>
    <m/>
    <n v="162.04"/>
    <n v="155.37"/>
    <n v="161.56"/>
    <n v="163.9"/>
    <n v="151.63"/>
    <n v="157.19"/>
    <n v="145.72"/>
    <n v="146.25"/>
    <n v="142.53"/>
    <n v="139.80000000000001"/>
    <n v="134.050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2"/>
    <x v="295"/>
    <n v="171.43"/>
    <n v="0"/>
    <n v="0"/>
    <n v="171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3"/>
    <x v="296"/>
    <n v="-1307.6100000000001"/>
    <n v="0"/>
    <n v="0"/>
    <m/>
    <m/>
    <m/>
    <m/>
    <n v="-181.46"/>
    <n v="-167.87"/>
    <n v="-174.03"/>
    <n v="-161.34"/>
    <n v="-161.91999999999999"/>
    <n v="-157.80000000000001"/>
    <n v="-154.78"/>
    <n v="-148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3"/>
    <x v="297"/>
    <n v="-769.62999999999988"/>
    <n v="0"/>
    <n v="0"/>
    <n v="-188.03"/>
    <n v="-196.76"/>
    <n v="-188.66"/>
    <n v="-196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4"/>
    <x v="298"/>
    <n v="5277.920000000001"/>
    <n v="0"/>
    <n v="0"/>
    <n v="601.64"/>
    <n v="547.13"/>
    <n v="666.84"/>
    <n v="547"/>
    <n v="530.79999999999995"/>
    <n v="645.91"/>
    <n v="622.52"/>
    <n v="564.69000000000005"/>
    <n v="551.39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4"/>
    <x v="299"/>
    <n v="1632.01"/>
    <n v="0"/>
    <n v="0"/>
    <m/>
    <m/>
    <m/>
    <m/>
    <m/>
    <m/>
    <m/>
    <m/>
    <m/>
    <n v="571.67999999999995"/>
    <n v="540.64"/>
    <n v="519.69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5"/>
    <x v="300"/>
    <n v="608.13"/>
    <n v="0"/>
    <n v="0"/>
    <n v="53.14"/>
    <n v="48.33"/>
    <n v="58.9"/>
    <n v="48.31"/>
    <n v="46.88"/>
    <n v="57.05"/>
    <n v="54.98"/>
    <n v="49.88"/>
    <n v="48.7"/>
    <n v="49.73"/>
    <n v="47.03"/>
    <n v="45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6"/>
    <x v="301"/>
    <n v="12303.060000000001"/>
    <n v="0"/>
    <n v="0"/>
    <n v="1075.08"/>
    <n v="977.67"/>
    <n v="1191.58"/>
    <n v="977.45"/>
    <n v="948.5"/>
    <n v="1154.18"/>
    <n v="1112.3900000000001"/>
    <n v="1009.06"/>
    <n v="985.29"/>
    <n v="1005.99"/>
    <n v="951.37"/>
    <n v="914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7"/>
    <x v="302"/>
    <n v="13436.039999999999"/>
    <n v="0"/>
    <n v="0"/>
    <n v="1174.0899999999999"/>
    <n v="1067.71"/>
    <n v="1301.31"/>
    <n v="1067.46"/>
    <n v="1035.8399999999999"/>
    <n v="1260.47"/>
    <n v="1214.83"/>
    <n v="1101.98"/>
    <n v="1076.02"/>
    <n v="1098.6300000000001"/>
    <n v="1038.98"/>
    <n v="998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8"/>
    <x v="303"/>
    <n v="13072.910000000002"/>
    <n v="0"/>
    <n v="0"/>
    <n v="1142.3599999999999"/>
    <n v="1038.8499999999999"/>
    <n v="1266.1400000000001"/>
    <n v="1038.6099999999999"/>
    <n v="1007.85"/>
    <n v="1226.4000000000001"/>
    <n v="1182"/>
    <n v="1072.2"/>
    <n v="1046.94"/>
    <n v="1068.94"/>
    <n v="1010.9"/>
    <n v="971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9"/>
    <x v="304"/>
    <n v="8151.76"/>
    <n v="0"/>
    <n v="0"/>
    <n v="2037.94"/>
    <n v="2037.94"/>
    <n v="2037.94"/>
    <n v="2037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9"/>
    <x v="305"/>
    <n v="16792.64"/>
    <n v="0"/>
    <n v="0"/>
    <m/>
    <m/>
    <m/>
    <m/>
    <n v="2099.08"/>
    <n v="2099.08"/>
    <n v="2099.08"/>
    <n v="2099.08"/>
    <n v="2099.08"/>
    <n v="2099.08"/>
    <n v="2099.08"/>
    <n v="2099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6"/>
    <n v="59779.69"/>
    <n v="0"/>
    <n v="0"/>
    <n v="14695.13"/>
    <n v="14484.62"/>
    <n v="15482.21"/>
    <n v="15117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7"/>
    <n v="61666.100000000006"/>
    <n v="0"/>
    <n v="0"/>
    <m/>
    <m/>
    <m/>
    <m/>
    <n v="16009.27"/>
    <n v="15876.92"/>
    <n v="15494.4"/>
    <n v="14285.51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8"/>
    <n v="54050.17"/>
    <n v="0"/>
    <n v="0"/>
    <m/>
    <m/>
    <m/>
    <m/>
    <m/>
    <m/>
    <m/>
    <m/>
    <n v="13757.12"/>
    <n v="14161.22"/>
    <n v="13199.25"/>
    <n v="12932.5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1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2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3"/>
    <x v="0"/>
    <n v="0"/>
    <n v="109301.24500000001"/>
    <n v="0"/>
    <m/>
    <m/>
    <m/>
    <m/>
    <m/>
    <m/>
    <m/>
    <m/>
    <m/>
    <m/>
    <m/>
    <m/>
    <n v="9354.3649999999998"/>
    <n v="9220.018"/>
    <n v="9855.2129999999997"/>
    <n v="9623.2289999999994"/>
    <n v="9919.2080000000005"/>
    <n v="9837.7129999999997"/>
    <n v="9600.4699999999993"/>
    <n v="8851.7129999999997"/>
    <n v="8409.2160000000003"/>
    <n v="8656.232"/>
    <n v="8068.2619999999997"/>
    <n v="7905.6059999999998"/>
    <m/>
    <m/>
    <m/>
    <m/>
    <m/>
    <m/>
    <m/>
    <m/>
    <m/>
    <m/>
    <m/>
    <m/>
  </r>
  <r>
    <s v="10"/>
    <s v="Electric"/>
    <x v="9"/>
    <x v="19"/>
    <x v="13"/>
    <x v="54"/>
    <x v="0"/>
    <n v="0"/>
    <n v="0"/>
    <n v="64817188.516999997"/>
    <m/>
    <m/>
    <m/>
    <m/>
    <m/>
    <m/>
    <m/>
    <m/>
    <m/>
    <m/>
    <m/>
    <m/>
    <m/>
    <m/>
    <m/>
    <m/>
    <m/>
    <m/>
    <m/>
    <m/>
    <m/>
    <m/>
    <m/>
    <m/>
    <n v="5530158.7460000003"/>
    <n v="5787039.6569999997"/>
    <n v="5548832.9349999996"/>
    <n v="5769950.3150000004"/>
    <n v="5853586.932"/>
    <n v="5415300.4220000003"/>
    <n v="5613803.0520000001"/>
    <n v="5204445.4560000002"/>
    <n v="5223200.5870000003"/>
    <n v="5090457.9409999996"/>
    <n v="4992913.7539999997"/>
    <n v="4787498.72"/>
  </r>
  <r>
    <s v="10"/>
    <s v="Electric"/>
    <x v="9"/>
    <x v="19"/>
    <x v="13"/>
    <x v="55"/>
    <x v="309"/>
    <n v="133573.41999999998"/>
    <n v="0"/>
    <n v="0"/>
    <n v="15226.33"/>
    <n v="13846.73"/>
    <n v="16876.28"/>
    <n v="13843.55"/>
    <n v="13433.5"/>
    <n v="16346.61"/>
    <n v="15754.68"/>
    <n v="14291.17"/>
    <n v="13954.5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5"/>
    <x v="310"/>
    <n v="44080.36"/>
    <n v="0"/>
    <n v="0"/>
    <m/>
    <m/>
    <m/>
    <m/>
    <m/>
    <m/>
    <m/>
    <m/>
    <m/>
    <n v="15441.03"/>
    <n v="14602.61"/>
    <n v="14036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6"/>
    <x v="0"/>
    <n v="9024.33"/>
    <n v="0"/>
    <n v="0"/>
    <n v="776.49"/>
    <n v="706.14"/>
    <n v="860.64"/>
    <n v="705.98"/>
    <n v="685.07"/>
    <n v="833.63"/>
    <n v="803.44"/>
    <n v="728.81"/>
    <n v="711.64"/>
    <n v="775.02"/>
    <n v="732.94"/>
    <n v="704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1"/>
    <x v="293"/>
    <n v="1912389.56"/>
    <n v="0"/>
    <n v="0"/>
    <n v="159953.20000000001"/>
    <n v="161160.06"/>
    <n v="152809.70000000001"/>
    <n v="156816.48000000001"/>
    <n v="162444.84"/>
    <n v="152466.09"/>
    <n v="162598.44"/>
    <n v="156017.63"/>
    <n v="161001.89000000001"/>
    <n v="157982.76999999999"/>
    <n v="165168.5"/>
    <n v="163969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2"/>
    <x v="294"/>
    <n v="45349.53"/>
    <n v="0"/>
    <n v="0"/>
    <m/>
    <n v="4170.5"/>
    <n v="3954.41"/>
    <n v="4058.11"/>
    <n v="4203.75"/>
    <n v="3945.49"/>
    <n v="4207.72"/>
    <n v="4037.42"/>
    <n v="4166.3900000000003"/>
    <n v="4088.29"/>
    <n v="4274.22"/>
    <n v="4243.22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2"/>
    <x v="295"/>
    <n v="4582.7700000000004"/>
    <n v="0"/>
    <n v="0"/>
    <n v="4582.77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3"/>
    <x v="296"/>
    <n v="-36642.710000000006"/>
    <n v="0"/>
    <n v="0"/>
    <m/>
    <m/>
    <m/>
    <m/>
    <n v="-4654.16"/>
    <n v="-4290.8"/>
    <n v="-4658.57"/>
    <n v="-4470.01"/>
    <n v="-4612.83"/>
    <n v="-4526.32"/>
    <n v="-4732.18"/>
    <n v="-4697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3"/>
    <x v="297"/>
    <n v="-19904.849999999999"/>
    <n v="0"/>
    <n v="0"/>
    <n v="-5026.26"/>
    <n v="-5064.17"/>
    <n v="-4801.78"/>
    <n v="-4927.7"/>
    <m/>
    <n v="-84.9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7"/>
    <x v="0"/>
    <n v="0"/>
    <n v="0"/>
    <n v="1240976050.8139999"/>
    <m/>
    <m/>
    <m/>
    <m/>
    <m/>
    <m/>
    <m/>
    <m/>
    <m/>
    <m/>
    <m/>
    <m/>
    <m/>
    <m/>
    <m/>
    <m/>
    <m/>
    <m/>
    <m/>
    <m/>
    <m/>
    <m/>
    <m/>
    <m/>
    <n v="104292693.483"/>
    <n v="103694027.44400001"/>
    <n v="100820427.891"/>
    <n v="104314929.48"/>
    <n v="106951979.013"/>
    <n v="94267020.905000001"/>
    <n v="105114818.403"/>
    <n v="100915884.91"/>
    <n v="105177752.346"/>
    <n v="102124948.2"/>
    <n v="107994814.376"/>
    <n v="105306754.36300001"/>
  </r>
  <r>
    <s v="10"/>
    <s v="Electric"/>
    <x v="9"/>
    <x v="20"/>
    <x v="14"/>
    <x v="44"/>
    <x v="298"/>
    <n v="131679.27000000002"/>
    <n v="0"/>
    <n v="0"/>
    <n v="15727.97"/>
    <n v="14615.56"/>
    <n v="13907.67"/>
    <n v="13056.92"/>
    <n v="13125"/>
    <n v="15771.5"/>
    <n v="14802.49"/>
    <n v="15365.02"/>
    <n v="15307.14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4"/>
    <x v="299"/>
    <n v="46111.37"/>
    <n v="0"/>
    <n v="0"/>
    <m/>
    <m/>
    <m/>
    <m/>
    <m/>
    <m/>
    <m/>
    <m/>
    <m/>
    <n v="15116.17"/>
    <n v="15314.41"/>
    <n v="15680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5"/>
    <x v="300"/>
    <n v="15641.559999999998"/>
    <n v="0"/>
    <n v="0"/>
    <n v="1389.19"/>
    <n v="1290.94"/>
    <n v="1228.42"/>
    <n v="1153.28"/>
    <n v="1159.29"/>
    <n v="1393.02"/>
    <n v="1307.46"/>
    <n v="1357.16"/>
    <n v="1352.03"/>
    <n v="1314.8"/>
    <n v="1332.05"/>
    <n v="1363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6"/>
    <x v="301"/>
    <n v="316442.27999999997"/>
    <n v="0"/>
    <n v="0"/>
    <n v="28104.6"/>
    <n v="26116.9"/>
    <n v="24851.91"/>
    <n v="23331.67"/>
    <n v="23453.33"/>
    <n v="28182.38"/>
    <n v="26450.84"/>
    <n v="27456.080000000002"/>
    <n v="27352.61"/>
    <n v="26599.86"/>
    <n v="26948.68"/>
    <n v="27593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7"/>
    <x v="302"/>
    <n v="345583.4"/>
    <n v="0"/>
    <n v="0"/>
    <n v="30692.75"/>
    <n v="28521.97"/>
    <n v="27140.52"/>
    <n v="25480.240000000002"/>
    <n v="25613.14"/>
    <n v="30777.69"/>
    <n v="28886.7"/>
    <n v="29984.52"/>
    <n v="29871.53"/>
    <n v="29049.439999999999"/>
    <n v="29430.39"/>
    <n v="30134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8"/>
    <x v="303"/>
    <n v="336243.32"/>
    <n v="0"/>
    <n v="0"/>
    <n v="29863.22"/>
    <n v="27751.13"/>
    <n v="26407"/>
    <n v="24791.62"/>
    <n v="24920.89"/>
    <n v="29945.85"/>
    <n v="28105.99"/>
    <n v="29174.11"/>
    <n v="29064.18"/>
    <n v="28264.32"/>
    <n v="28634.959999999999"/>
    <n v="29320.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0"/>
    <n v="115257"/>
    <n v="0"/>
    <n v="0"/>
    <n v="9604.75"/>
    <n v="9604.75"/>
    <n v="9604.75"/>
    <n v="9604.75"/>
    <n v="9604.75"/>
    <n v="9604.75"/>
    <n v="9604.75"/>
    <n v="9604.75"/>
    <n v="9604.75"/>
    <n v="9604.75"/>
    <n v="9604.75"/>
    <n v="9604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304"/>
    <n v="81517.600000000006"/>
    <n v="0"/>
    <n v="0"/>
    <n v="20379.400000000001"/>
    <n v="20379.400000000001"/>
    <n v="20379.400000000001"/>
    <n v="20379.400000000001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305"/>
    <n v="167926.39999999999"/>
    <n v="0"/>
    <n v="0"/>
    <m/>
    <m/>
    <m/>
    <m/>
    <n v="20990.799999999999"/>
    <n v="20990.799999999999"/>
    <n v="20990.799999999999"/>
    <n v="20990.799999999999"/>
    <n v="20990.799999999999"/>
    <n v="20990.799999999999"/>
    <n v="20990.799999999999"/>
    <n v="20990.7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1"/>
    <n v="44302.159999999996"/>
    <n v="0"/>
    <n v="0"/>
    <n v="11213.75"/>
    <n v="11116.42"/>
    <n v="10779.52"/>
    <n v="11143.38"/>
    <m/>
    <n v="49.0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2"/>
    <n v="48109.33"/>
    <n v="0"/>
    <n v="0"/>
    <m/>
    <m/>
    <m/>
    <m/>
    <n v="11981.82"/>
    <n v="11843.3"/>
    <n v="12183.85"/>
    <n v="12100.36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3"/>
    <n v="70906.490000000005"/>
    <n v="0"/>
    <n v="0"/>
    <m/>
    <m/>
    <m/>
    <m/>
    <m/>
    <m/>
    <m/>
    <m/>
    <n v="17673.53"/>
    <n v="17869.93"/>
    <n v="17711.650000000001"/>
    <n v="17651.3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6"/>
    <n v="36250.82"/>
    <n v="0"/>
    <n v="0"/>
    <n v="9521.83"/>
    <n v="8536.81"/>
    <n v="9787.33"/>
    <n v="8404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7"/>
    <n v="39804.47"/>
    <n v="0"/>
    <n v="0"/>
    <m/>
    <m/>
    <m/>
    <m/>
    <n v="9868"/>
    <n v="9796.98"/>
    <n v="10074.59"/>
    <n v="10064.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8"/>
    <n v="43098.78"/>
    <n v="0"/>
    <n v="0"/>
    <m/>
    <m/>
    <m/>
    <m/>
    <m/>
    <m/>
    <m/>
    <m/>
    <n v="10252.81"/>
    <n v="10494.94"/>
    <n v="10604.55"/>
    <n v="11746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2"/>
    <x v="0"/>
    <n v="539243.11"/>
    <n v="0"/>
    <n v="0"/>
    <n v="12944.03"/>
    <n v="52003.519999999997"/>
    <n v="-22277.78"/>
    <n v="24422.51"/>
    <n v="68263.97"/>
    <n v="80021.05"/>
    <n v="34298.58"/>
    <n v="38337.79"/>
    <n v="47420.22"/>
    <n v="67284.87"/>
    <n v="105657.99"/>
    <n v="30866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9"/>
    <x v="0"/>
    <n v="41428.199999999997"/>
    <n v="0"/>
    <n v="0"/>
    <n v="4489.6899999999996"/>
    <n v="3853.37"/>
    <n v="2522.4899999999998"/>
    <n v="3903.87"/>
    <n v="5216.8999999999996"/>
    <n v="2748.62"/>
    <n v="2444.9899999999998"/>
    <n v="1880.18"/>
    <n v="2565.37"/>
    <n v="3447.56"/>
    <n v="4575.75"/>
    <n v="3779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3"/>
    <x v="0"/>
    <n v="0"/>
    <n v="3039151.0090000001"/>
    <n v="0"/>
    <m/>
    <m/>
    <m/>
    <m/>
    <m/>
    <m/>
    <m/>
    <m/>
    <m/>
    <m/>
    <m/>
    <m/>
    <n v="255261.527"/>
    <n v="252473.073"/>
    <n v="245778.41099999999"/>
    <n v="252986.04500000001"/>
    <n v="250647.815"/>
    <n v="248867.36"/>
    <n v="254897.40900000001"/>
    <n v="253188.26500000001"/>
    <n v="255195.56400000001"/>
    <n v="258110.55"/>
    <n v="255949.42"/>
    <n v="255795.57"/>
    <m/>
    <m/>
    <m/>
    <m/>
    <m/>
    <m/>
    <m/>
    <m/>
    <m/>
    <m/>
    <m/>
    <m/>
  </r>
  <r>
    <s v="10"/>
    <s v="Electric"/>
    <x v="9"/>
    <x v="20"/>
    <x v="14"/>
    <x v="54"/>
    <x v="0"/>
    <n v="0"/>
    <n v="0"/>
    <n v="526481924.991"/>
    <m/>
    <m/>
    <m/>
    <m/>
    <m/>
    <m/>
    <m/>
    <m/>
    <m/>
    <m/>
    <m/>
    <m/>
    <m/>
    <m/>
    <m/>
    <m/>
    <m/>
    <m/>
    <m/>
    <m/>
    <m/>
    <m/>
    <m/>
    <m/>
    <n v="43538360.137999997"/>
    <n v="45252423.111000001"/>
    <n v="40408494.943999998"/>
    <n v="40617111.447999999"/>
    <n v="43181894.181999996"/>
    <n v="46644322.083999999"/>
    <n v="45160996.910999998"/>
    <n v="43277853.810000002"/>
    <n v="43622520.274999999"/>
    <n v="43885004.387000002"/>
    <n v="44656286.174999997"/>
    <n v="46236657.526000001"/>
  </r>
  <r>
    <s v="10"/>
    <s v="Electric"/>
    <x v="9"/>
    <x v="20"/>
    <x v="14"/>
    <x v="55"/>
    <x v="309"/>
    <n v="3332541.7499999995"/>
    <n v="0"/>
    <n v="0"/>
    <n v="398043.51"/>
    <n v="369891.51"/>
    <n v="351975.91"/>
    <n v="330444.55"/>
    <n v="332167.76"/>
    <n v="399145.04"/>
    <n v="374621.57"/>
    <n v="388858.63"/>
    <n v="387393.2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5"/>
    <x v="310"/>
    <n v="1245454.28"/>
    <n v="0"/>
    <n v="0"/>
    <m/>
    <m/>
    <m/>
    <m/>
    <m/>
    <m/>
    <m/>
    <m/>
    <m/>
    <n v="408283.38"/>
    <n v="413637.36"/>
    <n v="423533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6"/>
    <x v="0"/>
    <n v="232461.11"/>
    <n v="0"/>
    <n v="0"/>
    <n v="20298.97"/>
    <n v="18863.3"/>
    <n v="17949.64"/>
    <n v="16851.64"/>
    <n v="16939.5"/>
    <n v="20355.11"/>
    <n v="19104.509999999998"/>
    <n v="19830.57"/>
    <n v="19755.830000000002"/>
    <n v="20492.62"/>
    <n v="20761.36"/>
    <n v="21258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1"/>
    <x v="293"/>
    <n v="300481.94999999995"/>
    <n v="0"/>
    <n v="0"/>
    <n v="26236.58"/>
    <n v="26298.6"/>
    <n v="26712.21"/>
    <n v="25222.92"/>
    <n v="26138.53"/>
    <n v="26294.13"/>
    <n v="27859.39"/>
    <n v="24208.52"/>
    <n v="23198.400000000001"/>
    <n v="22795.62"/>
    <n v="18966.52"/>
    <n v="26550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2"/>
    <x v="294"/>
    <n v="7096.9400000000005"/>
    <n v="0"/>
    <n v="0"/>
    <m/>
    <n v="680.55"/>
    <n v="691.26"/>
    <n v="652.72"/>
    <n v="676.41"/>
    <n v="680.44"/>
    <n v="720.95"/>
    <n v="626.47"/>
    <n v="600.34"/>
    <n v="589.91"/>
    <n v="490.81"/>
    <n v="687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2"/>
    <x v="295"/>
    <n v="751.7"/>
    <n v="0"/>
    <n v="0"/>
    <n v="751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3"/>
    <x v="296"/>
    <n v="-5615.84"/>
    <n v="0"/>
    <n v="0"/>
    <m/>
    <m/>
    <m/>
    <m/>
    <n v="-748.88"/>
    <n v="-753.34"/>
    <n v="-798.19"/>
    <n v="-693.59"/>
    <n v="-664.64"/>
    <n v="-653.11"/>
    <n v="-543.4"/>
    <n v="-760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3"/>
    <x v="297"/>
    <n v="-3282.7900000000004"/>
    <n v="0"/>
    <n v="0"/>
    <n v="-824.44"/>
    <n v="-826.38"/>
    <n v="-839.38"/>
    <n v="-792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7"/>
    <x v="0"/>
    <n v="0"/>
    <n v="0"/>
    <n v="277709741.11199999"/>
    <m/>
    <m/>
    <m/>
    <m/>
    <m/>
    <m/>
    <m/>
    <m/>
    <m/>
    <m/>
    <m/>
    <m/>
    <m/>
    <m/>
    <m/>
    <m/>
    <m/>
    <m/>
    <m/>
    <m/>
    <m/>
    <m/>
    <m/>
    <m/>
    <n v="24248225.945999999"/>
    <n v="24305539.91"/>
    <n v="24687810.449000001"/>
    <n v="23311385.622000001"/>
    <n v="24157607.682999998"/>
    <n v="24301410.824999999"/>
    <n v="25748041.938999999"/>
    <n v="22373867.478999998"/>
    <n v="21440301.980999999"/>
    <n v="21068040.002999999"/>
    <n v="17529131.377999999"/>
    <n v="24538377.897"/>
  </r>
  <r>
    <s v="10"/>
    <s v="Electric"/>
    <x v="9"/>
    <x v="21"/>
    <x v="15"/>
    <x v="44"/>
    <x v="298"/>
    <n v="21384.13"/>
    <n v="0"/>
    <n v="0"/>
    <n v="2412.36"/>
    <n v="2427.67"/>
    <n v="2395.1999999999998"/>
    <n v="2485.08"/>
    <n v="2251.6999999999998"/>
    <n v="2471.79"/>
    <n v="2474.89"/>
    <n v="2304.0300000000002"/>
    <n v="2161.4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4"/>
    <x v="299"/>
    <n v="6539.3"/>
    <n v="0"/>
    <n v="0"/>
    <m/>
    <m/>
    <m/>
    <m/>
    <m/>
    <m/>
    <m/>
    <m/>
    <m/>
    <n v="2259.5500000000002"/>
    <n v="1553.33"/>
    <n v="2726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5"/>
    <x v="300"/>
    <n v="2457.56"/>
    <n v="0"/>
    <n v="0"/>
    <n v="213.07"/>
    <n v="214.43"/>
    <n v="211.56"/>
    <n v="219.49"/>
    <n v="198.88"/>
    <n v="218.33"/>
    <n v="218.59"/>
    <n v="203.51"/>
    <n v="190.91"/>
    <n v="196.54"/>
    <n v="135.11000000000001"/>
    <n v="237.1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6"/>
    <x v="301"/>
    <n v="49718.899999999994"/>
    <n v="0"/>
    <n v="0"/>
    <n v="4310.68"/>
    <n v="4338.04"/>
    <n v="4280.03"/>
    <n v="4440.63"/>
    <n v="4023.62"/>
    <n v="4416.91"/>
    <n v="4422.4399999999996"/>
    <n v="4117.12"/>
    <n v="3862.27"/>
    <n v="3976.11"/>
    <n v="2733.39"/>
    <n v="4797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7"/>
    <x v="302"/>
    <n v="54297.53"/>
    <n v="0"/>
    <n v="0"/>
    <n v="4707.66"/>
    <n v="4737.54"/>
    <n v="4674.17"/>
    <n v="4849.58"/>
    <n v="4394.1499999999996"/>
    <n v="4823.66"/>
    <n v="4829.6899999999996"/>
    <n v="4496.26"/>
    <n v="4217.9399999999996"/>
    <n v="4342.28"/>
    <n v="2985.11"/>
    <n v="5239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8"/>
    <x v="303"/>
    <n v="52830.01"/>
    <n v="0"/>
    <n v="0"/>
    <n v="4580.42"/>
    <n v="4609.49"/>
    <n v="4547.8500000000004"/>
    <n v="4718.5"/>
    <n v="4275.3999999999996"/>
    <n v="4693.28"/>
    <n v="4699.17"/>
    <n v="4374.74"/>
    <n v="4103.93"/>
    <n v="4224.93"/>
    <n v="2904.43"/>
    <n v="5097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0"/>
    <n v="46102.80000000001"/>
    <n v="0"/>
    <n v="0"/>
    <n v="3841.9"/>
    <n v="3841.9"/>
    <n v="3841.9"/>
    <n v="3841.9"/>
    <n v="3841.9"/>
    <n v="3841.9"/>
    <n v="3841.9"/>
    <n v="3841.9"/>
    <n v="3841.9"/>
    <n v="3841.9"/>
    <n v="3841.9"/>
    <n v="3841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304"/>
    <n v="16303.52"/>
    <n v="0"/>
    <n v="0"/>
    <n v="4075.88"/>
    <n v="4075.88"/>
    <n v="4075.88"/>
    <n v="4075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305"/>
    <n v="33585.279999999999"/>
    <n v="0"/>
    <n v="0"/>
    <m/>
    <m/>
    <m/>
    <m/>
    <n v="2099.08"/>
    <n v="6297.24"/>
    <n v="4198.16"/>
    <n v="4198.16"/>
    <n v="4198.16"/>
    <n v="4198.16"/>
    <n v="4198.16"/>
    <n v="4198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1"/>
    <n v="7630.78"/>
    <n v="0"/>
    <n v="0"/>
    <n v="1866.11"/>
    <n v="1927.14"/>
    <n v="1934.11"/>
    <n v="1903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2"/>
    <n v="8293.41"/>
    <n v="0"/>
    <n v="0"/>
    <m/>
    <m/>
    <m/>
    <m/>
    <n v="1888.27"/>
    <n v="2191.5300000000002"/>
    <n v="2116.71"/>
    <n v="2096.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3"/>
    <n v="11277.420000000002"/>
    <n v="0"/>
    <n v="0"/>
    <m/>
    <m/>
    <m/>
    <m/>
    <m/>
    <m/>
    <m/>
    <m/>
    <n v="3170.93"/>
    <n v="3080.26"/>
    <n v="2410.52"/>
    <n v="2615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1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2"/>
    <x v="0"/>
    <n v="-270038.48"/>
    <n v="0"/>
    <n v="0"/>
    <n v="-20359.66"/>
    <n v="-7631.65"/>
    <n v="17362.439999999999"/>
    <n v="-6826.05"/>
    <n v="21980.48"/>
    <n v="23758.58"/>
    <n v="22853.51"/>
    <n v="-2554.5"/>
    <n v="-29985.81"/>
    <n v="-53103.56"/>
    <n v="-219190.28"/>
    <n v="-16341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9"/>
    <x v="0"/>
    <n v="7221.3700000000008"/>
    <n v="0"/>
    <n v="0"/>
    <n v="595.12"/>
    <n v="177.23"/>
    <n v="1218.48"/>
    <n v="301.88"/>
    <n v="1324"/>
    <n v="1253.57"/>
    <n v="1133.3599999999999"/>
    <n v="202.81"/>
    <n v="359.3"/>
    <n v="375.51"/>
    <n v="126.34"/>
    <n v="153.770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3"/>
    <x v="0"/>
    <n v="0"/>
    <n v="497683.30900000001"/>
    <n v="0"/>
    <m/>
    <m/>
    <m/>
    <m/>
    <m/>
    <m/>
    <m/>
    <m/>
    <m/>
    <m/>
    <m/>
    <m/>
    <n v="41470.733"/>
    <n v="42826.105000000003"/>
    <n v="42982.182000000001"/>
    <n v="42300.381000000001"/>
    <n v="38537.03"/>
    <n v="44727.379000000001"/>
    <n v="43199.51"/>
    <n v="42796.6"/>
    <n v="44662.500999999997"/>
    <n v="43385.345999999998"/>
    <n v="33952.434999999998"/>
    <n v="36843.107000000004"/>
    <m/>
    <m/>
    <m/>
    <m/>
    <m/>
    <m/>
    <m/>
    <m/>
    <m/>
    <m/>
    <m/>
    <m/>
  </r>
  <r>
    <s v="10"/>
    <s v="Electric"/>
    <x v="9"/>
    <x v="21"/>
    <x v="15"/>
    <x v="55"/>
    <x v="309"/>
    <n v="541190.05000000005"/>
    <n v="0"/>
    <n v="0"/>
    <n v="61051.94"/>
    <n v="61439.39"/>
    <n v="60617.71"/>
    <n v="62892.43"/>
    <n v="56986.23"/>
    <n v="62556.32"/>
    <n v="62634.57"/>
    <n v="58310.5"/>
    <n v="54700.959999999999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5"/>
    <x v="310"/>
    <n v="176624.53"/>
    <n v="0"/>
    <n v="0"/>
    <m/>
    <m/>
    <m/>
    <m/>
    <m/>
    <m/>
    <m/>
    <m/>
    <m/>
    <n v="61029.78"/>
    <n v="41955.07"/>
    <n v="73639.67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6"/>
    <x v="0"/>
    <n v="36464.149999999994"/>
    <n v="0"/>
    <n v="0"/>
    <n v="3113.45"/>
    <n v="3133.22"/>
    <n v="3091.32"/>
    <n v="3207.31"/>
    <n v="2906.11"/>
    <n v="3190.18"/>
    <n v="3194.16"/>
    <n v="2973.66"/>
    <n v="2789.58"/>
    <n v="3063.22"/>
    <n v="2105.81"/>
    <n v="3696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7"/>
    <x v="314"/>
    <n v="4970.18"/>
    <n v="0"/>
    <n v="0"/>
    <m/>
    <m/>
    <m/>
    <m/>
    <m/>
    <m/>
    <m/>
    <m/>
    <n v="20.53"/>
    <n v="911.07"/>
    <n v="1985.8"/>
    <n v="2052.78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7"/>
    <x v="315"/>
    <n v="218.72000000000003"/>
    <n v="0"/>
    <n v="0"/>
    <n v="25.21"/>
    <n v="54.34"/>
    <m/>
    <n v="28.35"/>
    <n v="55.71"/>
    <m/>
    <n v="28.46"/>
    <n v="26.65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8"/>
    <x v="316"/>
    <n v="3.69"/>
    <n v="0"/>
    <n v="0"/>
    <n v="3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8"/>
    <x v="207"/>
    <n v="1104.27"/>
    <n v="0"/>
    <n v="0"/>
    <m/>
    <n v="8.9"/>
    <m/>
    <n v="4.6500000000000004"/>
    <n v="9.1300000000000008"/>
    <m/>
    <n v="4.67"/>
    <n v="4.37"/>
    <n v="4.43"/>
    <n v="196.61"/>
    <n v="428.53"/>
    <n v="442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9"/>
    <x v="317"/>
    <n v="-2.2599999999999998"/>
    <n v="0"/>
    <n v="0"/>
    <n v="-0.53"/>
    <n v="-1.1399999999999999"/>
    <m/>
    <n v="-0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9"/>
    <x v="318"/>
    <n v="-169.31"/>
    <n v="0"/>
    <n v="0"/>
    <m/>
    <m/>
    <m/>
    <m/>
    <n v="-1.42"/>
    <m/>
    <n v="-0.72"/>
    <n v="-0.68"/>
    <n v="-0.69"/>
    <n v="-30.52"/>
    <n v="-66.52"/>
    <n v="-68.760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0"/>
    <x v="0"/>
    <n v="0"/>
    <n v="0"/>
    <n v="0"/>
    <n v="0"/>
    <n v="0"/>
    <m/>
    <n v="0"/>
    <n v="0"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0"/>
    <x v="319"/>
    <n v="-0.23"/>
    <n v="0"/>
    <n v="0"/>
    <m/>
    <n v="-0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1"/>
    <x v="320"/>
    <n v="-94.45"/>
    <n v="0"/>
    <n v="0"/>
    <m/>
    <m/>
    <m/>
    <m/>
    <n v="-0.79"/>
    <m/>
    <n v="-0.4"/>
    <n v="-0.38"/>
    <n v="-0.38"/>
    <n v="-17.03"/>
    <n v="-37.11"/>
    <n v="-38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1"/>
    <x v="321"/>
    <n v="-3.9299999999999997"/>
    <n v="0"/>
    <n v="0"/>
    <n v="-0.92"/>
    <n v="-1.98"/>
    <m/>
    <n v="-1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60"/>
    <x v="0"/>
    <n v="0"/>
    <n v="4393.4979999999996"/>
    <n v="0"/>
    <m/>
    <m/>
    <m/>
    <m/>
    <m/>
    <m/>
    <m/>
    <m/>
    <m/>
    <m/>
    <m/>
    <m/>
    <n v="11.618"/>
    <n v="28.263999999999999"/>
    <m/>
    <n v="12.416"/>
    <n v="24.876000000000001"/>
    <m/>
    <n v="12.292"/>
    <n v="12.093"/>
    <n v="15.217000000000001"/>
    <n v="1134.078"/>
    <n v="1149.191"/>
    <n v="1993.453"/>
    <m/>
    <m/>
    <m/>
    <m/>
    <m/>
    <m/>
    <m/>
    <m/>
    <m/>
    <m/>
    <m/>
    <m/>
  </r>
  <r>
    <s v="10"/>
    <s v="Electric"/>
    <x v="10"/>
    <x v="22"/>
    <x v="16"/>
    <x v="61"/>
    <x v="265"/>
    <n v="110352"/>
    <n v="0"/>
    <n v="0"/>
    <n v="9196"/>
    <n v="18392"/>
    <m/>
    <n v="9196"/>
    <n v="18392"/>
    <m/>
    <n v="9196"/>
    <n v="9196"/>
    <n v="9196"/>
    <n v="9196"/>
    <n v="9196"/>
    <n v="91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3"/>
    <x v="322"/>
    <n v="-2169.71"/>
    <n v="0"/>
    <n v="0"/>
    <n v="-8.09"/>
    <n v="-17.440000000000001"/>
    <m/>
    <n v="-9.1"/>
    <n v="-17.87"/>
    <m/>
    <n v="-9.1300000000000008"/>
    <n v="-8.5500000000000007"/>
    <n v="-8.67"/>
    <n v="-384.86"/>
    <n v="-838.85"/>
    <n v="-867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4"/>
    <x v="323"/>
    <n v="-3432.5199999999995"/>
    <n v="0"/>
    <n v="0"/>
    <m/>
    <m/>
    <m/>
    <m/>
    <n v="-28.73"/>
    <m/>
    <n v="-14.68"/>
    <n v="-13.74"/>
    <n v="-13.94"/>
    <n v="-618.73"/>
    <n v="-1348.61"/>
    <n v="-1394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4"/>
    <x v="324"/>
    <n v="-59.1"/>
    <n v="0"/>
    <n v="0"/>
    <n v="-13.81"/>
    <n v="-29.76"/>
    <m/>
    <n v="-15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5"/>
    <x v="0"/>
    <n v="0"/>
    <n v="0"/>
    <n v="1811103.8590000002"/>
    <m/>
    <m/>
    <m/>
    <m/>
    <m/>
    <m/>
    <m/>
    <m/>
    <m/>
    <m/>
    <m/>
    <m/>
    <m/>
    <m/>
    <m/>
    <m/>
    <m/>
    <m/>
    <m/>
    <m/>
    <m/>
    <m/>
    <m/>
    <m/>
    <n v="6752.4089999999997"/>
    <n v="14551.945"/>
    <m/>
    <n v="7592.81"/>
    <n v="14918.166999999999"/>
    <m/>
    <n v="7620.6180000000004"/>
    <n v="7136.1350000000002"/>
    <n v="7237.8789999999999"/>
    <n v="321253.11099999998"/>
    <n v="700212.14199999999"/>
    <n v="723828.64300000004"/>
  </r>
  <r>
    <s v="10"/>
    <s v="Electric"/>
    <x v="10"/>
    <x v="22"/>
    <x v="16"/>
    <x v="5"/>
    <x v="325"/>
    <n v="104489.45000000001"/>
    <n v="0"/>
    <n v="0"/>
    <m/>
    <m/>
    <m/>
    <m/>
    <m/>
    <m/>
    <m/>
    <m/>
    <n v="431.54"/>
    <n v="19153.75"/>
    <n v="41748.050000000003"/>
    <n v="43156.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5"/>
    <x v="326"/>
    <n v="3492.7599999999998"/>
    <n v="0"/>
    <n v="0"/>
    <n v="402.66"/>
    <n v="867.76"/>
    <m/>
    <n v="452.77"/>
    <n v="889.6"/>
    <m/>
    <n v="454.43"/>
    <n v="425.5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7"/>
    <x v="314"/>
    <n v="54318"/>
    <n v="0"/>
    <n v="0"/>
    <m/>
    <m/>
    <m/>
    <m/>
    <m/>
    <m/>
    <m/>
    <m/>
    <n v="13945.84"/>
    <n v="11654.85"/>
    <n v="14755.06"/>
    <n v="13962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7"/>
    <x v="315"/>
    <n v="135940.41999999998"/>
    <n v="0"/>
    <n v="0"/>
    <n v="18015.55"/>
    <n v="28932.84"/>
    <n v="6816.25"/>
    <n v="15728.48"/>
    <n v="23725.64"/>
    <n v="6657.51"/>
    <n v="17299.47"/>
    <n v="18764.6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8"/>
    <x v="316"/>
    <n v="2639.13"/>
    <n v="0"/>
    <n v="0"/>
    <n v="2639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8"/>
    <x v="207"/>
    <n v="31049.450000000004"/>
    <n v="0"/>
    <n v="0"/>
    <m/>
    <n v="4742.07"/>
    <n v="1117.18"/>
    <n v="2577.87"/>
    <n v="3888.63"/>
    <n v="1091.1600000000001"/>
    <n v="2835.37"/>
    <n v="3075.52"/>
    <n v="3009.48"/>
    <n v="2515.08"/>
    <n v="3184.08"/>
    <n v="3013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9"/>
    <x v="317"/>
    <n v="-1451.64"/>
    <n v="0"/>
    <n v="0"/>
    <n v="-376.33"/>
    <n v="-604.38"/>
    <n v="-142.38"/>
    <n v="-328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9"/>
    <x v="318"/>
    <n v="-3510.05"/>
    <n v="0"/>
    <n v="0"/>
    <m/>
    <m/>
    <m/>
    <m/>
    <n v="-603.63"/>
    <n v="-169.37"/>
    <n v="-440.13"/>
    <n v="-477.4"/>
    <n v="-467.15"/>
    <n v="-390.41"/>
    <n v="-494.26"/>
    <n v="-467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0"/>
    <x v="319"/>
    <n v="-165.14"/>
    <n v="0"/>
    <n v="0"/>
    <m/>
    <n v="-165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1"/>
    <x v="320"/>
    <n v="-1958.2999999999997"/>
    <n v="0"/>
    <n v="0"/>
    <m/>
    <m/>
    <m/>
    <m/>
    <n v="-336.76"/>
    <n v="-94.5"/>
    <n v="-245.55"/>
    <n v="-266.33999999999997"/>
    <n v="-260.63"/>
    <n v="-217.82"/>
    <n v="-275.76"/>
    <n v="-260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1"/>
    <x v="321"/>
    <n v="-2531.08"/>
    <n v="0"/>
    <n v="0"/>
    <n v="-656.17"/>
    <n v="-1053.79"/>
    <n v="-248.26"/>
    <n v="-572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60"/>
    <x v="0"/>
    <n v="0"/>
    <n v="229005.66099999996"/>
    <n v="0"/>
    <m/>
    <m/>
    <m/>
    <m/>
    <m/>
    <m/>
    <m/>
    <m/>
    <m/>
    <m/>
    <m/>
    <m/>
    <n v="13095.619000000001"/>
    <n v="26541.491000000002"/>
    <n v="12246.138999999999"/>
    <n v="17789.547999999999"/>
    <n v="23751.164000000001"/>
    <n v="16927.791000000001"/>
    <n v="18263.542000000001"/>
    <n v="22241.032999999999"/>
    <n v="21016.525000000001"/>
    <n v="18083.671999999999"/>
    <n v="17105.59"/>
    <n v="21943.546999999999"/>
    <m/>
    <m/>
    <m/>
    <m/>
    <m/>
    <m/>
    <m/>
    <m/>
    <m/>
    <m/>
    <m/>
    <m/>
  </r>
  <r>
    <s v="10"/>
    <s v="Electric"/>
    <x v="10"/>
    <x v="23"/>
    <x v="16"/>
    <x v="61"/>
    <x v="265"/>
    <n v="588671.49000000011"/>
    <n v="0"/>
    <n v="0"/>
    <n v="40523.01"/>
    <n v="69377.55"/>
    <n v="28321.59"/>
    <n v="46297.68"/>
    <n v="66370.039999999994"/>
    <n v="37444.44"/>
    <n v="46646.71"/>
    <n v="54810.25"/>
    <n v="51898.879999999997"/>
    <n v="46650.89"/>
    <n v="46782.559999999998"/>
    <n v="53547.8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3"/>
    <x v="322"/>
    <n v="-66559.850000000006"/>
    <n v="0"/>
    <n v="0"/>
    <n v="-5780.04"/>
    <n v="-9282.68"/>
    <n v="-2186.89"/>
    <n v="-5046.26"/>
    <n v="-7612.03"/>
    <n v="-2135.9699999999998"/>
    <n v="-5550.28"/>
    <n v="-6020.39"/>
    <n v="-5891.08"/>
    <n v="-4923.3100000000004"/>
    <n v="-6232.92"/>
    <n v="-58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4"/>
    <x v="323"/>
    <n v="-71162.290000000008"/>
    <n v="0"/>
    <n v="0"/>
    <m/>
    <m/>
    <m/>
    <m/>
    <n v="-12237.7"/>
    <n v="-3433.95"/>
    <n v="-8923.07"/>
    <n v="-9678.83"/>
    <n v="-9470.9699999999993"/>
    <n v="-7915.1"/>
    <n v="-10020.540000000001"/>
    <n v="-9482.12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4"/>
    <x v="324"/>
    <n v="-38059.31"/>
    <n v="0"/>
    <n v="0"/>
    <n v="-9866.57"/>
    <n v="-15845.66"/>
    <n v="-3733.06"/>
    <n v="-8614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62"/>
    <x v="0"/>
    <n v="101598.91"/>
    <n v="0"/>
    <n v="0"/>
    <n v="48777.15"/>
    <n v="2050.2199999999998"/>
    <n v="2640.46"/>
    <n v="13431.21"/>
    <n v="5150.34"/>
    <m/>
    <m/>
    <m/>
    <m/>
    <n v="9317.94"/>
    <n v="2007.34"/>
    <n v="18224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5"/>
    <x v="0"/>
    <n v="0"/>
    <n v="0"/>
    <n v="55559141.546999998"/>
    <m/>
    <m/>
    <m/>
    <m/>
    <m/>
    <m/>
    <m/>
    <m/>
    <m/>
    <m/>
    <m/>
    <m/>
    <m/>
    <m/>
    <m/>
    <m/>
    <m/>
    <m/>
    <m/>
    <m/>
    <m/>
    <m/>
    <m/>
    <m/>
    <n v="4824729.5729999999"/>
    <n v="7748484.9639999997"/>
    <n v="1825453.44"/>
    <n v="4212236.7740000002"/>
    <n v="6353947.7779999999"/>
    <n v="1782943.577"/>
    <n v="4632957.9369999999"/>
    <n v="5025359.449"/>
    <n v="4917429.7290000003"/>
    <n v="4109606.99"/>
    <n v="5202771.1969999997"/>
    <n v="4923220.1390000004"/>
  </r>
  <r>
    <s v="10"/>
    <s v="Electric"/>
    <x v="10"/>
    <x v="23"/>
    <x v="16"/>
    <x v="5"/>
    <x v="325"/>
    <n v="1141941.8399999999"/>
    <n v="0"/>
    <n v="0"/>
    <m/>
    <m/>
    <m/>
    <m/>
    <m/>
    <m/>
    <m/>
    <m/>
    <n v="293186.99"/>
    <n v="245022.99"/>
    <n v="310199.63"/>
    <n v="293532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5"/>
    <x v="326"/>
    <n v="2170969.36"/>
    <n v="0"/>
    <n v="0"/>
    <n v="287708.27"/>
    <n v="462057.66"/>
    <n v="108855.44"/>
    <n v="251184.11"/>
    <n v="378898.61"/>
    <n v="106320.49"/>
    <n v="276272.55"/>
    <n v="299672.2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7"/>
    <x v="327"/>
    <n v="568804.44999999995"/>
    <n v="0"/>
    <n v="0"/>
    <m/>
    <m/>
    <m/>
    <m/>
    <m/>
    <m/>
    <m/>
    <m/>
    <n v="136489.53"/>
    <n v="133052.21"/>
    <n v="118932.7"/>
    <n v="180330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7"/>
    <x v="328"/>
    <n v="1234778.9400000002"/>
    <n v="0"/>
    <n v="0"/>
    <n v="155398.75"/>
    <n v="202872.13"/>
    <n v="105498.8"/>
    <n v="160828.15"/>
    <n v="205524.43"/>
    <n v="99441.13"/>
    <n v="155414.73000000001"/>
    <n v="149800.8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8"/>
    <x v="329"/>
    <n v="19151.27"/>
    <n v="0"/>
    <n v="0"/>
    <n v="19151.2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8"/>
    <x v="330"/>
    <n v="231180.3"/>
    <n v="0"/>
    <n v="0"/>
    <m/>
    <n v="27287.74"/>
    <n v="14190.32"/>
    <n v="21632.53"/>
    <n v="27644.48"/>
    <n v="13375.54"/>
    <n v="20904.37"/>
    <n v="20149.27"/>
    <n v="20635.5"/>
    <n v="20115.82"/>
    <n v="17981.12"/>
    <n v="2726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9"/>
    <x v="317"/>
    <n v="-11436.33"/>
    <n v="0"/>
    <n v="0"/>
    <n v="-2845.33"/>
    <n v="-3714.56"/>
    <n v="-1931.68"/>
    <n v="-2944.7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9"/>
    <x v="318"/>
    <n v="-27864.980000000003"/>
    <n v="0"/>
    <n v="0"/>
    <m/>
    <m/>
    <m/>
    <m/>
    <n v="-4583.3100000000004"/>
    <n v="-2217.59"/>
    <n v="-3465.83"/>
    <n v="-3340.64"/>
    <n v="-3421.24"/>
    <n v="-3335.08"/>
    <n v="-2981.14"/>
    <n v="-4520.14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0"/>
    <x v="319"/>
    <n v="-1240.1099999999999"/>
    <n v="0"/>
    <n v="0"/>
    <m/>
    <n v="-1240.10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24"/>
    <x v="115"/>
    <n v="48000"/>
    <n v="0"/>
    <n v="0"/>
    <n v="4000"/>
    <n v="4000"/>
    <n v="4000"/>
    <n v="4000"/>
    <n v="4000"/>
    <n v="4000"/>
    <n v="4000"/>
    <n v="4000"/>
    <n v="4000"/>
    <n v="4000"/>
    <n v="4000"/>
    <n v="400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1"/>
    <x v="331"/>
    <n v="-18185.530000000002"/>
    <n v="0"/>
    <n v="0"/>
    <m/>
    <m/>
    <m/>
    <m/>
    <n v="-2991.2"/>
    <n v="-1447.25"/>
    <n v="-2261.9"/>
    <n v="-2180.21"/>
    <n v="-2232.79"/>
    <n v="-2176.59"/>
    <n v="-1945.59"/>
    <n v="-295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1"/>
    <x v="332"/>
    <n v="-20819.920000000002"/>
    <n v="0"/>
    <n v="0"/>
    <n v="-5179.96"/>
    <n v="-6762.39"/>
    <n v="-3516.62"/>
    <n v="-5360.9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63"/>
    <x v="0"/>
    <n v="0"/>
    <n v="944616.90500000014"/>
    <n v="0"/>
    <m/>
    <m/>
    <m/>
    <m/>
    <m/>
    <m/>
    <m/>
    <m/>
    <m/>
    <m/>
    <m/>
    <m/>
    <n v="78597.404999999999"/>
    <n v="97753.517999999996"/>
    <n v="58609.944000000003"/>
    <n v="82923.505999999994"/>
    <n v="99286.884999999995"/>
    <n v="58984.396000000001"/>
    <n v="75283.891000000003"/>
    <n v="77017.187000000005"/>
    <n v="78271.240999999995"/>
    <n v="78494.604000000007"/>
    <n v="63796.351999999999"/>
    <n v="95597.975999999995"/>
    <m/>
    <m/>
    <m/>
    <m/>
    <m/>
    <m/>
    <m/>
    <m/>
    <m/>
    <m/>
    <m/>
    <m/>
  </r>
  <r>
    <s v="10"/>
    <s v="Electric"/>
    <x v="11"/>
    <x v="24"/>
    <x v="17"/>
    <x v="64"/>
    <x v="333"/>
    <n v="3976319.6999999997"/>
    <n v="0"/>
    <n v="0"/>
    <n v="334128.5"/>
    <n v="417644.9"/>
    <n v="228378.8"/>
    <n v="338768.3"/>
    <n v="423820.2"/>
    <n v="218229.7"/>
    <n v="332829.8"/>
    <n v="337058.9"/>
    <n v="334339.40000000002"/>
    <n v="333769.59999999998"/>
    <n v="281429.40000000002"/>
    <n v="395922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3"/>
    <x v="334"/>
    <n v="-458851.73000000004"/>
    <n v="0"/>
    <n v="0"/>
    <n v="-38047.160000000003"/>
    <n v="-49670.31"/>
    <n v="-25829.87"/>
    <n v="-39376.480000000003"/>
    <n v="-50319.72"/>
    <n v="-24346.720000000001"/>
    <n v="-38051.089999999997"/>
    <n v="-36676.58"/>
    <n v="-37561.629999999997"/>
    <n v="-36615.71"/>
    <n v="-32730.03"/>
    <n v="-49626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4"/>
    <x v="335"/>
    <n v="-314351.57"/>
    <n v="0"/>
    <n v="0"/>
    <n v="-78210.06"/>
    <n v="-102102.78"/>
    <n v="-53096.1"/>
    <n v="-80942.63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4"/>
    <x v="336"/>
    <n v="-659666.21"/>
    <n v="0"/>
    <n v="0"/>
    <m/>
    <m/>
    <m/>
    <m/>
    <n v="-108503.38"/>
    <n v="-52498.38"/>
    <n v="-82048.75"/>
    <n v="-79084.97"/>
    <n v="-80993.399999999994"/>
    <n v="-78953.679999999993"/>
    <n v="-70575.12"/>
    <n v="-107008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5"/>
    <x v="0"/>
    <n v="0"/>
    <n v="0"/>
    <n v="439934550.18699998"/>
    <m/>
    <m/>
    <m/>
    <m/>
    <m/>
    <m/>
    <m/>
    <m/>
    <m/>
    <m/>
    <m/>
    <m/>
    <m/>
    <m/>
    <m/>
    <m/>
    <m/>
    <m/>
    <m/>
    <m/>
    <m/>
    <m/>
    <m/>
    <m/>
    <n v="36478581.794"/>
    <n v="47622561.609999999"/>
    <n v="24764979.653000001"/>
    <n v="37753089.015000001"/>
    <n v="48245167.365000002"/>
    <n v="23342987.675999999"/>
    <n v="36482332.976999998"/>
    <n v="35164513.534000002"/>
    <n v="36013069.616999999"/>
    <n v="35106125.188000001"/>
    <n v="31380661.09"/>
    <n v="47580480.667999998"/>
  </r>
  <r>
    <s v="10"/>
    <s v="Electric"/>
    <x v="11"/>
    <x v="24"/>
    <x v="17"/>
    <x v="5"/>
    <x v="325"/>
    <n v="8948089.8300000001"/>
    <n v="0"/>
    <n v="0"/>
    <m/>
    <m/>
    <m/>
    <m/>
    <m/>
    <m/>
    <m/>
    <m/>
    <n v="2147171.2400000002"/>
    <n v="2093097.39"/>
    <n v="1870977.78"/>
    <n v="2836843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5"/>
    <x v="326"/>
    <n v="17284586.48"/>
    <n v="0"/>
    <n v="0"/>
    <n v="2175290.7799999998"/>
    <n v="2839828.58"/>
    <n v="1476785.27"/>
    <n v="2251292.2000000002"/>
    <n v="2876955.83"/>
    <n v="1391989.04"/>
    <n v="2175514.5"/>
    <n v="2096930.2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7"/>
    <x v="327"/>
    <n v="159608.02000000002"/>
    <n v="0"/>
    <n v="0"/>
    <m/>
    <m/>
    <m/>
    <m/>
    <m/>
    <m/>
    <m/>
    <m/>
    <n v="40332.720000000001"/>
    <n v="38977.85"/>
    <n v="38984.17"/>
    <n v="41313.27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7"/>
    <x v="328"/>
    <n v="354286.89"/>
    <n v="0"/>
    <n v="0"/>
    <n v="43665.99"/>
    <n v="58144.32"/>
    <n v="28948.639999999999"/>
    <n v="44522.33"/>
    <n v="58305.8"/>
    <n v="28849.01"/>
    <n v="46479.75"/>
    <n v="45371.05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8"/>
    <x v="329"/>
    <n v="5381.38"/>
    <n v="0"/>
    <n v="0"/>
    <n v="5381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8"/>
    <x v="330"/>
    <n v="65911.41"/>
    <n v="0"/>
    <n v="0"/>
    <m/>
    <n v="7820.83"/>
    <n v="3893.8"/>
    <n v="5988.57"/>
    <n v="7842.54"/>
    <n v="3880.4"/>
    <n v="6251.85"/>
    <n v="6102.73"/>
    <n v="6097.79"/>
    <n v="5892.96"/>
    <n v="5893.9"/>
    <n v="6246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9"/>
    <x v="317"/>
    <n v="-3209.38"/>
    <n v="0"/>
    <n v="0"/>
    <n v="-799.53"/>
    <n v="-1064.6099999999999"/>
    <n v="-530.04"/>
    <n v="-815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9"/>
    <x v="318"/>
    <n v="-7992.6399999999994"/>
    <n v="0"/>
    <n v="0"/>
    <m/>
    <m/>
    <m/>
    <m/>
    <n v="-1300.24"/>
    <n v="-643.34"/>
    <n v="-1036.52"/>
    <n v="-1011.8"/>
    <n v="-1010.98"/>
    <n v="-977.03"/>
    <n v="-977.18"/>
    <n v="-1035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0"/>
    <x v="319"/>
    <n v="-334.63"/>
    <n v="0"/>
    <n v="0"/>
    <m/>
    <n v="-334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1"/>
    <x v="331"/>
    <n v="-5216.2299999999996"/>
    <n v="0"/>
    <n v="0"/>
    <m/>
    <m/>
    <m/>
    <m/>
    <n v="-848.59"/>
    <n v="-419.87"/>
    <n v="-676.46"/>
    <n v="-660.32"/>
    <n v="-659.79"/>
    <n v="-637.64"/>
    <n v="-637.74"/>
    <n v="-675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1"/>
    <x v="332"/>
    <n v="-5842.7199999999993"/>
    <n v="0"/>
    <n v="0"/>
    <n v="-1455.53"/>
    <n v="-1938.16"/>
    <n v="-964.96"/>
    <n v="-1484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63"/>
    <x v="0"/>
    <n v="0"/>
    <n v="300604.30900000001"/>
    <n v="0"/>
    <m/>
    <m/>
    <m/>
    <m/>
    <m/>
    <m/>
    <m/>
    <m/>
    <m/>
    <m/>
    <m/>
    <m/>
    <n v="25208.812999999998"/>
    <n v="38513.133999999998"/>
    <n v="11629.382"/>
    <n v="25156.483"/>
    <n v="40074.002"/>
    <n v="11152.227000000001"/>
    <n v="26215.062000000002"/>
    <n v="26480.513999999999"/>
    <n v="26443.812000000002"/>
    <n v="26289.545999999998"/>
    <n v="26147.446"/>
    <n v="17293.887999999999"/>
    <m/>
    <m/>
    <m/>
    <m/>
    <m/>
    <m/>
    <m/>
    <m/>
    <m/>
    <m/>
    <m/>
    <m/>
  </r>
  <r>
    <s v="10"/>
    <s v="Electric"/>
    <x v="11"/>
    <x v="25"/>
    <x v="17"/>
    <x v="64"/>
    <x v="333"/>
    <n v="1250095.5699999998"/>
    <n v="0"/>
    <n v="0"/>
    <n v="102675"/>
    <n v="156791.20000000001"/>
    <n v="47348.9"/>
    <n v="101735.2"/>
    <n v="161120.20000000001"/>
    <n v="46327.7"/>
    <n v="105812.6"/>
    <n v="105117"/>
    <n v="105250.2"/>
    <n v="105128.1"/>
    <n v="105276.1"/>
    <n v="107513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3"/>
    <x v="334"/>
    <n v="-130665.84999999999"/>
    <n v="0"/>
    <n v="0"/>
    <n v="-10690.98"/>
    <n v="-14235.81"/>
    <n v="-7087.66"/>
    <n v="-10900.66"/>
    <n v="-14275.34"/>
    <n v="-7063.27"/>
    <n v="-11379.9"/>
    <n v="-11108.45"/>
    <n v="-11099.47"/>
    <n v="-10726.63"/>
    <n v="-10728.37"/>
    <n v="-11369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4"/>
    <x v="335"/>
    <n v="-88216.690000000017"/>
    <n v="0"/>
    <n v="0"/>
    <n v="-21976.5"/>
    <n v="-29263.24"/>
    <n v="-14569.46"/>
    <n v="-22407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4"/>
    <x v="336"/>
    <n v="-189215.21999999997"/>
    <n v="0"/>
    <n v="0"/>
    <m/>
    <m/>
    <m/>
    <m/>
    <n v="-30781.64"/>
    <n v="-15230.39"/>
    <n v="-24538.26"/>
    <n v="-23952.94"/>
    <n v="-23933.59"/>
    <n v="-23129.599999999999"/>
    <n v="-23133.34"/>
    <n v="-24515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5"/>
    <x v="0"/>
    <n v="0"/>
    <n v="0"/>
    <n v="125278876.03799999"/>
    <m/>
    <m/>
    <m/>
    <m/>
    <m/>
    <m/>
    <m/>
    <m/>
    <m/>
    <m/>
    <m/>
    <m/>
    <m/>
    <m/>
    <m/>
    <m/>
    <m/>
    <m/>
    <m/>
    <m/>
    <m/>
    <m/>
    <m/>
    <m/>
    <n v="10250231.34"/>
    <n v="13648899.186000001"/>
    <n v="6795456.4759999998"/>
    <n v="10451249.854"/>
    <n v="13686808.194"/>
    <n v="6772068.1919999998"/>
    <n v="10910741.391000001"/>
    <n v="10650482.842"/>
    <n v="10641879.33"/>
    <n v="10284396.353"/>
    <n v="10286061.244000001"/>
    <n v="10900601.636"/>
  </r>
  <r>
    <s v="10"/>
    <s v="Electric"/>
    <x v="11"/>
    <x v="25"/>
    <x v="17"/>
    <x v="5"/>
    <x v="325"/>
    <n v="2510857.64"/>
    <n v="0"/>
    <n v="0"/>
    <m/>
    <m/>
    <m/>
    <m/>
    <m/>
    <m/>
    <m/>
    <m/>
    <n v="634490.13"/>
    <n v="613176.28"/>
    <n v="613275.56000000006"/>
    <n v="649915.67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5"/>
    <x v="326"/>
    <n v="4959351.17"/>
    <n v="0"/>
    <n v="0"/>
    <n v="611241.79"/>
    <n v="813911.15"/>
    <n v="405226.66"/>
    <n v="623228.93000000005"/>
    <n v="816171.75"/>
    <n v="403831.97"/>
    <n v="650629.32999999996"/>
    <n v="635109.5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5"/>
    <x v="30"/>
    <n v="3842.49"/>
    <n v="0"/>
    <n v="0"/>
    <m/>
    <m/>
    <m/>
    <m/>
    <m/>
    <m/>
    <m/>
    <n v="10.45"/>
    <n v="1241.2"/>
    <n v="462.43"/>
    <n v="1347.13"/>
    <n v="781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5"/>
    <x v="31"/>
    <n v="7037.9299999999985"/>
    <n v="0"/>
    <n v="0"/>
    <n v="795.61"/>
    <n v="869.84"/>
    <n v="1192.78"/>
    <n v="121.47"/>
    <n v="2106.61"/>
    <n v="462.36"/>
    <n v="842.29"/>
    <n v="42.99"/>
    <n v="603.98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6"/>
    <x v="33"/>
    <n v="44.76"/>
    <n v="0"/>
    <n v="0"/>
    <n v="44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6"/>
    <x v="34"/>
    <n v="1969.08"/>
    <n v="0"/>
    <n v="0"/>
    <n v="94.6"/>
    <n v="156.30000000000001"/>
    <n v="214.35"/>
    <n v="21.82"/>
    <n v="378.58"/>
    <n v="83.09"/>
    <n v="151.38"/>
    <n v="9.76"/>
    <n v="351.69"/>
    <n v="90.59"/>
    <n v="263.88"/>
    <n v="153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7"/>
    <x v="36"/>
    <n v="-193.54"/>
    <n v="0"/>
    <n v="0"/>
    <n v="-46.71"/>
    <n v="-51.07"/>
    <n v="-70.02"/>
    <n v="-5.54"/>
    <n v="-20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7"/>
    <x v="37"/>
    <n v="-474.40000000000003"/>
    <n v="0"/>
    <n v="0"/>
    <m/>
    <m/>
    <m/>
    <n v="-1.63"/>
    <n v="-105.44"/>
    <n v="-27.66"/>
    <n v="-50.4"/>
    <n v="-3.25"/>
    <n v="-117.07"/>
    <n v="-30.16"/>
    <n v="-87.84"/>
    <n v="-50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8"/>
    <x v="38"/>
    <n v="-20.43"/>
    <n v="0"/>
    <n v="0"/>
    <n v="-12.55"/>
    <n v="-7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9"/>
    <x v="42"/>
    <n v="-115.92"/>
    <n v="0"/>
    <n v="0"/>
    <m/>
    <m/>
    <m/>
    <n v="-0.4"/>
    <n v="-25.77"/>
    <n v="-6.76"/>
    <n v="-12.31"/>
    <n v="-0.79"/>
    <n v="-28.6"/>
    <n v="-7.36"/>
    <n v="-21.48"/>
    <n v="-12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9"/>
    <x v="43"/>
    <n v="-120.14999999999999"/>
    <n v="0"/>
    <n v="0"/>
    <n v="-28.99"/>
    <n v="-31.7"/>
    <n v="-43.47"/>
    <n v="-3.44"/>
    <n v="-12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0"/>
    <x v="14"/>
    <n v="-16743.46"/>
    <n v="0"/>
    <n v="0"/>
    <n v="-804.41"/>
    <n v="-1329.23"/>
    <n v="-1822.69"/>
    <n v="-185.61"/>
    <n v="-3219.13"/>
    <n v="-706.54"/>
    <n v="-1287.0999999999999"/>
    <n v="-83.12"/>
    <n v="-2990.29"/>
    <n v="-770.23"/>
    <n v="-2243.79"/>
    <n v="-1301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0"/>
    <x v="15"/>
    <n v="-561.85"/>
    <n v="0"/>
    <n v="0"/>
    <n v="-561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1"/>
    <x v="47"/>
    <n v="-3459.23"/>
    <n v="0"/>
    <n v="0"/>
    <n v="-245.16"/>
    <n v="-268.04000000000002"/>
    <n v="-367.55"/>
    <n v="-37.43"/>
    <n v="-649.13"/>
    <n v="-142.47"/>
    <n v="-259.52999999999997"/>
    <n v="-16.760000000000002"/>
    <n v="-602.98"/>
    <n v="-155.31"/>
    <n v="-452.46"/>
    <n v="-262.41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2"/>
    <x v="48"/>
    <n v="-4209"/>
    <n v="0"/>
    <n v="0"/>
    <m/>
    <m/>
    <m/>
    <n v="-14.37"/>
    <n v="-935.5"/>
    <n v="-245.43"/>
    <n v="-447.1"/>
    <n v="-28.88"/>
    <n v="-1038.72"/>
    <n v="-267.54000000000002"/>
    <n v="-779.42"/>
    <n v="-45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2"/>
    <x v="49"/>
    <n v="-1807.0700000000002"/>
    <n v="0"/>
    <n v="0"/>
    <n v="-436.1"/>
    <n v="-476.78"/>
    <n v="-653.79"/>
    <n v="-51.73"/>
    <n v="-188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3"/>
    <x v="51"/>
    <n v="2604.9599999999996"/>
    <n v="0"/>
    <n v="0"/>
    <n v="217.08"/>
    <n v="217.08"/>
    <n v="217.08"/>
    <n v="108.54"/>
    <n v="325.62"/>
    <n v="162.81"/>
    <n v="217.08"/>
    <n v="162.81"/>
    <n v="379.89"/>
    <n v="162.81"/>
    <n v="271.35000000000002"/>
    <n v="162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4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5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6"/>
    <x v="0"/>
    <n v="0"/>
    <n v="0"/>
    <n v="756060"/>
    <m/>
    <m/>
    <m/>
    <m/>
    <m/>
    <m/>
    <m/>
    <m/>
    <m/>
    <m/>
    <m/>
    <m/>
    <m/>
    <m/>
    <m/>
    <m/>
    <m/>
    <m/>
    <m/>
    <m/>
    <m/>
    <m/>
    <m/>
    <m/>
    <n v="58760"/>
    <n v="59460"/>
    <n v="72280"/>
    <n v="5400"/>
    <n v="132960"/>
    <n v="32360"/>
    <n v="59300"/>
    <n v="5120"/>
    <n v="140260"/>
    <n v="35240"/>
    <n v="95640"/>
    <n v="59280"/>
  </r>
  <r>
    <s v="10"/>
    <s v="Electric"/>
    <x v="12"/>
    <x v="26"/>
    <x v="18"/>
    <x v="77"/>
    <x v="0"/>
    <n v="0"/>
    <n v="6283.1400000000012"/>
    <n v="0"/>
    <m/>
    <m/>
    <m/>
    <m/>
    <m/>
    <m/>
    <m/>
    <m/>
    <m/>
    <m/>
    <m/>
    <m/>
    <n v="441.28"/>
    <n v="500.16"/>
    <n v="589.36"/>
    <n v="75.88"/>
    <n v="1014.92"/>
    <n v="254"/>
    <n v="480.44"/>
    <n v="50.52"/>
    <n v="1158.56"/>
    <n v="300.82"/>
    <n v="845.18"/>
    <n v="572.02"/>
    <m/>
    <m/>
    <m/>
    <m/>
    <m/>
    <m/>
    <m/>
    <m/>
    <m/>
    <m/>
    <m/>
    <m/>
  </r>
  <r>
    <s v="10"/>
    <s v="Electric"/>
    <x v="12"/>
    <x v="26"/>
    <x v="18"/>
    <x v="7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8"/>
    <x v="65"/>
    <n v="13967.489999999998"/>
    <n v="0"/>
    <n v="0"/>
    <n v="572.58000000000004"/>
    <m/>
    <m/>
    <m/>
    <m/>
    <m/>
    <n v="641.44000000000005"/>
    <n v="3.13"/>
    <n v="4982.7299999999996"/>
    <n v="1235.9100000000001"/>
    <n v="3982.23"/>
    <n v="2549.46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8"/>
    <x v="66"/>
    <n v="19836.02"/>
    <n v="0"/>
    <n v="0"/>
    <n v="1769.43"/>
    <n v="3194.88"/>
    <n v="3963.02"/>
    <n v="233.44"/>
    <n v="6899.57"/>
    <n v="1399.9"/>
    <n v="2019.46"/>
    <m/>
    <n v="356.32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0"/>
    <n v="0"/>
    <n v="0"/>
    <n v="2525000"/>
    <m/>
    <m/>
    <m/>
    <m/>
    <m/>
    <m/>
    <m/>
    <m/>
    <m/>
    <m/>
    <m/>
    <m/>
    <m/>
    <m/>
    <m/>
    <m/>
    <m/>
    <m/>
    <m/>
    <m/>
    <m/>
    <m/>
    <m/>
    <m/>
    <n v="178951"/>
    <n v="195648"/>
    <n v="268279"/>
    <n v="27320"/>
    <n v="473820"/>
    <n v="103995"/>
    <n v="189448"/>
    <n v="12233"/>
    <n v="440137"/>
    <n v="113369"/>
    <n v="330260"/>
    <n v="191540"/>
  </r>
  <r>
    <s v="10"/>
    <s v="Electric"/>
    <x v="12"/>
    <x v="26"/>
    <x v="18"/>
    <x v="79"/>
    <x v="337"/>
    <n v="83138.040000000008"/>
    <n v="0"/>
    <n v="0"/>
    <n v="9045.09"/>
    <n v="10211.73"/>
    <n v="14933.04"/>
    <n v="472.42"/>
    <n v="26876"/>
    <n v="4608.96"/>
    <n v="9541.99"/>
    <m/>
    <n v="7448.8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38"/>
    <n v="51640.66"/>
    <n v="0"/>
    <n v="0"/>
    <m/>
    <m/>
    <m/>
    <m/>
    <m/>
    <m/>
    <m/>
    <m/>
    <n v="16524.18"/>
    <n v="5908.21"/>
    <n v="18922.52"/>
    <n v="10285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39"/>
    <n v="6973.68"/>
    <n v="0"/>
    <n v="0"/>
    <n v="2050.19"/>
    <m/>
    <m/>
    <m/>
    <m/>
    <m/>
    <n v="1645.52"/>
    <n v="866.86"/>
    <n v="2411.1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40"/>
    <n v="22311.96"/>
    <n v="0"/>
    <n v="0"/>
    <m/>
    <m/>
    <m/>
    <m/>
    <m/>
    <m/>
    <m/>
    <n v="234.69"/>
    <n v="7401.11"/>
    <n v="3064.82"/>
    <n v="6809.3"/>
    <n v="480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41"/>
    <n v="34346.699999999997"/>
    <n v="0"/>
    <n v="0"/>
    <n v="2984.88"/>
    <n v="5273.29"/>
    <n v="5965.74"/>
    <n v="2033.01"/>
    <n v="9853.6200000000008"/>
    <n v="3916.67"/>
    <n v="3779.22"/>
    <m/>
    <n v="540.2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80"/>
    <x v="75"/>
    <n v="1955.2500000000002"/>
    <n v="0"/>
    <n v="0"/>
    <n v="151.13"/>
    <n v="153.66999999999999"/>
    <n v="188.48"/>
    <m/>
    <n v="361.67"/>
    <n v="74.709999999999994"/>
    <n v="151.97"/>
    <m/>
    <n v="381.2"/>
    <n v="84.9"/>
    <n v="254.7"/>
    <n v="15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2"/>
    <n v="22.99"/>
    <n v="0"/>
    <n v="0"/>
    <m/>
    <n v="22.9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3"/>
    <n v="73.44"/>
    <n v="0"/>
    <n v="0"/>
    <n v="-0.02"/>
    <n v="22.29"/>
    <n v="-1.1599999999999999"/>
    <n v="4.28"/>
    <n v="48.05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4"/>
    <n v="1.43"/>
    <n v="0"/>
    <n v="0"/>
    <m/>
    <n v="1.4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5"/>
    <n v="833.14"/>
    <n v="0"/>
    <n v="0"/>
    <n v="-6.08"/>
    <n v="173.56"/>
    <n v="15.89"/>
    <n v="30.09"/>
    <n v="532.52"/>
    <n v="8.93"/>
    <n v="0"/>
    <n v="0"/>
    <n v="0"/>
    <m/>
    <n v="93.29"/>
    <n v="-15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6"/>
    <n v="14882213.710000001"/>
    <n v="0"/>
    <n v="0"/>
    <m/>
    <m/>
    <m/>
    <m/>
    <m/>
    <m/>
    <m/>
    <n v="1414207.33"/>
    <n v="3357536.18"/>
    <n v="3274585.39"/>
    <n v="3424411.15"/>
    <n v="3411473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7"/>
    <n v="4355.45"/>
    <n v="0"/>
    <n v="0"/>
    <n v="-193.41"/>
    <n v="515.58000000000004"/>
    <n v="142.66"/>
    <n v="520.87"/>
    <n v="1607.17"/>
    <n v="636.5"/>
    <n v="648.55999999999995"/>
    <n v="378.51"/>
    <n v="232.13"/>
    <n v="37.049999999999997"/>
    <n v="-29.83"/>
    <n v="-140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8"/>
    <n v="40398717.809999987"/>
    <n v="0"/>
    <n v="0"/>
    <n v="3803713.45"/>
    <n v="4637123.1900000004"/>
    <n v="6393746.6100000003"/>
    <n v="7032276.9199999999"/>
    <n v="6089514.5700000003"/>
    <n v="5458820.4400000004"/>
    <n v="4670133.5199999996"/>
    <n v="2211988.91"/>
    <n v="91620.37"/>
    <n v="8804.91"/>
    <n v="845.26"/>
    <n v="129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49"/>
    <n v="3.26"/>
    <n v="0"/>
    <n v="0"/>
    <n v="0"/>
    <n v="3.2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0"/>
    <n v="1.21"/>
    <n v="0"/>
    <n v="0"/>
    <m/>
    <n v="1.21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1"/>
    <n v="36.47"/>
    <n v="0"/>
    <n v="0"/>
    <n v="-0.02"/>
    <n v="3.5"/>
    <n v="-1.3"/>
    <n v="2.4900000000000002"/>
    <n v="26.99"/>
    <n v="0"/>
    <m/>
    <m/>
    <m/>
    <m/>
    <n v="4.809999999999999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2"/>
    <n v="366585.24000000005"/>
    <n v="0"/>
    <n v="0"/>
    <n v="351202.23"/>
    <n v="13198.57"/>
    <n v="605.54"/>
    <n v="180.81"/>
    <n v="823.21"/>
    <n v="170.52"/>
    <n v="236.28"/>
    <n v="114.76"/>
    <n v="87.55"/>
    <n v="12.01"/>
    <n v="-8.11"/>
    <n v="-38.13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3"/>
    <n v="8921539.8499999996"/>
    <n v="0"/>
    <n v="0"/>
    <n v="251000.38"/>
    <n v="743791.16"/>
    <n v="1044474.81"/>
    <n v="1149705.1599999999"/>
    <n v="994863.67"/>
    <n v="892005.09"/>
    <n v="762947.31"/>
    <n v="619790.56999999995"/>
    <n v="624929.64"/>
    <n v="596203.6"/>
    <n v="622148.59"/>
    <n v="619679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4"/>
    <n v="-1.18"/>
    <n v="0"/>
    <n v="0"/>
    <m/>
    <n v="-1.1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5"/>
    <n v="-1.89"/>
    <n v="0"/>
    <n v="0"/>
    <n v="0"/>
    <n v="-1.8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6"/>
    <n v="-29.560000000000002"/>
    <n v="0"/>
    <n v="0"/>
    <n v="0"/>
    <n v="-2.54"/>
    <n v="-0.41"/>
    <n v="-1.69"/>
    <n v="-20.92"/>
    <n v="0"/>
    <m/>
    <m/>
    <m/>
    <m/>
    <n v="-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7"/>
    <n v="-166.49"/>
    <n v="0"/>
    <n v="0"/>
    <n v="9.0500000000000007"/>
    <n v="-29.97"/>
    <n v="-1.61"/>
    <n v="-17.86"/>
    <n v="-76.34"/>
    <n v="-29.58"/>
    <n v="-12.77"/>
    <n v="-5.0999999999999996"/>
    <n v="-5.99"/>
    <n v="-0.39"/>
    <n v="-3.24"/>
    <n v="7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8"/>
    <n v="-1223890.5800000003"/>
    <n v="0"/>
    <n v="0"/>
    <n v="-242282.7"/>
    <n v="-295397.55"/>
    <n v="-407294.93"/>
    <n v="-267105.63"/>
    <n v="-11207.33"/>
    <n v="-275.36"/>
    <n v="-210.14"/>
    <n v="-85.19"/>
    <n v="-45.74"/>
    <n v="-10.6"/>
    <n v="12.63"/>
    <n v="11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9"/>
    <n v="-2504999.65"/>
    <n v="0"/>
    <n v="0"/>
    <m/>
    <m/>
    <m/>
    <n v="-189071.66"/>
    <n v="-393813.41"/>
    <n v="-363205.26"/>
    <n v="-310784.17"/>
    <n v="-251201.97"/>
    <n v="-252910.3"/>
    <n v="-241334.61"/>
    <n v="-251844.4"/>
    <n v="-250833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6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1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2"/>
    <n v="-160112.6"/>
    <n v="0"/>
    <n v="0"/>
    <n v="-56467.74"/>
    <n v="-98335.96"/>
    <n v="-5064.29"/>
    <n v="-158.06"/>
    <n v="-65.849999999999994"/>
    <n v="-11.36"/>
    <n v="-7.46"/>
    <n v="-0.14000000000000001"/>
    <n v="-2.75"/>
    <n v="-0.36"/>
    <n v="0.83"/>
    <n v="0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3"/>
    <n v="-1019.5300000000001"/>
    <n v="0"/>
    <n v="0"/>
    <n v="-195.14"/>
    <n v="-130.16999999999999"/>
    <n v="-67.67"/>
    <n v="-71.09"/>
    <n v="-178.29"/>
    <n v="-59.42"/>
    <n v="-172.6"/>
    <n v="-79.83"/>
    <n v="-94.36"/>
    <n v="-7.17"/>
    <n v="15.28"/>
    <n v="20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4"/>
    <n v="-2841.1799999999994"/>
    <n v="0"/>
    <n v="0"/>
    <n v="363.64"/>
    <n v="-358.69"/>
    <n v="-30.33"/>
    <n v="-289.18"/>
    <n v="-1178.58"/>
    <n v="-574.29"/>
    <n v="-328.5"/>
    <n v="-388.63"/>
    <n v="-111.18"/>
    <n v="-41.2"/>
    <n v="29.75"/>
    <n v="66.010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112"/>
    <n v="4012.3"/>
    <n v="0"/>
    <n v="0"/>
    <m/>
    <m/>
    <m/>
    <m/>
    <m/>
    <m/>
    <m/>
    <m/>
    <m/>
    <m/>
    <m/>
    <n v="4012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113"/>
    <n v="2812532.86"/>
    <n v="0"/>
    <n v="0"/>
    <n v="196414.14"/>
    <n v="239642.02"/>
    <n v="315671.01"/>
    <n v="346043.21"/>
    <n v="295653.78999999998"/>
    <n v="266636.73"/>
    <n v="228418.23"/>
    <n v="187409.3"/>
    <n v="187770.99"/>
    <n v="181415.76"/>
    <n v="186036.91"/>
    <n v="181420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41"/>
    <n v="1234278.7999999998"/>
    <n v="0"/>
    <n v="0"/>
    <n v="105168.25"/>
    <n v="104612.58"/>
    <n v="104559.66"/>
    <n v="103849.42"/>
    <n v="103710.57"/>
    <n v="102915.69"/>
    <n v="102044.33"/>
    <n v="102270.65"/>
    <n v="101877.21"/>
    <n v="101735.63"/>
    <n v="101135.14"/>
    <n v="100399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2"/>
    <x v="115"/>
    <n v="163.45000000000002"/>
    <n v="0"/>
    <n v="0"/>
    <n v="13.42"/>
    <n v="16.190000000000001"/>
    <n v="18.41"/>
    <n v="17.829999999999998"/>
    <n v="18.62"/>
    <n v="15.79"/>
    <n v="13.73"/>
    <n v="12.17"/>
    <n v="9.68"/>
    <n v="8.24"/>
    <n v="9.3800000000000008"/>
    <n v="9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0"/>
    <n v="0"/>
    <n v="0"/>
    <n v="0"/>
    <m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250"/>
    <n v="-561456.23"/>
    <n v="0"/>
    <n v="0"/>
    <m/>
    <m/>
    <m/>
    <n v="-42416.2"/>
    <n v="-88314.37"/>
    <n v="-81438.3"/>
    <n v="-69663.210000000006"/>
    <n v="-56280.92"/>
    <n v="-56661.68"/>
    <n v="-54065.05"/>
    <n v="-56422.5"/>
    <n v="-561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5"/>
    <n v="-625750.00000000012"/>
    <n v="0"/>
    <n v="0"/>
    <n v="-123878.99"/>
    <n v="-151035.25"/>
    <n v="-208244.79"/>
    <n v="-136588.69"/>
    <n v="-5694"/>
    <n v="-140.79"/>
    <n v="-107.37"/>
    <n v="-43.67"/>
    <n v="-23.53"/>
    <n v="-5.43"/>
    <n v="6.45"/>
    <n v="6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6"/>
    <n v="-30.689999999999998"/>
    <n v="0"/>
    <n v="0"/>
    <n v="0"/>
    <n v="-2.65"/>
    <n v="-0.39"/>
    <n v="-1.78"/>
    <n v="-21.72"/>
    <n v="0"/>
    <m/>
    <m/>
    <m/>
    <m/>
    <n v="-4.150000000000000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7"/>
    <n v="-2.15"/>
    <n v="0"/>
    <n v="0"/>
    <n v="0"/>
    <n v="-2.1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8"/>
    <n v="-409.99"/>
    <n v="0"/>
    <n v="0"/>
    <n v="22.38"/>
    <n v="-73.790000000000006"/>
    <n v="-3.95"/>
    <n v="-43.97"/>
    <n v="-188.03"/>
    <n v="-72.790000000000006"/>
    <n v="-31.48"/>
    <n v="-12.6"/>
    <n v="-14.74"/>
    <n v="-0.96"/>
    <n v="-8.0299999999999994"/>
    <n v="17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9"/>
    <n v="-0.81"/>
    <n v="0"/>
    <n v="0"/>
    <m/>
    <n v="-0.81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4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370"/>
    <n v="-12.83"/>
    <n v="0"/>
    <n v="0"/>
    <m/>
    <n v="-12.8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371"/>
    <n v="-356.57"/>
    <n v="0"/>
    <n v="0"/>
    <n v="0.22"/>
    <n v="-69.31"/>
    <n v="11.38"/>
    <n v="-21.71"/>
    <n v="-235.21"/>
    <n v="0"/>
    <m/>
    <m/>
    <m/>
    <m/>
    <n v="-41.9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14"/>
    <n v="-66579803.489999995"/>
    <n v="0"/>
    <n v="0"/>
    <n v="-1864311.83"/>
    <n v="-5566010.4800000004"/>
    <n v="-7812342.21"/>
    <n v="-8596920.4499999993"/>
    <n v="-7441162.2699999996"/>
    <n v="-6673417.4100000001"/>
    <n v="-5708649.6299999999"/>
    <n v="-4612964.01"/>
    <n v="-4643908.4800000004"/>
    <n v="-4431030.24"/>
    <n v="-4623724.59"/>
    <n v="-4605361.88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15"/>
    <n v="-3962472.1499999994"/>
    <n v="0"/>
    <n v="0"/>
    <n v="-3805266.4"/>
    <n v="-141368.97"/>
    <n v="-6315.03"/>
    <n v="-968.06"/>
    <n v="-5968.08"/>
    <n v="-649.48"/>
    <n v="-1170.6300000000001"/>
    <n v="-468.81"/>
    <n v="-401.73"/>
    <n v="-54.26"/>
    <n v="2.81"/>
    <n v="156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45"/>
    <n v="-13832.25"/>
    <n v="0"/>
    <n v="0"/>
    <n v="742.7"/>
    <n v="-1608.26"/>
    <n v="-528.12"/>
    <n v="-1631.38"/>
    <n v="-4839.45"/>
    <n v="-1964.24"/>
    <n v="-2275"/>
    <n v="-1269.68"/>
    <n v="-895.91"/>
    <n v="-124.03"/>
    <n v="140.62"/>
    <n v="420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0"/>
    <n v="0"/>
    <n v="0"/>
    <n v="0"/>
    <n v="0"/>
    <n v="0"/>
    <n v="0"/>
    <n v="0"/>
    <n v="0"/>
    <n v="0"/>
    <m/>
    <m/>
    <m/>
    <m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372"/>
    <n v="-220.90999999999997"/>
    <n v="0"/>
    <n v="0"/>
    <n v="7.28"/>
    <n v="-43.26"/>
    <n v="-1.94"/>
    <n v="-22.8"/>
    <n v="-105.92"/>
    <n v="-34.81"/>
    <n v="-13.6"/>
    <n v="-0.78"/>
    <n v="-7.14"/>
    <n v="0.15"/>
    <n v="-8.08"/>
    <n v="9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373"/>
    <n v="-15248888.870000001"/>
    <n v="0"/>
    <n v="0"/>
    <n v="-1020538.82"/>
    <n v="-1244253.58"/>
    <n v="-1715537.77"/>
    <n v="-1886915.28"/>
    <n v="-1634142.9"/>
    <n v="-1464733.3"/>
    <n v="-1253180.8899999999"/>
    <n v="-1012553.43"/>
    <n v="-1019274.3"/>
    <n v="-972447.65"/>
    <n v="-1014671.02"/>
    <n v="-1010639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4"/>
    <n v="-0.59"/>
    <n v="0"/>
    <n v="0"/>
    <n v="0"/>
    <n v="-0.5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5"/>
    <n v="-1.6"/>
    <n v="0"/>
    <n v="0"/>
    <m/>
    <n v="-1.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6"/>
    <n v="-1.84"/>
    <n v="0"/>
    <n v="0"/>
    <n v="0"/>
    <n v="-1.8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7"/>
    <n v="-9418220.0900000017"/>
    <n v="0"/>
    <n v="0"/>
    <n v="-1864541.75"/>
    <n v="-2273218.2000000002"/>
    <n v="-3134253.47"/>
    <n v="-2055392.68"/>
    <n v="-86178.73"/>
    <n v="-2117.98"/>
    <n v="-1616.86"/>
    <n v="-655.98"/>
    <n v="-352.27"/>
    <n v="-81.209999999999994"/>
    <n v="97.25"/>
    <n v="91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8"/>
    <n v="-1421.6199999999997"/>
    <n v="0"/>
    <n v="0"/>
    <n v="77.36"/>
    <n v="-255.91"/>
    <n v="-13.6"/>
    <n v="-152.46"/>
    <n v="-651.87"/>
    <n v="-252.39"/>
    <n v="-109.19"/>
    <n v="-43.71"/>
    <n v="-51.11"/>
    <n v="-3.3"/>
    <n v="-27.84"/>
    <n v="6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9"/>
    <n v="-20411167.710000001"/>
    <n v="0"/>
    <n v="0"/>
    <m/>
    <m/>
    <m/>
    <n v="-1540609.83"/>
    <n v="-3208990.27"/>
    <n v="-2959529.97"/>
    <n v="-2532325.7999999998"/>
    <n v="-2046805.7"/>
    <n v="-2060764.83"/>
    <n v="-1966373.73"/>
    <n v="-2051955.37"/>
    <n v="-2043812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80"/>
    <n v="-290.81"/>
    <n v="0"/>
    <n v="0"/>
    <n v="0.1"/>
    <n v="-22.85"/>
    <n v="-3.89"/>
    <n v="-16.93"/>
    <n v="-207.6"/>
    <n v="0"/>
    <m/>
    <m/>
    <m/>
    <m/>
    <n v="-39.6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0"/>
    <n v="150001.13"/>
    <n v="0"/>
    <n v="0"/>
    <n v="14658.75"/>
    <n v="11478.36"/>
    <n v="8611.44"/>
    <n v="11392.84"/>
    <n v="12257.11"/>
    <n v="11747.1"/>
    <n v="13377.82"/>
    <n v="12822.13"/>
    <n v="13116.48"/>
    <n v="12019.26"/>
    <n v="14202.54"/>
    <n v="14317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1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2"/>
    <n v="65.410000000000011"/>
    <n v="0"/>
    <n v="0"/>
    <n v="-109.1"/>
    <n v="58.4"/>
    <n v="-28.93"/>
    <n v="-5.24"/>
    <n v="139.16999999999999"/>
    <n v="7.49"/>
    <m/>
    <m/>
    <m/>
    <m/>
    <n v="11.11"/>
    <n v="-7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7"/>
    <n v="94411429.589999989"/>
    <n v="0"/>
    <n v="0"/>
    <n v="7808986.79"/>
    <n v="7793138.1100000003"/>
    <n v="7823297.0199999996"/>
    <n v="7805592.4299999997"/>
    <n v="7851380.5999999996"/>
    <n v="7848999.4400000004"/>
    <n v="7837740.3200000003"/>
    <n v="7885905.6399999997"/>
    <n v="7935264.0099999998"/>
    <n v="7893134.46"/>
    <n v="7955044.6299999999"/>
    <n v="7972946.13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8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9"/>
    <n v="1361.44"/>
    <n v="0"/>
    <n v="0"/>
    <n v="111.76"/>
    <n v="111.76"/>
    <n v="91.44"/>
    <n v="81.28"/>
    <n v="203.2"/>
    <n v="111.76"/>
    <n v="81.28"/>
    <n v="172.72"/>
    <n v="142.24"/>
    <n v="111.76"/>
    <n v="91.44"/>
    <n v="50.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3"/>
    <n v="52538.2"/>
    <n v="0"/>
    <n v="0"/>
    <n v="4004.68"/>
    <n v="4194.28"/>
    <n v="3800.67"/>
    <n v="4155.8"/>
    <n v="4023.57"/>
    <n v="4307.55"/>
    <n v="4174.6899999999996"/>
    <n v="4080.24"/>
    <n v="4155.8"/>
    <n v="4439.1499999999996"/>
    <n v="4023.57"/>
    <n v="7178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31"/>
    <n v="77.429999999999993"/>
    <n v="0"/>
    <n v="0"/>
    <m/>
    <n v="25.81"/>
    <m/>
    <m/>
    <m/>
    <n v="25.81"/>
    <m/>
    <m/>
    <n v="25.8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4"/>
    <x v="0"/>
    <n v="-31510.209999999995"/>
    <n v="0"/>
    <n v="0"/>
    <n v="91.26"/>
    <m/>
    <m/>
    <n v="-1954.41"/>
    <n v="-15308.47"/>
    <n v="-5359.61"/>
    <n v="-932.77"/>
    <n v="-3395.24"/>
    <n v="-777.71"/>
    <m/>
    <n v="-3674.3"/>
    <n v="-198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0"/>
    <n v="-25542.980000000003"/>
    <n v="0"/>
    <n v="0"/>
    <n v="-1769.93"/>
    <n v="-1902.95"/>
    <n v="-2895.84"/>
    <n v="-3014.6"/>
    <n v="-2903.5"/>
    <n v="-2333.29"/>
    <n v="-2498.0100000000002"/>
    <n v="-1609.4"/>
    <n v="-1730.47"/>
    <n v="-1505.48"/>
    <n v="-1855.59"/>
    <n v="-1523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0"/>
    <n v="0"/>
    <n v="0"/>
    <n v="10227816743.244001"/>
    <m/>
    <m/>
    <m/>
    <m/>
    <m/>
    <m/>
    <m/>
    <m/>
    <m/>
    <m/>
    <m/>
    <m/>
    <m/>
    <m/>
    <m/>
    <m/>
    <m/>
    <m/>
    <m/>
    <m/>
    <m/>
    <m/>
    <m/>
    <m/>
    <n v="684451712.38699996"/>
    <n v="834615687.98500001"/>
    <n v="1150603706.0480001"/>
    <n v="1265585312.434"/>
    <n v="1096245431.2479999"/>
    <n v="982451796.75699997"/>
    <n v="840525695.04200006"/>
    <n v="679112891.36099994"/>
    <n v="683637150.29499996"/>
    <n v="652213623.07099998"/>
    <n v="680559266.26300001"/>
    <n v="677814470.35300004"/>
  </r>
  <r>
    <s v="10"/>
    <s v="Electric"/>
    <x v="13"/>
    <x v="27"/>
    <x v="19"/>
    <x v="85"/>
    <x v="387"/>
    <n v="441.44"/>
    <n v="0"/>
    <n v="0"/>
    <m/>
    <n v="441.4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88"/>
    <n v="1452.5"/>
    <n v="0"/>
    <n v="0"/>
    <n v="-1.1100000000000001"/>
    <n v="415.64"/>
    <n v="-105.8"/>
    <n v="164.48"/>
    <n v="901.13"/>
    <n v="0"/>
    <m/>
    <m/>
    <m/>
    <m/>
    <n v="78.1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89"/>
    <n v="4583.91"/>
    <n v="0"/>
    <n v="0"/>
    <n v="39.31"/>
    <n v="110.25"/>
    <n v="14.61"/>
    <n v="486.64"/>
    <n v="3312.14"/>
    <n v="163.72999999999999"/>
    <n v="0"/>
    <n v="0"/>
    <n v="0"/>
    <m/>
    <n v="543.79999999999995"/>
    <n v="-86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0"/>
    <n v="15969.65"/>
    <n v="0"/>
    <n v="0"/>
    <n v="-709.66"/>
    <n v="115.15"/>
    <n v="2326.42"/>
    <n v="2495.52"/>
    <n v="9809.44"/>
    <n v="984.22"/>
    <n v="570.92999999999995"/>
    <n v="-198.13"/>
    <n v="1493.42"/>
    <n v="255.26"/>
    <n v="-542.84"/>
    <n v="-630.08000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1"/>
    <n v="368983470.55999994"/>
    <n v="0"/>
    <n v="0"/>
    <n v="44931197.229999997"/>
    <n v="47835636.689999998"/>
    <n v="50944207.219999999"/>
    <n v="51503373.57"/>
    <n v="50457930.189999998"/>
    <n v="49467278.82"/>
    <n v="47437641.25"/>
    <n v="25570291.989999998"/>
    <n v="780624.21"/>
    <n v="44205.64"/>
    <n v="7265.78"/>
    <n v="3817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2"/>
    <n v="200443702.30000001"/>
    <n v="0"/>
    <n v="0"/>
    <m/>
    <m/>
    <m/>
    <m/>
    <m/>
    <m/>
    <m/>
    <n v="19610292.829999998"/>
    <n v="45194433.079999998"/>
    <n v="44779372.329999998"/>
    <n v="45258097.700000003"/>
    <n v="45601506.35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3"/>
    <n v="43.35"/>
    <n v="0"/>
    <n v="0"/>
    <m/>
    <n v="43.3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4"/>
    <n v="1287.71"/>
    <n v="0"/>
    <n v="0"/>
    <n v="0"/>
    <n v="105.23"/>
    <n v="0"/>
    <m/>
    <n v="977.76"/>
    <m/>
    <m/>
    <m/>
    <m/>
    <m/>
    <n v="204.7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5"/>
    <n v="12846.269999999999"/>
    <n v="0"/>
    <n v="0"/>
    <n v="-190.22"/>
    <n v="3898.56"/>
    <n v="459.37"/>
    <n v="25.05"/>
    <n v="7652.9"/>
    <n v="13.13"/>
    <m/>
    <m/>
    <m/>
    <m/>
    <n v="1238.4100000000001"/>
    <n v="-250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6"/>
    <n v="71238.38"/>
    <n v="0"/>
    <n v="0"/>
    <n v="-3164.37"/>
    <n v="10574.25"/>
    <n v="156.43"/>
    <n v="7811.75"/>
    <n v="21564.13"/>
    <n v="12040.43"/>
    <n v="12787.81"/>
    <n v="8104.71"/>
    <n v="3021.78"/>
    <n v="462.05"/>
    <n v="35.31"/>
    <n v="-2155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7"/>
    <n v="382393266.88999999"/>
    <n v="0"/>
    <n v="0"/>
    <n v="23784936.48"/>
    <n v="37320166.780000001"/>
    <n v="69456448.790000007"/>
    <n v="81822044.519999996"/>
    <n v="63828029.259999998"/>
    <n v="52139820.520000003"/>
    <n v="38471501.549999997"/>
    <n v="14502378.869999999"/>
    <n v="934577.02"/>
    <n v="126747.72"/>
    <n v="8548.94"/>
    <n v="-1933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8"/>
    <n v="101900939.41"/>
    <n v="0"/>
    <n v="0"/>
    <m/>
    <m/>
    <m/>
    <m/>
    <m/>
    <m/>
    <m/>
    <n v="9010497.4399999995"/>
    <n v="23022088.739999998"/>
    <n v="21615164.210000001"/>
    <n v="24480192.460000001"/>
    <n v="23772996.55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6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5"/>
    <n v="2.96"/>
    <n v="0"/>
    <n v="0"/>
    <n v="-0.03"/>
    <n v="0.89"/>
    <n v="2.1"/>
    <m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6"/>
    <n v="329502.42"/>
    <n v="0"/>
    <n v="0"/>
    <m/>
    <m/>
    <m/>
    <m/>
    <m/>
    <m/>
    <m/>
    <n v="29254.62"/>
    <n v="73751.12"/>
    <n v="73348.7"/>
    <n v="78319.039999999994"/>
    <n v="74828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7"/>
    <n v="148.97"/>
    <n v="0"/>
    <n v="0"/>
    <n v="-0.38"/>
    <n v="-63.09"/>
    <n v="11.2"/>
    <n v="75.38"/>
    <n v="123.31"/>
    <m/>
    <n v="0"/>
    <n v="0"/>
    <n v="0"/>
    <m/>
    <m/>
    <n v="2.549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8"/>
    <n v="34.4"/>
    <n v="0"/>
    <n v="0"/>
    <n v="-57.59"/>
    <n v="-32.67"/>
    <n v="59.48"/>
    <n v="68.05"/>
    <n v="13.27"/>
    <n v="-16.940000000000001"/>
    <n v="0"/>
    <n v="-2.56"/>
    <n v="0.03"/>
    <m/>
    <m/>
    <n v="3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9"/>
    <n v="845367.74000000011"/>
    <n v="0"/>
    <n v="0"/>
    <n v="88460.86"/>
    <n v="98320.17"/>
    <n v="126546.17"/>
    <n v="136480.78"/>
    <n v="126711.22"/>
    <n v="112558.24"/>
    <n v="101185.36"/>
    <n v="50626.76"/>
    <n v="3995.91"/>
    <n v="450.18"/>
    <n v="24.17"/>
    <n v="7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1"/>
    <n v="11.459999999999999"/>
    <n v="0"/>
    <n v="0"/>
    <n v="-0.02"/>
    <n v="0"/>
    <n v="1.47"/>
    <n v="0.81"/>
    <n v="9.1999999999999993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2"/>
    <n v="9511.06"/>
    <n v="0"/>
    <n v="0"/>
    <n v="8814.2099999999991"/>
    <n v="454.11"/>
    <n v="76.19"/>
    <n v="76.569999999999993"/>
    <n v="93.89"/>
    <n v="-6.18"/>
    <n v="2.87"/>
    <n v="-1.31"/>
    <n v="-0.28999999999999998"/>
    <n v="-0.06"/>
    <m/>
    <n v="1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3"/>
    <n v="209102.20000000004"/>
    <n v="0"/>
    <n v="0"/>
    <n v="6159.17"/>
    <n v="17026.3"/>
    <n v="22505.279999999999"/>
    <n v="24291.58"/>
    <n v="22519.25"/>
    <n v="20083.099999999999"/>
    <n v="18046.52"/>
    <n v="15127.59"/>
    <n v="16075.92"/>
    <n v="15360.63"/>
    <n v="16318.32"/>
    <n v="15588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5"/>
    <n v="-9.44"/>
    <n v="0"/>
    <n v="0"/>
    <n v="0.01"/>
    <n v="1.57"/>
    <n v="-0.73"/>
    <n v="-2.11"/>
    <n v="-8.1199999999999992"/>
    <m/>
    <n v="0"/>
    <n v="0"/>
    <n v="0"/>
    <m/>
    <m/>
    <n v="-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6"/>
    <n v="-1.3500000000000005"/>
    <n v="0"/>
    <n v="0"/>
    <n v="0.96"/>
    <n v="5.85"/>
    <n v="-0.71"/>
    <n v="-6.96"/>
    <n v="-0.27"/>
    <m/>
    <n v="0"/>
    <n v="0.13"/>
    <n v="0"/>
    <m/>
    <m/>
    <n v="-0.3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7"/>
    <n v="-53482.54"/>
    <n v="0"/>
    <n v="0"/>
    <m/>
    <m/>
    <m/>
    <n v="-3456.49"/>
    <n v="-7836.36"/>
    <n v="-7266.96"/>
    <n v="-6527.15"/>
    <n v="-5469.53"/>
    <n v="-5815.98"/>
    <n v="-5559.95"/>
    <n v="-5907.44"/>
    <n v="-5642.6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8"/>
    <n v="-26283.71"/>
    <n v="0"/>
    <n v="0"/>
    <n v="-5784.18"/>
    <n v="-6432.87"/>
    <n v="-8281.8799999999992"/>
    <n v="-5423.5"/>
    <n v="-349.25"/>
    <n v="0.83"/>
    <n v="-5.51"/>
    <n v="-4.09"/>
    <n v="-3.27"/>
    <n v="0.03"/>
    <n v="-0.02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09"/>
    <n v="-3062.6"/>
    <n v="0"/>
    <n v="0"/>
    <n v="-1095.94"/>
    <n v="-1829.14"/>
    <n v="-125.04"/>
    <n v="-10.220000000000001"/>
    <n v="-2.19"/>
    <n v="0.5"/>
    <n v="-0.15"/>
    <n v="-0.02"/>
    <n v="-0.4"/>
    <n v="0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10"/>
    <n v="2.8199999999999976"/>
    <n v="0"/>
    <n v="0"/>
    <n v="23.83"/>
    <n v="-3.73"/>
    <n v="-12.49"/>
    <n v="-6.99"/>
    <n v="-2.68"/>
    <n v="4.03"/>
    <n v="-0.17"/>
    <n v="0.19"/>
    <n v="0.81"/>
    <n v="0.02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11"/>
    <n v="-25.030000000000005"/>
    <n v="0"/>
    <n v="0"/>
    <n v="20.04"/>
    <n v="-10.4"/>
    <n v="-20.3"/>
    <n v="-11.01"/>
    <n v="-4.8499999999999996"/>
    <m/>
    <n v="0"/>
    <n v="1.49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112"/>
    <n v="2"/>
    <n v="0"/>
    <n v="0"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113"/>
    <n v="4625.41"/>
    <n v="0"/>
    <n v="0"/>
    <n v="334.26"/>
    <n v="370.88"/>
    <n v="573.14"/>
    <n v="530.26"/>
    <n v="578.79"/>
    <n v="407.02"/>
    <n v="403.39"/>
    <n v="259.13"/>
    <n v="332.83"/>
    <n v="248.5"/>
    <n v="318.01"/>
    <n v="269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41"/>
    <n v="4724.67"/>
    <n v="0"/>
    <n v="0"/>
    <n v="374.8"/>
    <n v="411.2"/>
    <n v="380"/>
    <n v="412"/>
    <n v="380"/>
    <n v="412"/>
    <n v="356"/>
    <n v="430.67"/>
    <n v="384"/>
    <n v="381.33"/>
    <n v="392"/>
    <n v="410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4"/>
    <x v="114"/>
    <n v="1.1599999999999999"/>
    <n v="0"/>
    <n v="0"/>
    <m/>
    <m/>
    <m/>
    <m/>
    <m/>
    <m/>
    <m/>
    <m/>
    <m/>
    <m/>
    <m/>
    <n v="1.15999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4"/>
    <x v="115"/>
    <n v="255.35999999999999"/>
    <n v="0"/>
    <n v="0"/>
    <n v="20.329999999999998"/>
    <n v="17.3"/>
    <n v="25.94"/>
    <n v="22.91"/>
    <n v="22.12"/>
    <n v="22.28"/>
    <n v="22.42"/>
    <n v="20.98"/>
    <n v="20.79"/>
    <n v="20.45"/>
    <n v="20.57"/>
    <n v="19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6"/>
    <n v="-11973.73"/>
    <n v="0"/>
    <n v="0"/>
    <m/>
    <m/>
    <m/>
    <n v="-769.59"/>
    <n v="-1757.74"/>
    <n v="-1629.07"/>
    <n v="-1462.45"/>
    <n v="-1223.6300000000001"/>
    <n v="-1301.55"/>
    <n v="-1243.9000000000001"/>
    <n v="-1322.15"/>
    <n v="-1263.65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7"/>
    <n v="-13744.29"/>
    <n v="0"/>
    <n v="0"/>
    <n v="-3023.96"/>
    <n v="-3364.23"/>
    <n v="-4332.75"/>
    <n v="-2835.61"/>
    <n v="-181.69"/>
    <n v="0.57999999999999996"/>
    <n v="-2.89"/>
    <n v="-2.06"/>
    <n v="-1.7"/>
    <n v="0.01"/>
    <n v="0.0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8"/>
    <n v="-10.730000000000002"/>
    <n v="0"/>
    <n v="0"/>
    <n v="0.01"/>
    <n v="1.76"/>
    <n v="-0.83"/>
    <n v="-2.39"/>
    <n v="-9.2200000000000006"/>
    <m/>
    <n v="0"/>
    <n v="0"/>
    <n v="0"/>
    <m/>
    <m/>
    <n v="-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9"/>
    <n v="-3.2899999999999987"/>
    <n v="0"/>
    <n v="0"/>
    <n v="2.4900000000000002"/>
    <n v="14.75"/>
    <n v="-1.83"/>
    <n v="-17.48"/>
    <n v="-0.7"/>
    <m/>
    <n v="0"/>
    <n v="0.33"/>
    <n v="0"/>
    <m/>
    <m/>
    <n v="-0.8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371"/>
    <n v="-106.61"/>
    <n v="0"/>
    <n v="0"/>
    <n v="0.23"/>
    <n v="0.04"/>
    <n v="-13.63"/>
    <n v="-7.54"/>
    <n v="-85.71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14"/>
    <n v="-1653990.15"/>
    <n v="0"/>
    <n v="0"/>
    <n v="-48717.95"/>
    <n v="-134669.6"/>
    <n v="-178000.9"/>
    <n v="-192130.1"/>
    <n v="-178115.75"/>
    <n v="-158852.96"/>
    <n v="-142752.01999999999"/>
    <n v="-119648.91"/>
    <n v="-127176.19"/>
    <n v="-121508.74"/>
    <n v="-129096.17"/>
    <n v="-123320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15"/>
    <n v="-111968.90999999999"/>
    <n v="0"/>
    <n v="0"/>
    <n v="-103987.52"/>
    <n v="-5389.86"/>
    <n v="-751.79"/>
    <n v="-767.95"/>
    <n v="-1074.6400000000001"/>
    <n v="30.72"/>
    <n v="-33.49"/>
    <n v="9.9700000000000006"/>
    <n v="1.77"/>
    <n v="0.57999999999999996"/>
    <m/>
    <n v="-6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45"/>
    <n v="-96.139999999999972"/>
    <n v="0"/>
    <n v="0"/>
    <n v="271.17"/>
    <n v="69.290000000000006"/>
    <n v="-236.47"/>
    <n v="-219.67"/>
    <n v="-51.68"/>
    <n v="69.459999999999994"/>
    <n v="-0.56999999999999995"/>
    <n v="8.69"/>
    <n v="2.69"/>
    <n v="7.0000000000000007E-2"/>
    <m/>
    <n v="-9.11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0"/>
    <n v="0"/>
    <n v="0"/>
    <n v="0"/>
    <n v="0"/>
    <n v="0"/>
    <n v="0"/>
    <n v="0"/>
    <n v="0"/>
    <m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120"/>
    <n v="-2.3500000000000005"/>
    <n v="0"/>
    <n v="0"/>
    <n v="1.24"/>
    <n v="11.86"/>
    <n v="-1.03"/>
    <n v="-13.56"/>
    <n v="-0.39"/>
    <m/>
    <n v="0"/>
    <n v="0.15"/>
    <n v="0"/>
    <m/>
    <m/>
    <n v="-0.6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121"/>
    <n v="-351396.28"/>
    <n v="0"/>
    <n v="0"/>
    <n v="-25255.040000000001"/>
    <n v="-28089.279999999999"/>
    <n v="-36161"/>
    <n v="-38985.519999999997"/>
    <n v="-36195.040000000001"/>
    <n v="-32144.51"/>
    <n v="-28903.11"/>
    <n v="-24219.98"/>
    <n v="-25745.24"/>
    <n v="-24598.66"/>
    <n v="-26133.45"/>
    <n v="-24965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3"/>
    <n v="-206782.17"/>
    <n v="0"/>
    <n v="0"/>
    <n v="-45498.13"/>
    <n v="-50602.98"/>
    <n v="-65149.09"/>
    <n v="-42674.78"/>
    <n v="-2762.51"/>
    <n v="6.04"/>
    <n v="-43.41"/>
    <n v="-32.06"/>
    <n v="-25.61"/>
    <n v="0.37"/>
    <n v="-0.0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4"/>
    <n v="-439752.32999999996"/>
    <n v="0"/>
    <n v="0"/>
    <m/>
    <m/>
    <m/>
    <n v="-28435.360000000001"/>
    <n v="-64420.34"/>
    <n v="-59749.14"/>
    <n v="-53670.76"/>
    <n v="-44978.13"/>
    <n v="-47819.35"/>
    <n v="-45714.73"/>
    <n v="-48568.98"/>
    <n v="-46395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5"/>
    <n v="-11.620000000000003"/>
    <n v="0"/>
    <n v="0"/>
    <n v="8.64"/>
    <n v="51.04"/>
    <n v="-6.32"/>
    <n v="-60.56"/>
    <n v="-2.4900000000000002"/>
    <m/>
    <n v="0"/>
    <n v="1.01"/>
    <n v="0"/>
    <m/>
    <m/>
    <n v="-2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6"/>
    <n v="-100.14"/>
    <n v="0"/>
    <n v="0"/>
    <n v="0.18"/>
    <n v="16.559999999999999"/>
    <n v="-7.69"/>
    <n v="-22.41"/>
    <n v="-86.17"/>
    <m/>
    <n v="0"/>
    <n v="0"/>
    <n v="0"/>
    <m/>
    <m/>
    <n v="-0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6"/>
    <x v="0"/>
    <n v="0"/>
    <n v="0"/>
    <n v="0"/>
    <n v="0"/>
    <n v="0"/>
    <n v="0"/>
    <n v="0"/>
    <n v="0"/>
    <n v="0"/>
    <n v="0"/>
    <n v="0"/>
    <n v="0"/>
    <n v="0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0"/>
    <n v="8019.34"/>
    <n v="0"/>
    <n v="0"/>
    <n v="722.18"/>
    <n v="458.02"/>
    <n v="597.62"/>
    <n v="722.18"/>
    <n v="629.91999999999996"/>
    <n v="559.62"/>
    <n v="681.54"/>
    <n v="833.12"/>
    <n v="783.14"/>
    <n v="568.96"/>
    <n v="751.84"/>
    <n v="711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7"/>
    <n v="7.87"/>
    <n v="0"/>
    <n v="0"/>
    <n v="7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8"/>
    <n v="-54.959999999999994"/>
    <n v="0"/>
    <n v="0"/>
    <n v="-68.819999999999993"/>
    <n v="24.15"/>
    <n v="12.57"/>
    <n v="9.66"/>
    <n v="-32.520000000000003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9"/>
    <n v="3929355.9200000004"/>
    <n v="0"/>
    <n v="0"/>
    <n v="324258.01"/>
    <n v="325821.05"/>
    <n v="327567.19"/>
    <n v="327952.61"/>
    <n v="326161.42"/>
    <n v="328594.39"/>
    <n v="325117.98"/>
    <n v="330175.62"/>
    <n v="328083.67"/>
    <n v="327976.65999999997"/>
    <n v="327628.51"/>
    <n v="330018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31"/>
    <n v="488359.61"/>
    <n v="0"/>
    <n v="0"/>
    <n v="41037.9"/>
    <n v="40547.51"/>
    <n v="41253.839999999997"/>
    <n v="41012.089999999997"/>
    <n v="41218.57"/>
    <n v="40521.699999999997"/>
    <n v="39876.449999999997"/>
    <n v="39928.07"/>
    <n v="41812.199999999997"/>
    <n v="40009.800000000003"/>
    <n v="41270.19"/>
    <n v="39871.2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0"/>
    <n v="-426.33"/>
    <n v="0"/>
    <n v="0"/>
    <n v="-25.4"/>
    <n v="-29.85"/>
    <n v="-32.950000000000003"/>
    <n v="-48.92"/>
    <n v="-32.409999999999997"/>
    <n v="-49.99"/>
    <n v="-34.270000000000003"/>
    <n v="-35.99"/>
    <n v="-31.08"/>
    <n v="-40.69"/>
    <n v="-27.4"/>
    <n v="-37.38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38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"/>
    <x v="0"/>
    <n v="0"/>
    <n v="0"/>
    <n v="263120"/>
    <m/>
    <m/>
    <m/>
    <m/>
    <m/>
    <m/>
    <m/>
    <m/>
    <m/>
    <m/>
    <m/>
    <m/>
    <m/>
    <m/>
    <m/>
    <m/>
    <m/>
    <m/>
    <m/>
    <m/>
    <m/>
    <m/>
    <m/>
    <m/>
    <n v="22680"/>
    <n v="34280"/>
    <n v="28920"/>
    <n v="26320"/>
    <n v="33440"/>
    <n v="25720"/>
    <n v="14840"/>
    <n v="14160"/>
    <n v="15400"/>
    <n v="14600"/>
    <n v="14600"/>
    <n v="18160"/>
  </r>
  <r>
    <s v="10"/>
    <s v="Electric"/>
    <x v="4"/>
    <x v="28"/>
    <x v="20"/>
    <x v="4"/>
    <x v="0"/>
    <n v="0"/>
    <n v="65553.284999999989"/>
    <n v="0"/>
    <m/>
    <m/>
    <m/>
    <m/>
    <m/>
    <m/>
    <m/>
    <m/>
    <m/>
    <m/>
    <m/>
    <m/>
    <n v="5937.0249999999996"/>
    <n v="6087.68"/>
    <n v="4554.623333333333"/>
    <n v="6493.3050000000003"/>
    <n v="6709.6"/>
    <n v="6373.7849999999999"/>
    <n v="5968.47"/>
    <n v="5860.57"/>
    <n v="4572.9866666666667"/>
    <n v="4159.8833333333332"/>
    <n v="4687.37"/>
    <n v="4147.9866666666667"/>
    <m/>
    <m/>
    <m/>
    <m/>
    <m/>
    <m/>
    <m/>
    <m/>
    <m/>
    <m/>
    <m/>
    <m/>
  </r>
  <r>
    <s v="10"/>
    <s v="Electric"/>
    <x v="4"/>
    <x v="28"/>
    <x v="20"/>
    <x v="5"/>
    <x v="0"/>
    <n v="0"/>
    <n v="0"/>
    <n v="255536609.991"/>
    <m/>
    <m/>
    <m/>
    <m/>
    <m/>
    <m/>
    <m/>
    <m/>
    <m/>
    <m/>
    <m/>
    <m/>
    <m/>
    <m/>
    <m/>
    <m/>
    <m/>
    <m/>
    <m/>
    <m/>
    <m/>
    <m/>
    <m/>
    <m/>
    <n v="18359716.625"/>
    <n v="20398122.706"/>
    <n v="26298120.355999999"/>
    <n v="28377740.713"/>
    <n v="26348324.122000001"/>
    <n v="23373295.818"/>
    <n v="21014959.947000001"/>
    <n v="17609212.635000002"/>
    <n v="18718471.851"/>
    <n v="17884608.980999999"/>
    <n v="19001341.291999999"/>
    <n v="18152694.945"/>
  </r>
  <r>
    <s v="10"/>
    <s v="Electric"/>
    <x v="4"/>
    <x v="28"/>
    <x v="20"/>
    <x v="5"/>
    <x v="140"/>
    <n v="154.49"/>
    <n v="0"/>
    <n v="0"/>
    <n v="-1.87"/>
    <n v="49.09"/>
    <n v="107.27"/>
    <m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1"/>
    <n v="1279.9299999999998"/>
    <n v="0"/>
    <n v="0"/>
    <n v="-1.65"/>
    <n v="-261.02999999999997"/>
    <n v="68.12"/>
    <n v="326.81"/>
    <n v="1140.32"/>
    <m/>
    <n v="0"/>
    <n v="0"/>
    <n v="0"/>
    <m/>
    <m/>
    <n v="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2"/>
    <n v="269.12999999999994"/>
    <n v="0"/>
    <n v="0"/>
    <n v="-386.94"/>
    <n v="-555.02"/>
    <n v="337.11"/>
    <n v="815.3"/>
    <n v="115.23"/>
    <n v="-83.78"/>
    <n v="0"/>
    <n v="-28.03"/>
    <n v="0.48"/>
    <m/>
    <m/>
    <n v="54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3"/>
    <n v="13.76"/>
    <n v="0"/>
    <n v="0"/>
    <n v="0"/>
    <m/>
    <n v="13.76"/>
    <m/>
    <n v="0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4"/>
    <n v="1853.84"/>
    <n v="0"/>
    <n v="0"/>
    <n v="-5.23"/>
    <n v="-1152.6300000000001"/>
    <n v="98.4"/>
    <n v="1324.78"/>
    <n v="1539.93"/>
    <m/>
    <n v="0"/>
    <n v="0"/>
    <n v="0"/>
    <m/>
    <m/>
    <n v="48.5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5"/>
    <n v="2902748.0499999993"/>
    <n v="0"/>
    <n v="0"/>
    <n v="1047559.87"/>
    <n v="55938.27"/>
    <n v="7720.48"/>
    <n v="6146"/>
    <n v="9325.19"/>
    <n v="-394.94"/>
    <n v="776573.7"/>
    <n v="922609.59"/>
    <n v="69433.649999999994"/>
    <n v="7208.15"/>
    <n v="505.9"/>
    <n v="122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6"/>
    <n v="7474872.8399999999"/>
    <n v="0"/>
    <n v="0"/>
    <m/>
    <m/>
    <m/>
    <m/>
    <m/>
    <m/>
    <m/>
    <n v="663615.38"/>
    <n v="1673087.68"/>
    <n v="1663969.39"/>
    <n v="1776691.26"/>
    <n v="1697509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7"/>
    <n v="423.46000000000004"/>
    <n v="0"/>
    <n v="0"/>
    <n v="-774.89"/>
    <n v="-92.25"/>
    <n v="864.74"/>
    <n v="545.64"/>
    <n v="151.24"/>
    <n v="-259.06"/>
    <n v="0"/>
    <n v="-23.18"/>
    <n v="0"/>
    <m/>
    <m/>
    <n v="11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8"/>
    <n v="13970928.609999999"/>
    <n v="0"/>
    <n v="0"/>
    <n v="693160.01"/>
    <n v="1916022.38"/>
    <n v="2532503.04"/>
    <n v="2733547.7"/>
    <n v="2534142.16"/>
    <n v="2260079.34"/>
    <n v="1228694.8999999999"/>
    <n v="62746.76"/>
    <n v="8450.66"/>
    <n v="1587.12"/>
    <n v="-38.28"/>
    <n v="3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">
  <r>
    <s v="10"/>
    <s v="Electric"/>
    <x v="0"/>
    <s v="SCH_26EC"/>
    <s v="Large Demand General Service"/>
    <s v="AMERICAN ASSETS TRUST LP"/>
    <s v="200015653948"/>
    <x v="0"/>
    <x v="0"/>
    <n v="13997.17"/>
    <n v="0"/>
    <n v="0"/>
    <m/>
    <m/>
    <m/>
    <m/>
    <m/>
    <m/>
    <m/>
    <m/>
    <n v="4943.79"/>
    <m/>
    <n v="6230.45"/>
    <n v="2822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0"/>
    <x v="1"/>
    <n v="29855.07"/>
    <n v="0"/>
    <n v="0"/>
    <n v="3490.1"/>
    <n v="-7061.36"/>
    <n v="15668.1"/>
    <m/>
    <n v="9301.51"/>
    <n v="4090.72"/>
    <n v="3538.79"/>
    <m/>
    <n v="827.2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"/>
    <x v="2"/>
    <n v="151.25"/>
    <n v="0"/>
    <n v="0"/>
    <n v="151.25"/>
    <n v="-667.15"/>
    <n v="667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"/>
    <x v="3"/>
    <n v="6697.3000000000011"/>
    <n v="0"/>
    <n v="0"/>
    <n v="373.47"/>
    <n v="-373.47"/>
    <n v="1689.16"/>
    <m/>
    <n v="1421.89"/>
    <n v="625.33000000000004"/>
    <n v="540.97"/>
    <m/>
    <n v="936.52"/>
    <m/>
    <n v="1020.88"/>
    <n v="462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2"/>
    <x v="4"/>
    <n v="-627.4"/>
    <n v="0"/>
    <n v="0"/>
    <n v="-160.28"/>
    <n v="324.29000000000002"/>
    <n v="-719.55"/>
    <m/>
    <n v="-71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2"/>
    <x v="5"/>
    <n v="-1486.5100000000002"/>
    <n v="0"/>
    <n v="0"/>
    <m/>
    <m/>
    <m/>
    <m/>
    <n v="-368.66"/>
    <n v="-194.92"/>
    <n v="-168.62"/>
    <m/>
    <n v="-291.92"/>
    <m/>
    <n v="-318.20999999999998"/>
    <n v="-144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3"/>
    <x v="6"/>
    <n v="0"/>
    <n v="0"/>
    <n v="0"/>
    <n v="0"/>
    <n v="0"/>
    <n v="0"/>
    <m/>
    <n v="0"/>
    <n v="0"/>
    <n v="0"/>
    <m/>
    <n v="0"/>
    <m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3"/>
    <x v="7"/>
    <n v="-63.22"/>
    <n v="0"/>
    <n v="0"/>
    <n v="-40.56"/>
    <n v="40.56"/>
    <n v="-63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4"/>
    <x v="8"/>
    <n v="-457.38"/>
    <n v="0"/>
    <n v="0"/>
    <m/>
    <m/>
    <m/>
    <m/>
    <n v="-113.43"/>
    <n v="-59.98"/>
    <n v="-51.88"/>
    <m/>
    <n v="-89.82"/>
    <m/>
    <n v="-97.91"/>
    <n v="-44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4"/>
    <x v="9"/>
    <n v="-494.84999999999997"/>
    <n v="0"/>
    <n v="0"/>
    <n v="-126.42"/>
    <n v="255.78"/>
    <n v="-567.53"/>
    <m/>
    <n v="-56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5"/>
    <x v="10"/>
    <n v="-13666.4"/>
    <n v="0"/>
    <n v="0"/>
    <n v="-1063.28"/>
    <n v="2151.29"/>
    <n v="-4773.3900000000003"/>
    <m/>
    <n v="-2833.78"/>
    <n v="-1246.27"/>
    <n v="-1078.1199999999999"/>
    <m/>
    <n v="-1866.43"/>
    <m/>
    <n v="-2034.58"/>
    <n v="-921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6"/>
    <x v="11"/>
    <n v="-16667.89"/>
    <n v="0"/>
    <n v="0"/>
    <m/>
    <m/>
    <m/>
    <m/>
    <n v="-4133.67"/>
    <n v="-2185.6"/>
    <n v="-1890.71"/>
    <m/>
    <n v="-3273.19"/>
    <m/>
    <n v="-3568.07"/>
    <n v="-1616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6"/>
    <x v="12"/>
    <n v="-7455.19"/>
    <n v="0"/>
    <n v="0"/>
    <n v="-1904.58"/>
    <n v="3853.45"/>
    <n v="-8550.2199999999993"/>
    <m/>
    <n v="-853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7"/>
    <x v="13"/>
    <n v="4282.92"/>
    <n v="0"/>
    <n v="0"/>
    <n v="356.91"/>
    <n v="-713.82"/>
    <n v="1427.64"/>
    <m/>
    <n v="713.82"/>
    <n v="356.91"/>
    <n v="356.91"/>
    <m/>
    <n v="713.82"/>
    <m/>
    <n v="713.82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8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4"/>
    <n v="21901.72"/>
    <n v="0"/>
    <n v="0"/>
    <n v="5006.68"/>
    <n v="-20453.66"/>
    <n v="20453.66"/>
    <m/>
    <m/>
    <m/>
    <n v="12171.57"/>
    <m/>
    <n v="4723.4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5"/>
    <n v="73413.320000000007"/>
    <n v="0"/>
    <n v="0"/>
    <m/>
    <m/>
    <m/>
    <m/>
    <m/>
    <m/>
    <m/>
    <m/>
    <n v="26636.75"/>
    <m/>
    <n v="31937.02"/>
    <n v="14839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6"/>
    <n v="171268.34"/>
    <n v="0"/>
    <n v="0"/>
    <n v="17228.939999999999"/>
    <n v="-17228.939999999999"/>
    <n v="77823.02"/>
    <m/>
    <n v="58859.3"/>
    <n v="27747.71"/>
    <n v="6838.3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0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0"/>
    <x v="1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1"/>
    <x v="6"/>
    <n v="0"/>
    <n v="0"/>
    <n v="2847600"/>
    <m/>
    <m/>
    <m/>
    <m/>
    <m/>
    <m/>
    <m/>
    <m/>
    <m/>
    <m/>
    <m/>
    <m/>
    <m/>
    <m/>
    <m/>
    <m/>
    <m/>
    <m/>
    <m/>
    <m/>
    <m/>
    <m/>
    <m/>
    <m/>
    <n v="261800"/>
    <n v="-553700"/>
    <n v="1034600"/>
    <m/>
    <n v="484400"/>
    <n v="228200"/>
    <n v="220500"/>
    <m/>
    <n v="455700"/>
    <m/>
    <n v="491400"/>
    <n v="224700"/>
  </r>
  <r>
    <s v="10"/>
    <s v="Electric"/>
    <x v="0"/>
    <s v="SCH_26EC"/>
    <s v="Large Demand General Service"/>
    <s v="AMERICAN ASSETS TRUST LP"/>
    <s v="200015653948"/>
    <x v="12"/>
    <x v="6"/>
    <n v="0"/>
    <n v="24375.4"/>
    <n v="0"/>
    <m/>
    <m/>
    <m/>
    <m/>
    <m/>
    <m/>
    <m/>
    <m/>
    <m/>
    <m/>
    <m/>
    <m/>
    <n v="1956.5"/>
    <n v="-3767.4"/>
    <n v="8584.1"/>
    <m/>
    <n v="4678.8"/>
    <n v="2205.6999999999998"/>
    <n v="1970.5"/>
    <m/>
    <n v="3526.6"/>
    <m/>
    <n v="3564.4"/>
    <n v="1656.2"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3"/>
    <x v="6"/>
    <n v="0"/>
    <n v="0"/>
    <n v="9671900"/>
    <m/>
    <m/>
    <m/>
    <m/>
    <m/>
    <m/>
    <m/>
    <m/>
    <m/>
    <m/>
    <m/>
    <m/>
    <m/>
    <m/>
    <m/>
    <m/>
    <m/>
    <m/>
    <m/>
    <m/>
    <m/>
    <m/>
    <m/>
    <m/>
    <n v="752500"/>
    <n v="-1522500"/>
    <n v="3378200"/>
    <m/>
    <n v="2005500"/>
    <n v="882000"/>
    <n v="763000"/>
    <m/>
    <n v="1320900"/>
    <m/>
    <n v="1439900"/>
    <n v="652400"/>
  </r>
  <r>
    <s v="10"/>
    <s v="Electric"/>
    <x v="0"/>
    <s v="SCH_26EC"/>
    <s v="Large Demand General Service"/>
    <s v="AMERICAN ASSETS TRUST LP"/>
    <s v="200015653948"/>
    <x v="13"/>
    <x v="18"/>
    <n v="365901.52999999997"/>
    <n v="0"/>
    <n v="0"/>
    <n v="42774.36"/>
    <n v="-86543.47"/>
    <n v="192027.02"/>
    <m/>
    <n v="113998.64"/>
    <n v="50135.53"/>
    <n v="43371.21"/>
    <m/>
    <n v="10138.24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3"/>
    <x v="19"/>
    <n v="184845.51"/>
    <n v="0"/>
    <n v="0"/>
    <m/>
    <m/>
    <m/>
    <m/>
    <m/>
    <m/>
    <m/>
    <m/>
    <n v="65287.3"/>
    <m/>
    <n v="82278.77"/>
    <n v="37279.44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4"/>
    <x v="20"/>
    <n v="3616.46"/>
    <n v="0"/>
    <n v="0"/>
    <n v="332.49"/>
    <n v="-703.2"/>
    <n v="1313.94"/>
    <m/>
    <n v="615.19000000000005"/>
    <n v="289.81"/>
    <n v="280.04000000000002"/>
    <m/>
    <n v="578.74"/>
    <m/>
    <n v="624.08000000000004"/>
    <n v="285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0"/>
    <x v="0"/>
    <n v="6012.43"/>
    <n v="0"/>
    <n v="0"/>
    <m/>
    <m/>
    <m/>
    <m/>
    <m/>
    <m/>
    <m/>
    <m/>
    <m/>
    <n v="3403.24"/>
    <n v="1363.01"/>
    <n v="1246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0"/>
    <x v="1"/>
    <n v="10068.57"/>
    <n v="0"/>
    <n v="0"/>
    <n v="1348.27"/>
    <m/>
    <n v="2888.55"/>
    <n v="1515.23"/>
    <n v="1435.92"/>
    <n v="1339.92"/>
    <m/>
    <m/>
    <m/>
    <n v="1540.6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"/>
    <x v="2"/>
    <n v="51.94"/>
    <n v="0"/>
    <n v="0"/>
    <n v="51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"/>
    <x v="3"/>
    <n v="2469.37"/>
    <n v="0"/>
    <n v="0"/>
    <n v="151.13999999999999"/>
    <m/>
    <n v="441.57"/>
    <n v="231.63"/>
    <n v="219.51"/>
    <n v="204.83"/>
    <m/>
    <m/>
    <m/>
    <n v="793.16"/>
    <n v="223.34"/>
    <n v="204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2"/>
    <x v="4"/>
    <n v="-214.77999999999997"/>
    <n v="0"/>
    <n v="0"/>
    <n v="-61.92"/>
    <m/>
    <n v="-132.66"/>
    <n v="-20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2"/>
    <x v="5"/>
    <n v="-564.02"/>
    <n v="0"/>
    <n v="0"/>
    <m/>
    <m/>
    <m/>
    <n v="-51.24"/>
    <n v="-68.42"/>
    <n v="-63.85"/>
    <m/>
    <m/>
    <m/>
    <n v="-247.24"/>
    <n v="-69.62"/>
    <n v="-63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3"/>
    <x v="6"/>
    <n v="0"/>
    <n v="0"/>
    <n v="0"/>
    <n v="0"/>
    <m/>
    <n v="0"/>
    <n v="0"/>
    <n v="0"/>
    <n v="0"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3"/>
    <x v="7"/>
    <n v="-23.23"/>
    <n v="0"/>
    <n v="0"/>
    <n v="-16.41"/>
    <m/>
    <n v="-6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4"/>
    <x v="8"/>
    <n v="-173.53999999999996"/>
    <n v="0"/>
    <n v="0"/>
    <m/>
    <m/>
    <m/>
    <n v="-15.77"/>
    <n v="-21.05"/>
    <n v="-19.649999999999999"/>
    <m/>
    <m/>
    <m/>
    <n v="-76.069999999999993"/>
    <n v="-21.42"/>
    <n v="-19.57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4"/>
    <x v="9"/>
    <n v="-169.4"/>
    <n v="0"/>
    <n v="0"/>
    <n v="-48.84"/>
    <m/>
    <n v="-104.63"/>
    <n v="-15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5"/>
    <x v="10"/>
    <n v="-5030.8599999999997"/>
    <n v="0"/>
    <n v="0"/>
    <n v="-410.76"/>
    <m/>
    <n v="-880.02"/>
    <n v="-461.63"/>
    <n v="-437.46"/>
    <n v="-408.22"/>
    <m/>
    <m/>
    <m/>
    <n v="-1580.73"/>
    <n v="-445.1"/>
    <n v="-406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6"/>
    <x v="11"/>
    <n v="-6323.9699999999993"/>
    <n v="0"/>
    <n v="0"/>
    <m/>
    <m/>
    <m/>
    <n v="-574.53"/>
    <n v="-767.19"/>
    <n v="-715.89"/>
    <m/>
    <m/>
    <m/>
    <n v="-2772.13"/>
    <n v="-780.57"/>
    <n v="-713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6"/>
    <x v="12"/>
    <n v="-2552.12"/>
    <n v="0"/>
    <n v="0"/>
    <n v="-735.76"/>
    <m/>
    <n v="-1576.3"/>
    <n v="-240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7"/>
    <x v="13"/>
    <n v="4282.92"/>
    <n v="0"/>
    <n v="0"/>
    <n v="356.91"/>
    <m/>
    <n v="713.82"/>
    <n v="356.91"/>
    <n v="356.91"/>
    <n v="356.91"/>
    <m/>
    <m/>
    <m/>
    <n v="1427.64"/>
    <n v="356.91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8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4"/>
    <n v="5853.68"/>
    <n v="0"/>
    <n v="0"/>
    <n v="1203.75"/>
    <m/>
    <m/>
    <m/>
    <m/>
    <m/>
    <m/>
    <m/>
    <m/>
    <n v="4649.9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5"/>
    <n v="24212.82"/>
    <n v="0"/>
    <n v="0"/>
    <m/>
    <m/>
    <m/>
    <m/>
    <m/>
    <m/>
    <m/>
    <m/>
    <m/>
    <n v="13890.9"/>
    <n v="5354.5"/>
    <n v="4967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6"/>
    <n v="41471.630000000005"/>
    <n v="0"/>
    <n v="0"/>
    <n v="4882.05"/>
    <m/>
    <n v="14265.72"/>
    <n v="6974.35"/>
    <n v="6657.34"/>
    <n v="7019.64"/>
    <m/>
    <m/>
    <m/>
    <n v="1672.5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0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0"/>
    <x v="2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1"/>
    <x v="6"/>
    <n v="0"/>
    <n v="0"/>
    <n v="1777500"/>
    <m/>
    <m/>
    <m/>
    <m/>
    <m/>
    <m/>
    <m/>
    <m/>
    <m/>
    <m/>
    <m/>
    <m/>
    <m/>
    <m/>
    <m/>
    <m/>
    <m/>
    <m/>
    <m/>
    <m/>
    <m/>
    <m/>
    <m/>
    <m/>
    <n v="154800"/>
    <m/>
    <n v="297000"/>
    <n v="148500"/>
    <n v="141300"/>
    <n v="135000"/>
    <m/>
    <m/>
    <m/>
    <n v="579600"/>
    <n v="168300"/>
    <n v="153000"/>
  </r>
  <r>
    <s v="10"/>
    <s v="Electric"/>
    <x v="0"/>
    <s v="SCH_26EC"/>
    <s v="Large Demand General Service"/>
    <s v="VULCAN INC"/>
    <s v="200014803825"/>
    <x v="12"/>
    <x v="6"/>
    <n v="0"/>
    <n v="6685.2000000000007"/>
    <n v="0"/>
    <m/>
    <m/>
    <m/>
    <m/>
    <m/>
    <m/>
    <m/>
    <m/>
    <m/>
    <m/>
    <m/>
    <m/>
    <n v="529.20000000000005"/>
    <m/>
    <n v="1134"/>
    <n v="554.4"/>
    <n v="529.20000000000005"/>
    <n v="558"/>
    <m/>
    <m/>
    <m/>
    <n v="2228.4"/>
    <n v="597.6"/>
    <n v="554.4"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3"/>
    <x v="6"/>
    <n v="0"/>
    <n v="0"/>
    <n v="3560400"/>
    <m/>
    <m/>
    <m/>
    <m/>
    <m/>
    <m/>
    <m/>
    <m/>
    <m/>
    <m/>
    <m/>
    <m/>
    <m/>
    <m/>
    <m/>
    <m/>
    <m/>
    <m/>
    <m/>
    <m/>
    <m/>
    <m/>
    <m/>
    <m/>
    <n v="290700"/>
    <m/>
    <n v="622800"/>
    <n v="326700"/>
    <n v="309600"/>
    <n v="288900"/>
    <m/>
    <m/>
    <m/>
    <n v="1118700"/>
    <n v="315000"/>
    <n v="288000"/>
  </r>
  <r>
    <s v="10"/>
    <s v="Electric"/>
    <x v="0"/>
    <s v="SCH_26EC"/>
    <s v="Large Demand General Service"/>
    <s v="VULCAN INC"/>
    <s v="200014803825"/>
    <x v="13"/>
    <x v="18"/>
    <n v="123399.69"/>
    <n v="0"/>
    <n v="0"/>
    <n v="16524.259999999998"/>
    <m/>
    <n v="35401.82"/>
    <n v="18570.61"/>
    <n v="17598.59"/>
    <n v="16421.939999999999"/>
    <m/>
    <m/>
    <m/>
    <n v="1888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3"/>
    <x v="19"/>
    <n v="79399.59"/>
    <n v="0"/>
    <n v="0"/>
    <m/>
    <m/>
    <m/>
    <m/>
    <m/>
    <m/>
    <m/>
    <m/>
    <m/>
    <n v="44942.96"/>
    <n v="17999.73"/>
    <n v="16456.9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4"/>
    <x v="20"/>
    <n v="2257.4299999999998"/>
    <n v="0"/>
    <n v="0"/>
    <n v="196.6"/>
    <m/>
    <n v="377.19"/>
    <n v="188.6"/>
    <n v="179.45"/>
    <n v="171.45"/>
    <m/>
    <m/>
    <m/>
    <n v="736.09"/>
    <n v="213.74"/>
    <n v="194.31"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">
  <r>
    <s v="010/2015"/>
    <x v="0"/>
    <x v="0"/>
    <s v="10"/>
    <s v="Electric"/>
    <x v="0"/>
    <s v="Res &amp; Farm Primary General Service"/>
    <x v="0"/>
    <x v="0"/>
    <s v="KW"/>
    <m/>
    <m/>
    <m/>
    <m/>
    <m/>
    <n v="35356.04"/>
    <m/>
    <n v="35356.04"/>
  </r>
  <r>
    <s v="010/2015"/>
    <x v="0"/>
    <x v="0"/>
    <s v="10"/>
    <s v="Electric"/>
    <x v="0"/>
    <s v="Res &amp; Farm Primary General Service"/>
    <x v="0"/>
    <x v="1"/>
    <s v="KW"/>
    <m/>
    <m/>
    <m/>
    <m/>
    <m/>
    <n v="19671.98"/>
    <m/>
    <n v="19671.98"/>
  </r>
  <r>
    <s v="011/2015"/>
    <x v="1"/>
    <x v="0"/>
    <s v="10"/>
    <s v="Electric"/>
    <x v="0"/>
    <s v="Res &amp; Farm Primary General Service"/>
    <x v="0"/>
    <x v="1"/>
    <s v="KW"/>
    <m/>
    <m/>
    <m/>
    <m/>
    <m/>
    <n v="68083.009999999995"/>
    <m/>
    <n v="68083.009999999995"/>
  </r>
  <r>
    <s v="012/2015"/>
    <x v="2"/>
    <x v="0"/>
    <s v="10"/>
    <s v="Electric"/>
    <x v="0"/>
    <s v="Res &amp; Farm Primary General Service"/>
    <x v="0"/>
    <x v="1"/>
    <s v="KW"/>
    <m/>
    <m/>
    <m/>
    <m/>
    <m/>
    <n v="78656.320000000007"/>
    <m/>
    <n v="78656.320000000007"/>
  </r>
  <r>
    <s v="001/2016"/>
    <x v="3"/>
    <x v="1"/>
    <s v="10"/>
    <s v="Electric"/>
    <x v="0"/>
    <s v="Res &amp; Farm Primary General Service"/>
    <x v="0"/>
    <x v="1"/>
    <s v="KW"/>
    <m/>
    <m/>
    <m/>
    <m/>
    <m/>
    <n v="92739.79"/>
    <m/>
    <n v="92739.79"/>
  </r>
  <r>
    <s v="002/2016"/>
    <x v="4"/>
    <x v="1"/>
    <s v="10"/>
    <s v="Electric"/>
    <x v="0"/>
    <s v="Res &amp; Farm Primary General Service"/>
    <x v="0"/>
    <x v="1"/>
    <s v="KW"/>
    <m/>
    <m/>
    <m/>
    <m/>
    <m/>
    <n v="79574.259999999995"/>
    <m/>
    <n v="79574.259999999995"/>
  </r>
  <r>
    <s v="003/2016"/>
    <x v="5"/>
    <x v="1"/>
    <s v="10"/>
    <s v="Electric"/>
    <x v="0"/>
    <s v="Res &amp; Farm Primary General Service"/>
    <x v="0"/>
    <x v="1"/>
    <s v="KW"/>
    <m/>
    <m/>
    <m/>
    <m/>
    <m/>
    <n v="66491.429999999993"/>
    <m/>
    <n v="66491.429999999993"/>
  </r>
  <r>
    <s v="004/2016"/>
    <x v="6"/>
    <x v="1"/>
    <s v="10"/>
    <s v="Electric"/>
    <x v="0"/>
    <s v="Res &amp; Farm Primary General Service"/>
    <x v="0"/>
    <x v="0"/>
    <s v="KW"/>
    <m/>
    <m/>
    <m/>
    <m/>
    <m/>
    <n v="15048.6"/>
    <m/>
    <n v="15048.6"/>
  </r>
  <r>
    <s v="004/2016"/>
    <x v="6"/>
    <x v="1"/>
    <s v="10"/>
    <s v="Electric"/>
    <x v="0"/>
    <s v="Res &amp; Farm Primary General Service"/>
    <x v="0"/>
    <x v="1"/>
    <s v="KW"/>
    <m/>
    <m/>
    <m/>
    <m/>
    <m/>
    <n v="47288.160000000003"/>
    <m/>
    <n v="47288.160000000003"/>
  </r>
  <r>
    <s v="005/2016"/>
    <x v="7"/>
    <x v="1"/>
    <s v="10"/>
    <s v="Electric"/>
    <x v="0"/>
    <s v="Res &amp; Farm Primary General Service"/>
    <x v="0"/>
    <x v="0"/>
    <s v="KW"/>
    <m/>
    <m/>
    <m/>
    <m/>
    <m/>
    <n v="18847.98"/>
    <m/>
    <n v="18847.98"/>
  </r>
  <r>
    <s v="005/2016"/>
    <x v="7"/>
    <x v="1"/>
    <s v="10"/>
    <s v="Electric"/>
    <x v="0"/>
    <s v="Res &amp; Farm Primary General Service"/>
    <x v="0"/>
    <x v="2"/>
    <s v="KW"/>
    <m/>
    <m/>
    <m/>
    <m/>
    <m/>
    <m/>
    <n v="11694.55"/>
    <n v="11694.55"/>
  </r>
  <r>
    <s v="005/2016"/>
    <x v="7"/>
    <x v="1"/>
    <s v="10"/>
    <s v="Electric"/>
    <x v="0"/>
    <s v="Res &amp; Farm Primary General Service"/>
    <x v="0"/>
    <x v="1"/>
    <s v="KW"/>
    <m/>
    <m/>
    <m/>
    <m/>
    <m/>
    <n v="11671.7"/>
    <m/>
    <n v="11671.7"/>
  </r>
  <r>
    <s v="006/2016"/>
    <x v="8"/>
    <x v="1"/>
    <s v="10"/>
    <s v="Electric"/>
    <x v="0"/>
    <s v="Res &amp; Farm Primary General Service"/>
    <x v="0"/>
    <x v="0"/>
    <s v="KW"/>
    <m/>
    <m/>
    <m/>
    <m/>
    <m/>
    <n v="991.87"/>
    <m/>
    <n v="991.87"/>
  </r>
  <r>
    <s v="006/2016"/>
    <x v="8"/>
    <x v="1"/>
    <s v="10"/>
    <s v="Electric"/>
    <x v="0"/>
    <s v="Res &amp; Farm Primary General Service"/>
    <x v="0"/>
    <x v="2"/>
    <s v="KW"/>
    <m/>
    <m/>
    <m/>
    <m/>
    <m/>
    <m/>
    <n v="36512.61"/>
    <n v="36512.61"/>
  </r>
  <r>
    <s v="007/2016"/>
    <x v="9"/>
    <x v="1"/>
    <s v="10"/>
    <s v="Electric"/>
    <x v="0"/>
    <s v="Res &amp; Farm Primary General Service"/>
    <x v="0"/>
    <x v="0"/>
    <s v="KW"/>
    <m/>
    <m/>
    <m/>
    <m/>
    <m/>
    <n v="16098.33"/>
    <m/>
    <n v="16098.33"/>
  </r>
  <r>
    <s v="007/2016"/>
    <x v="9"/>
    <x v="1"/>
    <s v="10"/>
    <s v="Electric"/>
    <x v="0"/>
    <s v="Res &amp; Farm Primary General Service"/>
    <x v="0"/>
    <x v="2"/>
    <s v="KW"/>
    <m/>
    <m/>
    <m/>
    <m/>
    <m/>
    <m/>
    <n v="71984.36"/>
    <n v="71984.36"/>
  </r>
  <r>
    <s v="008/2016"/>
    <x v="10"/>
    <x v="1"/>
    <s v="10"/>
    <s v="Electric"/>
    <x v="0"/>
    <s v="Res &amp; Farm Primary General Service"/>
    <x v="0"/>
    <x v="2"/>
    <s v="KW"/>
    <m/>
    <m/>
    <m/>
    <m/>
    <m/>
    <m/>
    <n v="55264.09"/>
    <n v="55264.09"/>
  </r>
  <r>
    <s v="009/2016"/>
    <x v="11"/>
    <x v="1"/>
    <s v="10"/>
    <s v="Electric"/>
    <x v="0"/>
    <s v="Res &amp; Farm Primary General Service"/>
    <x v="0"/>
    <x v="2"/>
    <s v="KW"/>
    <m/>
    <m/>
    <m/>
    <m/>
    <m/>
    <m/>
    <n v="50623.18"/>
    <n v="50623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80:P113" firstHeaderRow="1" firstDataRow="2" firstDataCol="2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h="1" x="7"/>
        <item x="41"/>
        <item h="1" x="8"/>
        <item x="42"/>
        <item h="1" x="9"/>
        <item x="43"/>
        <item h="1" x="10"/>
        <item h="1" x="18"/>
        <item h="1" x="24"/>
        <item h="1" x="11"/>
        <item x="25"/>
        <item h="1" x="19"/>
        <item h="1" x="12"/>
        <item x="57"/>
        <item x="60"/>
        <item x="61"/>
        <item x="63"/>
        <item x="64"/>
        <item h="1" x="13"/>
        <item x="36"/>
        <item h="1" x="14"/>
        <item x="44"/>
        <item x="45"/>
        <item x="46"/>
        <item x="47"/>
        <item x="48"/>
        <item x="62"/>
        <item x="26"/>
        <item x="15"/>
        <item x="37"/>
        <item h="1" x="1"/>
        <item x="49"/>
        <item h="1" x="32"/>
        <item x="50"/>
        <item x="38"/>
        <item x="16"/>
        <item x="35"/>
        <item x="39"/>
        <item x="2"/>
        <item x="5"/>
        <item x="34"/>
        <item x="33"/>
        <item x="51"/>
        <item h="1" x="17"/>
        <item x="52"/>
        <item x="58"/>
        <item x="59"/>
        <item x="53"/>
        <item h="1" x="3"/>
        <item h="1" x="27"/>
        <item h="1" x="4"/>
        <item h="1" x="28"/>
        <item x="20"/>
        <item h="1" x="21"/>
        <item x="54"/>
        <item h="1" x="22"/>
        <item x="55"/>
        <item h="1" x="29"/>
        <item x="56"/>
        <item h="1" x="23"/>
        <item h="1" x="30"/>
        <item x="6"/>
        <item x="40"/>
        <item x="31"/>
        <item h="1" x="65"/>
        <item h="1" x="66"/>
        <item h="1" x="67"/>
        <item h="1" x="68"/>
        <item x="81"/>
        <item x="82"/>
        <item h="1" x="69"/>
        <item x="83"/>
        <item x="84"/>
        <item h="1" x="70"/>
        <item h="1" x="71"/>
        <item h="1" x="72"/>
        <item x="73"/>
        <item h="1" x="74"/>
        <item h="1" x="75"/>
        <item h="1" x="76"/>
        <item h="1" x="77"/>
        <item x="79"/>
        <item x="78"/>
        <item x="85"/>
        <item x="86"/>
        <item x="87"/>
        <item x="88"/>
        <item x="80"/>
        <item x="89"/>
        <item t="default"/>
      </items>
    </pivotField>
    <pivotField axis="axisRow"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6"/>
  </rowFields>
  <rowItems count="32">
    <i>
      <x v="29"/>
      <x v="391"/>
    </i>
    <i r="1">
      <x v="392"/>
    </i>
    <i r="1">
      <x v="394"/>
    </i>
    <i t="default">
      <x v="29"/>
    </i>
    <i>
      <x v="40"/>
      <x/>
    </i>
    <i r="1">
      <x v="245"/>
    </i>
    <i r="1">
      <x v="246"/>
    </i>
    <i t="default">
      <x v="40"/>
    </i>
    <i>
      <x v="41"/>
      <x/>
    </i>
    <i r="1">
      <x v="240"/>
    </i>
    <i r="1">
      <x v="241"/>
    </i>
    <i r="1">
      <x v="243"/>
    </i>
    <i r="1">
      <x v="244"/>
    </i>
    <i r="1">
      <x v="245"/>
    </i>
    <i r="1">
      <x v="246"/>
    </i>
    <i t="default">
      <x v="41"/>
    </i>
    <i>
      <x v="42"/>
      <x v="365"/>
    </i>
    <i r="1">
      <x v="366"/>
    </i>
    <i r="1">
      <x v="371"/>
    </i>
    <i r="1">
      <x v="372"/>
    </i>
    <i r="1">
      <x v="376"/>
    </i>
    <i r="1">
      <x v="382"/>
    </i>
    <i r="1">
      <x v="384"/>
    </i>
    <i r="1">
      <x v="385"/>
    </i>
    <i t="default">
      <x v="42"/>
    </i>
    <i>
      <x v="53"/>
      <x v="371"/>
    </i>
    <i r="1">
      <x v="376"/>
    </i>
    <i r="1">
      <x v="385"/>
    </i>
    <i t="default">
      <x v="53"/>
    </i>
    <i>
      <x v="62"/>
      <x v="114"/>
    </i>
    <i t="default"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3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6" baseItem="391"/>
  </dataFields>
  <formats count="23">
    <format dxfId="66">
      <pivotArea outline="0" collapsedLevelsAreSubtotals="1" fieldPosition="0"/>
    </format>
    <format dxfId="65">
      <pivotArea field="5" type="button" dataOnly="0" labelOnly="1" outline="0" axis="axisRow" fieldPosition="0"/>
    </format>
    <format dxfId="64">
      <pivotArea field="6" type="button" dataOnly="0" labelOnly="1" outline="0" axis="axisRow" fieldPosition="1"/>
    </format>
    <format dxfId="6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2">
      <pivotArea field="5" type="button" dataOnly="0" labelOnly="1" outline="0" axis="axisRow" fieldPosition="0"/>
    </format>
    <format dxfId="61">
      <pivotArea field="6" type="button" dataOnly="0" labelOnly="1" outline="0" axis="axisRow" fieldPosition="1"/>
    </format>
    <format dxfId="6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9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58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57">
      <pivotArea dataOnly="0" labelOnly="1" outline="0" fieldPosition="0">
        <references count="2">
          <reference field="5" count="1" selected="0">
            <x v="84"/>
          </reference>
          <reference field="6" count="8">
            <x v="287"/>
            <x v="290"/>
            <x v="297"/>
            <x v="301"/>
            <x v="311"/>
            <x v="313"/>
            <x v="318"/>
            <x v="319"/>
          </reference>
        </references>
      </pivotArea>
    </format>
    <format dxfId="56">
      <pivotArea dataOnly="0" labelOnly="1" outline="0" fieldPosition="0">
        <references count="2">
          <reference field="5" count="1" selected="0">
            <x v="82"/>
          </reference>
          <reference field="6" count="5">
            <x v="280"/>
            <x v="282"/>
            <x v="295"/>
            <x v="303"/>
            <x v="316"/>
          </reference>
        </references>
      </pivotArea>
    </format>
    <format dxfId="55">
      <pivotArea dataOnly="0" labelOnly="1" outline="0" fieldPosition="0">
        <references count="2">
          <reference field="5" count="1" selected="0">
            <x v="82"/>
          </reference>
          <reference field="6" count="1">
            <x v="303"/>
          </reference>
        </references>
      </pivotArea>
    </format>
    <format dxfId="54">
      <pivotArea dataOnly="0" labelOnly="1" outline="0" fieldPosition="0">
        <references count="2">
          <reference field="5" count="1" selected="0">
            <x v="82"/>
          </reference>
          <reference field="6" count="1">
            <x v="282"/>
          </reference>
        </references>
      </pivotArea>
    </format>
    <format dxfId="53">
      <pivotArea dataOnly="0" labelOnly="1" outline="0" fieldPosition="0">
        <references count="2">
          <reference field="5" count="1" selected="0">
            <x v="82"/>
          </reference>
          <reference field="6" count="1">
            <x v="316"/>
          </reference>
        </references>
      </pivotArea>
    </format>
    <format dxfId="52">
      <pivotArea dataOnly="0" labelOnly="1" outline="0" fieldPosition="0">
        <references count="2">
          <reference field="5" count="1" selected="0">
            <x v="82"/>
          </reference>
          <reference field="6" count="1">
            <x v="280"/>
          </reference>
        </references>
      </pivotArea>
    </format>
    <format dxfId="51">
      <pivotArea dataOnly="0" labelOnly="1" outline="0" fieldPosition="0">
        <references count="2">
          <reference field="5" count="1" selected="0">
            <x v="82"/>
          </reference>
          <reference field="6" count="1">
            <x v="295"/>
          </reference>
        </references>
      </pivotArea>
    </format>
    <format dxfId="50">
      <pivotArea dataOnly="0" labelOnly="1" outline="0" fieldPosition="0">
        <references count="2">
          <reference field="5" count="1" selected="0">
            <x v="40"/>
          </reference>
          <reference field="6" count="4">
            <x v="266"/>
            <x v="270"/>
            <x v="271"/>
            <x v="276"/>
          </reference>
        </references>
      </pivotArea>
    </format>
    <format dxfId="49">
      <pivotArea dataOnly="0" labelOnly="1" outline="0" fieldPosition="0">
        <references count="2">
          <reference field="5" count="1" selected="0">
            <x v="40"/>
          </reference>
          <reference field="6" count="2">
            <x v="305"/>
            <x v="310"/>
          </reference>
        </references>
      </pivotArea>
    </format>
    <format dxfId="48">
      <pivotArea dataOnly="0" labelOnly="1" outline="0" fieldPosition="0">
        <references count="2">
          <reference field="5" count="1" selected="0">
            <x v="40"/>
          </reference>
          <reference field="6" count="4">
            <x v="285"/>
            <x v="286"/>
            <x v="289"/>
            <x v="292"/>
          </reference>
        </references>
      </pivotArea>
    </format>
    <format dxfId="47">
      <pivotArea dataOnly="0" labelOnly="1" outline="0" fieldPosition="0">
        <references count="2">
          <reference field="5" count="1" selected="0">
            <x v="40"/>
          </reference>
          <reference field="6" count="1">
            <x v="293"/>
          </reference>
        </references>
      </pivotArea>
    </format>
    <format dxfId="46">
      <pivotArea dataOnly="0" labelOnly="1" outline="0" fieldPosition="0">
        <references count="2">
          <reference field="5" count="1" selected="0">
            <x v="40"/>
          </reference>
          <reference field="6" count="1">
            <x v="314"/>
          </reference>
        </references>
      </pivotArea>
    </format>
    <format dxfId="45">
      <pivotArea dataOnly="0" labelOnly="1" outline="0" fieldPosition="0">
        <references count="2">
          <reference field="5" count="1" selected="0">
            <x v="40"/>
          </reference>
          <reference field="6" count="1">
            <x v="277"/>
          </reference>
        </references>
      </pivotArea>
    </format>
    <format dxfId="44">
      <pivotArea dataOnly="0" labelOnly="1" outline="0" fieldPosition="0">
        <references count="2">
          <reference field="5" count="1" selected="0">
            <x v="40"/>
          </reference>
          <reference field="6" count="1">
            <x v="30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C118:P131" firstHeaderRow="1" firstDataRow="2" firstDataCol="1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x="13"/>
        <item x="36"/>
        <item x="14"/>
        <item x="7"/>
        <item x="41"/>
        <item x="8"/>
        <item x="42"/>
        <item x="9"/>
        <item x="43"/>
        <item x="10"/>
        <item x="18"/>
        <item x="24"/>
        <item x="11"/>
        <item x="25"/>
        <item x="19"/>
        <item x="12"/>
        <item x="57"/>
        <item x="60"/>
        <item x="61"/>
        <item x="63"/>
        <item x="64"/>
        <item x="44"/>
        <item x="45"/>
        <item x="46"/>
        <item x="47"/>
        <item x="48"/>
        <item x="62"/>
        <item x="26"/>
        <item h="1" x="15"/>
        <item x="37"/>
        <item h="1" x="1"/>
        <item x="49"/>
        <item x="32"/>
        <item x="50"/>
        <item x="38"/>
        <item x="16"/>
        <item x="35"/>
        <item x="39"/>
        <item x="2"/>
        <item h="1" x="33"/>
        <item x="51"/>
        <item h="1" x="17"/>
        <item x="52"/>
        <item x="58"/>
        <item x="59"/>
        <item x="53"/>
        <item h="1" x="3"/>
        <item x="27"/>
        <item h="1" x="4"/>
        <item x="28"/>
        <item h="1" x="20"/>
        <item h="1" x="21"/>
        <item x="54"/>
        <item h="1" x="22"/>
        <item x="55"/>
        <item h="1" x="5"/>
        <item h="1" x="34"/>
        <item h="1" x="29"/>
        <item x="56"/>
        <item h="1" x="23"/>
        <item x="30"/>
        <item h="1" x="6"/>
        <item x="40"/>
        <item x="31"/>
        <item x="71"/>
        <item x="72"/>
        <item x="65"/>
        <item x="66"/>
        <item x="67"/>
        <item x="68"/>
        <item x="81"/>
        <item x="82"/>
        <item x="69"/>
        <item x="83"/>
        <item x="84"/>
        <item x="70"/>
        <item x="73"/>
        <item x="74"/>
        <item x="75"/>
        <item x="76"/>
        <item x="77"/>
        <item x="78"/>
        <item x="85"/>
        <item x="79"/>
        <item x="86"/>
        <item x="87"/>
        <item x="88"/>
        <item x="80"/>
        <item x="89"/>
        <item t="default"/>
      </items>
    </pivotField>
    <pivotField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2">
    <i>
      <x v="1"/>
    </i>
    <i>
      <x v="3"/>
    </i>
    <i>
      <x v="4"/>
    </i>
    <i>
      <x v="6"/>
    </i>
    <i>
      <x v="8"/>
    </i>
    <i>
      <x v="10"/>
    </i>
    <i>
      <x v="11"/>
    </i>
    <i>
      <x v="12"/>
    </i>
    <i>
      <x v="13"/>
    </i>
    <i>
      <x v="15"/>
    </i>
    <i>
      <x v="16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3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6" baseItem="183"/>
    <dataField name="Sum of 009/2016 $" fld="21" baseField="0" baseItem="0"/>
  </dataFields>
  <formats count="7">
    <format dxfId="73">
      <pivotArea outline="0" collapsedLevelsAreSubtotals="1" fieldPosition="0"/>
    </format>
    <format dxfId="72">
      <pivotArea field="5" type="button" dataOnly="0" labelOnly="1" outline="0" axis="axisRow" fieldPosition="0"/>
    </format>
    <format dxfId="71">
      <pivotArea field="6" type="button" dataOnly="0" labelOnly="1" outline="0"/>
    </format>
    <format dxfId="7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9">
      <pivotArea field="5" type="button" dataOnly="0" labelOnly="1" outline="0" axis="axisRow" fieldPosition="0"/>
    </format>
    <format dxfId="68">
      <pivotArea field="6" type="button" dataOnly="0" labelOnly="1" outline="0"/>
    </format>
    <format dxfId="67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57:P71" firstHeaderRow="1" firstDataRow="2" firstDataCol="2" rowPageCount="1" colPageCount="1"/>
  <pivotFields count="48"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6">
        <item h="1" x="0"/>
        <item h="1" x="1"/>
        <item h="1" x="2"/>
        <item h="1" x="3"/>
        <item h="1" x="4"/>
        <item h="1" x="5"/>
        <item h="1" x="6"/>
        <item x="7"/>
        <item x="13"/>
        <item h="1" x="8"/>
        <item x="9"/>
        <item h="1" x="10"/>
        <item h="1" x="11"/>
        <item h="1" x="12"/>
        <item x="14"/>
        <item t="default"/>
      </items>
    </pivotField>
    <pivotField axis="axisRow" compact="0" outline="0" showAll="0">
      <items count="23">
        <item x="6"/>
        <item x="8"/>
        <item x="7"/>
        <item x="9"/>
        <item x="4"/>
        <item x="5"/>
        <item x="2"/>
        <item x="3"/>
        <item x="20"/>
        <item x="10"/>
        <item x="11"/>
        <item x="12"/>
        <item x="0"/>
        <item x="1"/>
        <item x="17"/>
        <item x="18"/>
        <item x="19"/>
        <item x="21"/>
        <item x="14"/>
        <item x="15"/>
        <item x="16"/>
        <item x="13"/>
        <item t="default"/>
      </items>
    </pivotField>
    <pivotField dataField="1" compact="0" numFmtId="44" outline="0" showAll="0"/>
    <pivotField compact="0" numFmtId="164" outline="0" showAll="0"/>
    <pivotField compact="0" numFmtId="164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7"/>
    <field x="8"/>
  </rowFields>
  <rowItems count="13">
    <i>
      <x v="7"/>
      <x v="21"/>
    </i>
    <i t="default">
      <x v="7"/>
    </i>
    <i>
      <x v="8"/>
      <x/>
    </i>
    <i r="1">
      <x v="15"/>
    </i>
    <i r="1">
      <x v="16"/>
    </i>
    <i t="default">
      <x v="8"/>
    </i>
    <i>
      <x v="10"/>
      <x v="18"/>
    </i>
    <i r="1">
      <x v="19"/>
    </i>
    <i r="1">
      <x v="20"/>
    </i>
    <i t="default">
      <x v="10"/>
    </i>
    <i>
      <x v="14"/>
      <x v="8"/>
    </i>
    <i t="default">
      <x v="1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0" hier="-1"/>
  </pageFields>
  <dataFields count="13">
    <dataField name="Sum of TY Ending 09/2016 - $" fld="9" baseField="0" baseItem="0"/>
    <dataField name="Sum of 010/2015 $" fld="12" baseField="0" baseItem="0"/>
    <dataField name="Sum of 011/2015 $" fld="13" baseField="0" baseItem="0"/>
    <dataField name="Sum of 012/2015 $" fld="14" baseField="0" baseItem="0"/>
    <dataField name="Sum of 001/2016 $" fld="15" baseField="0" baseItem="0"/>
    <dataField name="Sum of 002/2016 $" fld="16" baseField="0" baseItem="0"/>
    <dataField name="Sum of 003/2016 $" fld="17" baseField="0" baseItem="0"/>
    <dataField name="Sum of 004/2016 $" fld="18" baseField="0" baseItem="0"/>
    <dataField name="Sum of 005/2016 $" fld="19" baseField="0" baseItem="0"/>
    <dataField name="Sum of 006/2016 $" fld="20" baseField="0" baseItem="0"/>
    <dataField name="Sum of 007/2016 $" fld="21" baseField="0" baseItem="0"/>
    <dataField name="Sum of 008/2016 $" fld="22" baseField="0" baseItem="0"/>
    <dataField name="Sum of 009/2016 $" fld="23" baseField="0" baseItem="0"/>
  </dataFields>
  <formats count="7">
    <format dxfId="43">
      <pivotArea outline="0" collapsedLevelsAreSubtotals="1" fieldPosition="0"/>
    </format>
    <format dxfId="42">
      <pivotArea field="7" type="button" dataOnly="0" labelOnly="1" outline="0" axis="axisRow" fieldPosition="0"/>
    </format>
    <format dxfId="41">
      <pivotArea field="8" type="button" dataOnly="0" labelOnly="1" outline="0" axis="axisRow" fieldPosition="1"/>
    </format>
    <format dxfId="4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9"/>
            <x v="10"/>
          </reference>
        </references>
      </pivotArea>
    </format>
    <format dxfId="39">
      <pivotArea field="7" type="button" dataOnly="0" labelOnly="1" outline="0" axis="axisRow" fieldPosition="0"/>
    </format>
    <format dxfId="38">
      <pivotArea field="8" type="button" dataOnly="0" labelOnly="1" outline="0" axis="axisRow" fieldPosition="1"/>
    </format>
    <format dxfId="37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197:O215" firstHeaderRow="1" firstDataRow="2" firstDataCol="1" rowPageCount="2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axis="axisPage" compact="0" outline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compact="0" outline="0" showAll="0"/>
    <pivotField axis="axisRow" compact="0" outline="0" showAll="0">
      <items count="91">
        <item x="0"/>
        <item x="7"/>
        <item x="41"/>
        <item x="8"/>
        <item x="42"/>
        <item x="9"/>
        <item x="43"/>
        <item x="10"/>
        <item x="18"/>
        <item x="24"/>
        <item x="11"/>
        <item x="25"/>
        <item x="19"/>
        <item x="12"/>
        <item x="57"/>
        <item x="60"/>
        <item x="61"/>
        <item x="63"/>
        <item x="64"/>
        <item x="13"/>
        <item x="36"/>
        <item x="14"/>
        <item x="44"/>
        <item x="45"/>
        <item x="46"/>
        <item x="47"/>
        <item x="48"/>
        <item x="62"/>
        <item x="26"/>
        <item x="15"/>
        <item x="37"/>
        <item x="1"/>
        <item x="49"/>
        <item x="32"/>
        <item x="50"/>
        <item x="38"/>
        <item x="5"/>
        <item x="16"/>
        <item x="35"/>
        <item x="39"/>
        <item x="2"/>
        <item x="34"/>
        <item x="33"/>
        <item x="51"/>
        <item x="17"/>
        <item x="52"/>
        <item x="58"/>
        <item x="59"/>
        <item x="53"/>
        <item x="3"/>
        <item x="27"/>
        <item x="4"/>
        <item x="28"/>
        <item x="20"/>
        <item x="21"/>
        <item x="54"/>
        <item x="22"/>
        <item x="55"/>
        <item x="29"/>
        <item x="56"/>
        <item x="23"/>
        <item x="30"/>
        <item x="6"/>
        <item x="40"/>
        <item x="31"/>
        <item x="65"/>
        <item x="66"/>
        <item x="67"/>
        <item x="68"/>
        <item x="81"/>
        <item x="82"/>
        <item x="69"/>
        <item x="83"/>
        <item x="84"/>
        <item x="70"/>
        <item x="71"/>
        <item x="72"/>
        <item x="73"/>
        <item x="74"/>
        <item x="75"/>
        <item x="76"/>
        <item x="77"/>
        <item x="79"/>
        <item x="78"/>
        <item x="85"/>
        <item x="86"/>
        <item x="87"/>
        <item x="88"/>
        <item x="80"/>
        <item x="89"/>
        <item t="default"/>
      </items>
    </pivotField>
    <pivotField compact="0" outline="0" showAll="0">
      <items count="400">
        <item h="1"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7">
    <i>
      <x v="1"/>
    </i>
    <i>
      <x v="3"/>
    </i>
    <i>
      <x v="5"/>
    </i>
    <i>
      <x v="7"/>
    </i>
    <i>
      <x v="10"/>
    </i>
    <i>
      <x v="13"/>
    </i>
    <i>
      <x v="19"/>
    </i>
    <i>
      <x v="21"/>
    </i>
    <i>
      <x v="29"/>
    </i>
    <i>
      <x v="31"/>
    </i>
    <i>
      <x v="36"/>
    </i>
    <i>
      <x v="37"/>
    </i>
    <i>
      <x v="44"/>
    </i>
    <i>
      <x v="49"/>
    </i>
    <i>
      <x v="51"/>
    </i>
    <i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2">
    <pageField fld="2" item="5" hier="-1"/>
    <pageField fld="3" item="1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0" baseItem="0"/>
  </dataFields>
  <formats count="7"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6" type="button" dataOnly="0" labelOnly="1" outline="0"/>
    </format>
    <format dxfId="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6" type="button" dataOnly="0" labelOnly="1" outline="0"/>
    </format>
    <format dxfId="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69:P96" firstHeaderRow="1" firstDataRow="2" firstDataCol="2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h="1" x="7"/>
        <item x="41"/>
        <item h="1" x="8"/>
        <item x="42"/>
        <item h="1" x="9"/>
        <item x="43"/>
        <item h="1" x="10"/>
        <item h="1" x="18"/>
        <item h="1" x="24"/>
        <item h="1" x="11"/>
        <item x="25"/>
        <item h="1" x="19"/>
        <item h="1" x="12"/>
        <item x="57"/>
        <item x="60"/>
        <item x="61"/>
        <item x="63"/>
        <item x="64"/>
        <item h="1" x="13"/>
        <item x="36"/>
        <item h="1" x="14"/>
        <item x="44"/>
        <item x="45"/>
        <item x="46"/>
        <item x="47"/>
        <item x="48"/>
        <item x="62"/>
        <item x="26"/>
        <item x="15"/>
        <item x="37"/>
        <item h="1" x="1"/>
        <item x="49"/>
        <item h="1" x="32"/>
        <item x="50"/>
        <item x="38"/>
        <item x="5"/>
        <item h="1" x="16"/>
        <item x="35"/>
        <item x="39"/>
        <item x="2"/>
        <item x="34"/>
        <item x="33"/>
        <item x="51"/>
        <item h="1" x="17"/>
        <item x="52"/>
        <item x="58"/>
        <item x="59"/>
        <item x="53"/>
        <item h="1" x="3"/>
        <item h="1" x="27"/>
        <item h="1" x="4"/>
        <item h="1" x="28"/>
        <item x="20"/>
        <item h="1" x="21"/>
        <item x="54"/>
        <item h="1" x="22"/>
        <item x="55"/>
        <item h="1" x="29"/>
        <item x="56"/>
        <item h="1" x="23"/>
        <item h="1" x="30"/>
        <item x="6"/>
        <item x="40"/>
        <item x="31"/>
        <item h="1" x="65"/>
        <item h="1" x="66"/>
        <item h="1" x="67"/>
        <item h="1" x="68"/>
        <item x="81"/>
        <item x="82"/>
        <item h="1" x="69"/>
        <item x="83"/>
        <item x="84"/>
        <item h="1" x="70"/>
        <item h="1" x="71"/>
        <item h="1" x="72"/>
        <item x="73"/>
        <item h="1" x="74"/>
        <item h="1" x="75"/>
        <item h="1" x="76"/>
        <item h="1" x="77"/>
        <item x="79"/>
        <item x="78"/>
        <item x="85"/>
        <item x="86"/>
        <item x="87"/>
        <item x="88"/>
        <item x="80"/>
        <item x="89"/>
        <item t="default"/>
      </items>
    </pivotField>
    <pivotField axis="axisRow" compact="0" outline="0" showAll="0">
      <items count="400">
        <item h="1"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6"/>
  </rowFields>
  <rowItems count="26">
    <i>
      <x v="29"/>
      <x v="393"/>
    </i>
    <i r="1">
      <x v="394"/>
    </i>
    <i t="default">
      <x v="29"/>
    </i>
    <i>
      <x v="36"/>
      <x v="236"/>
    </i>
    <i r="1">
      <x v="237"/>
    </i>
    <i r="1">
      <x v="238"/>
    </i>
    <i r="1">
      <x v="239"/>
    </i>
    <i r="1">
      <x v="255"/>
    </i>
    <i r="1">
      <x v="257"/>
    </i>
    <i t="default">
      <x v="36"/>
    </i>
    <i>
      <x v="38"/>
      <x v="355"/>
    </i>
    <i r="1">
      <x v="356"/>
    </i>
    <i r="1">
      <x v="361"/>
    </i>
    <i r="1">
      <x v="362"/>
    </i>
    <i r="1">
      <x v="364"/>
    </i>
    <i r="1">
      <x v="367"/>
    </i>
    <i r="1">
      <x v="368"/>
    </i>
    <i r="1">
      <x v="369"/>
    </i>
    <i r="1">
      <x v="375"/>
    </i>
    <i r="1">
      <x v="380"/>
    </i>
    <i r="1">
      <x v="381"/>
    </i>
    <i r="1">
      <x v="383"/>
    </i>
    <i t="default">
      <x v="38"/>
    </i>
    <i>
      <x v="62"/>
      <x v="110"/>
    </i>
    <i t="default"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5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0" baseItem="0"/>
  </dataFields>
  <formats count="23">
    <format dxfId="29">
      <pivotArea outline="0" collapsedLevelsAreSubtotals="1" fieldPosition="0"/>
    </format>
    <format dxfId="28">
      <pivotArea field="5" type="button" dataOnly="0" labelOnly="1" outline="0" axis="axisRow" fieldPosition="0"/>
    </format>
    <format dxfId="27">
      <pivotArea field="6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5">
      <pivotArea field="5" type="button" dataOnly="0" labelOnly="1" outline="0" axis="axisRow" fieldPosition="0"/>
    </format>
    <format dxfId="24">
      <pivotArea field="6" type="button" dataOnly="0" labelOnly="1" outline="0" axis="axisRow" fieldPosition="1"/>
    </format>
    <format dxfId="2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2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21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20">
      <pivotArea dataOnly="0" labelOnly="1" outline="0" fieldPosition="0">
        <references count="2">
          <reference field="5" count="1" selected="0">
            <x v="84"/>
          </reference>
          <reference field="6" count="8">
            <x v="287"/>
            <x v="290"/>
            <x v="297"/>
            <x v="301"/>
            <x v="311"/>
            <x v="313"/>
            <x v="318"/>
            <x v="319"/>
          </reference>
        </references>
      </pivotArea>
    </format>
    <format dxfId="19">
      <pivotArea dataOnly="0" labelOnly="1" outline="0" fieldPosition="0">
        <references count="2">
          <reference field="5" count="1" selected="0">
            <x v="82"/>
          </reference>
          <reference field="6" count="5">
            <x v="280"/>
            <x v="282"/>
            <x v="295"/>
            <x v="303"/>
            <x v="316"/>
          </reference>
        </references>
      </pivotArea>
    </format>
    <format dxfId="18">
      <pivotArea dataOnly="0" labelOnly="1" outline="0" fieldPosition="0">
        <references count="2">
          <reference field="5" count="1" selected="0">
            <x v="82"/>
          </reference>
          <reference field="6" count="1">
            <x v="303"/>
          </reference>
        </references>
      </pivotArea>
    </format>
    <format dxfId="17">
      <pivotArea dataOnly="0" labelOnly="1" outline="0" fieldPosition="0">
        <references count="2">
          <reference field="5" count="1" selected="0">
            <x v="82"/>
          </reference>
          <reference field="6" count="1">
            <x v="282"/>
          </reference>
        </references>
      </pivotArea>
    </format>
    <format dxfId="16">
      <pivotArea dataOnly="0" labelOnly="1" outline="0" fieldPosition="0">
        <references count="2">
          <reference field="5" count="1" selected="0">
            <x v="82"/>
          </reference>
          <reference field="6" count="1">
            <x v="316"/>
          </reference>
        </references>
      </pivotArea>
    </format>
    <format dxfId="15">
      <pivotArea dataOnly="0" labelOnly="1" outline="0" fieldPosition="0">
        <references count="2">
          <reference field="5" count="1" selected="0">
            <x v="82"/>
          </reference>
          <reference field="6" count="1">
            <x v="280"/>
          </reference>
        </references>
      </pivotArea>
    </format>
    <format dxfId="14">
      <pivotArea dataOnly="0" labelOnly="1" outline="0" fieldPosition="0">
        <references count="2">
          <reference field="5" count="1" selected="0">
            <x v="82"/>
          </reference>
          <reference field="6" count="1">
            <x v="295"/>
          </reference>
        </references>
      </pivotArea>
    </format>
    <format dxfId="13">
      <pivotArea dataOnly="0" labelOnly="1" outline="0" fieldPosition="0">
        <references count="2">
          <reference field="5" count="1" selected="0">
            <x v="36"/>
          </reference>
          <reference field="6" count="4">
            <x v="266"/>
            <x v="270"/>
            <x v="271"/>
            <x v="276"/>
          </reference>
        </references>
      </pivotArea>
    </format>
    <format dxfId="12">
      <pivotArea dataOnly="0" labelOnly="1" outline="0" fieldPosition="0">
        <references count="2">
          <reference field="5" count="1" selected="0">
            <x v="36"/>
          </reference>
          <reference field="6" count="2">
            <x v="305"/>
            <x v="310"/>
          </reference>
        </references>
      </pivotArea>
    </format>
    <format dxfId="11">
      <pivotArea dataOnly="0" labelOnly="1" outline="0" fieldPosition="0">
        <references count="2">
          <reference field="5" count="1" selected="0">
            <x v="36"/>
          </reference>
          <reference field="6" count="4">
            <x v="285"/>
            <x v="286"/>
            <x v="289"/>
            <x v="292"/>
          </reference>
        </references>
      </pivotArea>
    </format>
    <format dxfId="10">
      <pivotArea dataOnly="0" labelOnly="1" outline="0" fieldPosition="0">
        <references count="2">
          <reference field="5" count="1" selected="0">
            <x v="36"/>
          </reference>
          <reference field="6" count="1">
            <x v="293"/>
          </reference>
        </references>
      </pivotArea>
    </format>
    <format dxfId="9">
      <pivotArea dataOnly="0" labelOnly="1" outline="0" fieldPosition="0">
        <references count="2">
          <reference field="5" count="1" selected="0">
            <x v="36"/>
          </reference>
          <reference field="6" count="1">
            <x v="314"/>
          </reference>
        </references>
      </pivotArea>
    </format>
    <format dxfId="8">
      <pivotArea dataOnly="0" labelOnly="1" outline="0" fieldPosition="0">
        <references count="2">
          <reference field="5" count="1" selected="0">
            <x v="36"/>
          </reference>
          <reference field="6" count="1">
            <x v="277"/>
          </reference>
        </references>
      </pivotArea>
    </format>
    <format dxfId="7">
      <pivotArea dataOnly="0" labelOnly="1" outline="0" fieldPosition="0">
        <references count="2">
          <reference field="5" count="1" selected="0">
            <x v="36"/>
          </reference>
          <reference field="6" count="1">
            <x v="30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101:P108" firstHeaderRow="1" firstDataRow="3" firstDataCol="2" rowPageCount="1" colPageCount="1"/>
  <pivotFields count="18">
    <pivotField compact="0" outline="0" showAll="0"/>
    <pivotField axis="axisCol" compact="0" outline="0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axis="axisCol" compact="0" outline="0" showAll="0" defaultSubtotal="0">
      <items count="2">
        <item x="0"/>
        <item x="1"/>
      </items>
    </pivotField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Row" compact="0" outline="0" showAll="0">
      <items count="2">
        <item x="0"/>
        <item t="default"/>
      </items>
    </pivotField>
    <pivotField axis="axisRow"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79" outline="0" showAll="0"/>
  </pivotFields>
  <rowFields count="2">
    <field x="7"/>
    <field x="8"/>
  </rowFields>
  <rowItems count="5">
    <i>
      <x/>
      <x/>
    </i>
    <i r="1">
      <x v="1"/>
    </i>
    <i r="1">
      <x v="2"/>
    </i>
    <i t="default">
      <x/>
    </i>
    <i t="grand">
      <x/>
    </i>
  </rowItems>
  <colFields count="2">
    <field x="2"/>
    <field x="1"/>
  </colFields>
  <colItems count="13">
    <i>
      <x/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colItems>
  <pageFields count="1">
    <pageField fld="5" item="0" hier="-1"/>
  </pageFields>
  <dataFields count="1">
    <dataField name="Sum of All Usage" fld="17" baseField="8" baseItem="0" numFmtId="4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C113:P126" firstHeaderRow="1" firstDataRow="2" firstDataCol="1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x="13"/>
        <item x="36"/>
        <item x="14"/>
        <item x="7"/>
        <item x="41"/>
        <item x="8"/>
        <item x="42"/>
        <item x="9"/>
        <item x="43"/>
        <item x="10"/>
        <item x="18"/>
        <item x="24"/>
        <item x="11"/>
        <item x="25"/>
        <item h="1" x="19"/>
        <item x="12"/>
        <item x="57"/>
        <item x="60"/>
        <item x="61"/>
        <item x="63"/>
        <item x="64"/>
        <item x="44"/>
        <item x="45"/>
        <item x="46"/>
        <item x="47"/>
        <item x="48"/>
        <item x="62"/>
        <item x="26"/>
        <item x="15"/>
        <item x="37"/>
        <item h="1" x="1"/>
        <item x="49"/>
        <item x="32"/>
        <item x="50"/>
        <item x="38"/>
        <item h="1" x="16"/>
        <item h="1" x="35"/>
        <item x="39"/>
        <item x="2"/>
        <item x="33"/>
        <item x="51"/>
        <item h="1" x="17"/>
        <item x="52"/>
        <item x="58"/>
        <item x="59"/>
        <item x="53"/>
        <item h="1" x="3"/>
        <item x="27"/>
        <item h="1" x="4"/>
        <item x="28"/>
        <item x="20"/>
        <item h="1" x="21"/>
        <item x="54"/>
        <item x="22"/>
        <item x="55"/>
        <item h="1" x="5"/>
        <item x="34"/>
        <item x="29"/>
        <item x="56"/>
        <item h="1" x="23"/>
        <item x="30"/>
        <item h="1" x="6"/>
        <item x="40"/>
        <item x="31"/>
        <item x="71"/>
        <item x="72"/>
        <item x="65"/>
        <item x="66"/>
        <item x="67"/>
        <item x="68"/>
        <item x="81"/>
        <item x="82"/>
        <item x="69"/>
        <item x="83"/>
        <item x="84"/>
        <item x="70"/>
        <item x="73"/>
        <item x="74"/>
        <item x="75"/>
        <item x="76"/>
        <item x="77"/>
        <item x="78"/>
        <item x="85"/>
        <item x="79"/>
        <item x="86"/>
        <item x="87"/>
        <item x="88"/>
        <item x="80"/>
        <item x="89"/>
        <item t="default"/>
      </items>
    </pivotField>
    <pivotField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2">
    <i>
      <x v="1"/>
    </i>
    <i>
      <x v="3"/>
    </i>
    <i>
      <x v="4"/>
    </i>
    <i>
      <x v="6"/>
    </i>
    <i>
      <x v="8"/>
    </i>
    <i>
      <x v="10"/>
    </i>
    <i>
      <x v="11"/>
    </i>
    <i>
      <x v="12"/>
    </i>
    <i>
      <x v="13"/>
    </i>
    <i>
      <x v="16"/>
    </i>
    <i>
      <x v="29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5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6" baseItem="183"/>
    <dataField name="Sum of 009/2016 $" fld="21" baseField="0" baseItem="0"/>
  </dataFields>
  <formats count="7">
    <format dxfId="36">
      <pivotArea outline="0" collapsedLevelsAreSubtotals="1" fieldPosition="0"/>
    </format>
    <format dxfId="35">
      <pivotArea field="5" type="button" dataOnly="0" labelOnly="1" outline="0" axis="axisRow" fieldPosition="0"/>
    </format>
    <format dxfId="34">
      <pivotArea field="6" type="button" dataOnly="0" labelOnly="1" outline="0"/>
    </format>
    <format dxfId="3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2">
      <pivotArea field="5" type="button" dataOnly="0" labelOnly="1" outline="0" axis="axisRow" fieldPosition="0"/>
    </format>
    <format dxfId="31">
      <pivotArea field="6" type="button" dataOnly="0" labelOnly="1" outline="0"/>
    </format>
    <format dxfId="3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printerSettings" Target="../printerSettings/printerSettings16.bin"/><Relationship Id="rId4" Type="http://schemas.openxmlformats.org/officeDocument/2006/relationships/pivotTable" Target="../pivotTables/pivotTable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2"/>
  <sheetViews>
    <sheetView tabSelected="1" workbookViewId="0">
      <selection activeCell="F18" sqref="F18"/>
    </sheetView>
  </sheetViews>
  <sheetFormatPr defaultRowHeight="14.4" x14ac:dyDescent="0.3"/>
  <cols>
    <col min="1" max="1" width="5.33203125" customWidth="1"/>
    <col min="2" max="2" width="31" bestFit="1" customWidth="1"/>
    <col min="3" max="3" width="14" bestFit="1" customWidth="1"/>
    <col min="4" max="4" width="15" bestFit="1" customWidth="1"/>
    <col min="5" max="5" width="13.44140625" bestFit="1" customWidth="1"/>
    <col min="6" max="6" width="20.5546875" bestFit="1" customWidth="1"/>
    <col min="7" max="7" width="15" customWidth="1"/>
    <col min="8" max="9" width="13.44140625" bestFit="1" customWidth="1"/>
    <col min="10" max="10" width="3.6640625" customWidth="1"/>
    <col min="11" max="11" width="14.109375" bestFit="1" customWidth="1"/>
    <col min="12" max="13" width="12.6640625" bestFit="1" customWidth="1"/>
    <col min="14" max="14" width="15.33203125" bestFit="1" customWidth="1"/>
    <col min="15" max="15" width="13.44140625" bestFit="1" customWidth="1"/>
  </cols>
  <sheetData>
    <row r="1" spans="1:17" ht="15" x14ac:dyDescent="0.25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2"/>
      <c r="O1" s="37"/>
      <c r="P1" s="37"/>
      <c r="Q1" s="37"/>
    </row>
    <row r="2" spans="1:17" ht="15" x14ac:dyDescent="0.25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2"/>
      <c r="O2" s="37"/>
      <c r="P2" s="37"/>
      <c r="Q2" s="37"/>
    </row>
    <row r="3" spans="1:17" ht="15" x14ac:dyDescent="0.25">
      <c r="A3" s="488" t="s">
        <v>555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2"/>
      <c r="O3" s="37"/>
      <c r="P3" s="37"/>
      <c r="Q3" s="37"/>
    </row>
    <row r="4" spans="1:17" ht="15" x14ac:dyDescent="0.25">
      <c r="A4" s="56"/>
      <c r="B4" s="56"/>
      <c r="C4" s="56"/>
      <c r="D4" s="56"/>
      <c r="E4" s="56"/>
      <c r="F4" s="56"/>
      <c r="G4" s="70"/>
      <c r="H4" s="56"/>
      <c r="I4" s="56"/>
      <c r="J4" s="56"/>
      <c r="K4" s="56"/>
      <c r="L4" s="56"/>
      <c r="M4" s="56"/>
      <c r="N4" s="37"/>
      <c r="O4" s="37"/>
      <c r="P4" s="37"/>
      <c r="Q4" s="37"/>
    </row>
    <row r="5" spans="1:17" ht="15" x14ac:dyDescent="0.25">
      <c r="A5" s="97"/>
      <c r="B5" s="56"/>
      <c r="C5" s="56"/>
      <c r="D5" s="56"/>
      <c r="E5" s="56"/>
      <c r="F5" s="56"/>
      <c r="G5" s="70"/>
      <c r="H5" s="56"/>
      <c r="J5" s="56"/>
      <c r="K5" s="56"/>
      <c r="L5" s="56"/>
      <c r="M5" s="56"/>
      <c r="N5" s="56"/>
      <c r="O5" s="56"/>
      <c r="P5" s="37"/>
      <c r="Q5" s="37"/>
    </row>
    <row r="6" spans="1:17" ht="15" customHeight="1" x14ac:dyDescent="0.25">
      <c r="A6" s="103" t="s">
        <v>311</v>
      </c>
      <c r="B6" s="96"/>
      <c r="C6" s="96"/>
      <c r="D6" s="96" t="s">
        <v>313</v>
      </c>
      <c r="E6" s="96" t="s">
        <v>314</v>
      </c>
      <c r="F6" s="96" t="s">
        <v>314</v>
      </c>
      <c r="G6" s="96" t="s">
        <v>41</v>
      </c>
      <c r="H6" s="96" t="s">
        <v>314</v>
      </c>
      <c r="I6" s="96" t="s">
        <v>314</v>
      </c>
      <c r="J6" s="96"/>
      <c r="K6" s="96" t="s">
        <v>314</v>
      </c>
      <c r="L6" s="96" t="s">
        <v>41</v>
      </c>
      <c r="M6" s="96" t="s">
        <v>41</v>
      </c>
      <c r="N6" s="96"/>
      <c r="O6" s="96"/>
      <c r="P6" s="37"/>
      <c r="Q6" s="37"/>
    </row>
    <row r="7" spans="1:17" ht="15" customHeight="1" x14ac:dyDescent="0.25">
      <c r="A7" s="98" t="s">
        <v>312</v>
      </c>
      <c r="B7" s="47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  <c r="H7" s="67" t="s">
        <v>185</v>
      </c>
      <c r="I7" s="67" t="s">
        <v>186</v>
      </c>
      <c r="J7" s="100"/>
      <c r="K7" s="67" t="s">
        <v>316</v>
      </c>
      <c r="L7" s="67">
        <v>35</v>
      </c>
      <c r="M7" s="67">
        <v>43</v>
      </c>
      <c r="Q7" s="37"/>
    </row>
    <row r="8" spans="1:17" x14ac:dyDescent="0.3">
      <c r="A8" s="41"/>
      <c r="B8" s="34" t="s">
        <v>14</v>
      </c>
      <c r="C8" s="34" t="s">
        <v>13</v>
      </c>
      <c r="D8" s="34" t="s">
        <v>12</v>
      </c>
      <c r="E8" s="34" t="s">
        <v>11</v>
      </c>
      <c r="F8" s="58" t="s">
        <v>512</v>
      </c>
      <c r="G8" s="58" t="s">
        <v>9</v>
      </c>
      <c r="H8" s="34" t="s">
        <v>8</v>
      </c>
      <c r="I8" s="34" t="s">
        <v>7</v>
      </c>
      <c r="J8" s="33"/>
      <c r="K8" s="34" t="s">
        <v>6</v>
      </c>
      <c r="L8" s="58" t="s">
        <v>5</v>
      </c>
      <c r="M8" s="34" t="s">
        <v>4</v>
      </c>
      <c r="N8" s="34"/>
      <c r="Q8" s="37"/>
    </row>
    <row r="9" spans="1:17" ht="15" x14ac:dyDescent="0.25">
      <c r="A9" s="34">
        <v>1</v>
      </c>
      <c r="B9" s="48" t="s">
        <v>237</v>
      </c>
      <c r="C9" s="34"/>
      <c r="D9" s="34"/>
      <c r="E9" s="34"/>
      <c r="F9" s="34"/>
      <c r="G9" s="34"/>
      <c r="H9" s="34"/>
      <c r="I9" s="34"/>
      <c r="J9" s="33"/>
      <c r="K9" s="34"/>
      <c r="L9" s="34"/>
      <c r="M9" s="34"/>
      <c r="Q9" s="37"/>
    </row>
    <row r="10" spans="1:17" ht="15" x14ac:dyDescent="0.25">
      <c r="A10" s="34">
        <f>A9+1</f>
        <v>2</v>
      </c>
      <c r="B10" s="62" t="s">
        <v>510</v>
      </c>
      <c r="C10" s="58" t="s">
        <v>552</v>
      </c>
      <c r="D10" s="50">
        <f ca="1">'Exhibit No.__(JAP-Res RD)'!I23</f>
        <v>1086698458</v>
      </c>
      <c r="E10" s="50">
        <f ca="1">'Exhibit No.__(JAP-SV RD)'!I25</f>
        <v>270723720</v>
      </c>
      <c r="F10" s="45">
        <f ca="1">SUM(K10:M10)</f>
        <v>267556671</v>
      </c>
      <c r="G10" s="50">
        <f ca="1">'Exhibit No.__(JAP-CAMP RD)'!J41</f>
        <v>45113185.5</v>
      </c>
      <c r="H10" s="50">
        <f ca="1">'Exhibit No.__(JAP-SV RD)'!I79+'Exhibit No.__(JAP-SV RD)'!I105</f>
        <v>155745500</v>
      </c>
      <c r="I10" s="50">
        <f ca="1">'Exhibit No.__(JAP-PV RD)'!I29</f>
        <v>104148596</v>
      </c>
      <c r="J10" s="36"/>
      <c r="K10" s="50">
        <f ca="1">'Exhibit No.__(JAP-SV RD)'!I47+'Exhibit No.__(JAP-SV RD)'!I136</f>
        <v>256769068</v>
      </c>
      <c r="L10" s="50">
        <f ca="1">'Exhibit No.__(JAP-PV RD)'!I51</f>
        <v>255219</v>
      </c>
      <c r="M10" s="50">
        <f ca="1">'Exhibit No.__(JAP-PV RD)'!I75</f>
        <v>10532384</v>
      </c>
      <c r="Q10" s="37"/>
    </row>
    <row r="11" spans="1:17" ht="15" x14ac:dyDescent="0.25">
      <c r="A11" s="34">
        <f t="shared" ref="A11:A16" si="0">A10+1</f>
        <v>3</v>
      </c>
      <c r="B11" s="41" t="s">
        <v>236</v>
      </c>
      <c r="C11" s="49" t="s">
        <v>551</v>
      </c>
      <c r="D11" s="66">
        <f ca="1">'2017 GRC PCA Costs'!$E$25</f>
        <v>679883571.62213004</v>
      </c>
      <c r="E11" s="66">
        <f ca="1">'2017 GRC PCA Costs'!$F$25</f>
        <v>166680381.29352668</v>
      </c>
      <c r="F11" s="44">
        <f ca="1">SUM(K11:M11)</f>
        <v>173833551.88103783</v>
      </c>
      <c r="G11" s="66">
        <f ca="1">'2017 GRC PCA Costs'!$L$25</f>
        <v>33849538.196057476</v>
      </c>
      <c r="H11" s="66">
        <f ca="1">'2017 GRC PCA Costs'!$H$25</f>
        <v>108842991.86379959</v>
      </c>
      <c r="I11" s="66">
        <f ca="1">'2017 GRC PCA Costs'!$I$25</f>
        <v>71900899.940386742</v>
      </c>
      <c r="J11" s="36"/>
      <c r="K11" s="66">
        <f ca="1">'2017 GRC PCA Costs'!$G$25</f>
        <v>168290699.37488544</v>
      </c>
      <c r="L11" s="66">
        <f ca="1">'2017 GRC PCA Costs'!$J$25</f>
        <v>196858.45808044419</v>
      </c>
      <c r="M11" s="66">
        <f ca="1">'2017 GRC PCA Costs'!$K$25</f>
        <v>5345994.0480719618</v>
      </c>
      <c r="Q11" s="37"/>
    </row>
    <row r="12" spans="1:17" ht="15" x14ac:dyDescent="0.25">
      <c r="A12" s="34">
        <f t="shared" si="0"/>
        <v>4</v>
      </c>
      <c r="B12" s="62" t="s">
        <v>511</v>
      </c>
      <c r="C12" s="58" t="str">
        <f>"("&amp;A10&amp;") - ("&amp;A$11&amp;")"</f>
        <v>(2) - (3)</v>
      </c>
      <c r="D12" s="45">
        <f ca="1">D10-D11</f>
        <v>406814886.37786996</v>
      </c>
      <c r="E12" s="45">
        <f t="shared" ref="E12:L12" ca="1" si="1">E10-E11</f>
        <v>104043338.70647332</v>
      </c>
      <c r="F12" s="45">
        <f t="shared" ca="1" si="1"/>
        <v>93723119.118962169</v>
      </c>
      <c r="G12" s="45">
        <f ca="1">G10-G11</f>
        <v>11263647.303942524</v>
      </c>
      <c r="H12" s="45">
        <f ca="1">H10-H11</f>
        <v>46902508.136200413</v>
      </c>
      <c r="I12" s="45">
        <f ca="1">I10-I11</f>
        <v>32247696.059613258</v>
      </c>
      <c r="J12" s="36"/>
      <c r="K12" s="45">
        <f t="shared" ca="1" si="1"/>
        <v>88478368.62511456</v>
      </c>
      <c r="L12" s="45">
        <f t="shared" ca="1" si="1"/>
        <v>58360.541919555806</v>
      </c>
      <c r="M12" s="45">
        <f ca="1">M10-M11</f>
        <v>5186389.9519280382</v>
      </c>
      <c r="Q12" s="37"/>
    </row>
    <row r="13" spans="1:17" ht="15" x14ac:dyDescent="0.25">
      <c r="A13" s="58">
        <f t="shared" si="0"/>
        <v>5</v>
      </c>
      <c r="B13" s="62"/>
      <c r="C13" s="49"/>
      <c r="D13" s="45"/>
      <c r="E13" s="45"/>
      <c r="F13" s="45"/>
      <c r="G13" s="45"/>
      <c r="H13" s="45"/>
      <c r="I13" s="45"/>
      <c r="J13" s="36"/>
      <c r="K13" s="45"/>
      <c r="L13" s="45"/>
      <c r="M13" s="45"/>
      <c r="Q13" s="37"/>
    </row>
    <row r="14" spans="1:17" ht="15" x14ac:dyDescent="0.25">
      <c r="A14" s="58">
        <f t="shared" si="0"/>
        <v>6</v>
      </c>
      <c r="B14" s="41" t="s">
        <v>187</v>
      </c>
      <c r="C14" s="58" t="s">
        <v>552</v>
      </c>
      <c r="D14" s="50">
        <f ca="1">'Exhibit No.__(JAP-Res RD)'!I16</f>
        <v>89905381</v>
      </c>
      <c r="E14" s="50">
        <f ca="1">'Exhibit No.__(JAP-SV RD)'!I17</f>
        <v>21799846</v>
      </c>
      <c r="F14" s="45">
        <f ca="1">SUM(K14:M14)</f>
        <v>5335366</v>
      </c>
      <c r="G14" s="50">
        <f ca="1">'Exhibit No.__(JAP-CAMP RD)'!J18</f>
        <v>246121</v>
      </c>
      <c r="H14" s="50">
        <f ca="1">'Exhibit No.__(JAP-SV RD)'!I65+'Exhibit No.__(JAP-SV RD)'!I87</f>
        <v>1032551</v>
      </c>
      <c r="I14" s="50">
        <f ca="1">'Exhibit No.__(JAP-PV RD)'!I15</f>
        <v>2011786</v>
      </c>
      <c r="J14" s="36"/>
      <c r="K14" s="50">
        <f ca="1">'Exhibit No.__(JAP-SV RD)'!I31+'Exhibit No.__(JAP-SV RD)'!I118</f>
        <v>4676913</v>
      </c>
      <c r="L14" s="50">
        <f ca="1">'Exhibit No.__(JAP-PV RD)'!I37</f>
        <v>4124</v>
      </c>
      <c r="M14" s="50">
        <f ca="1">'Exhibit No.__(JAP-PV RD)'!I60</f>
        <v>654329</v>
      </c>
      <c r="Q14" s="37"/>
    </row>
    <row r="15" spans="1:17" ht="15" x14ac:dyDescent="0.25">
      <c r="A15" s="58">
        <f t="shared" si="0"/>
        <v>7</v>
      </c>
      <c r="B15" s="57"/>
      <c r="C15" s="55"/>
      <c r="D15" s="36"/>
      <c r="E15" s="36"/>
      <c r="F15" s="36"/>
      <c r="G15" s="36"/>
      <c r="H15" s="36"/>
      <c r="I15" s="36"/>
      <c r="J15" s="36"/>
      <c r="K15" s="36"/>
      <c r="L15" s="36"/>
      <c r="M15" s="36"/>
      <c r="Q15" s="37"/>
    </row>
    <row r="16" spans="1:17" ht="15.75" thickBot="1" x14ac:dyDescent="0.3">
      <c r="A16" s="58">
        <f t="shared" si="0"/>
        <v>8</v>
      </c>
      <c r="B16" s="41" t="s">
        <v>503</v>
      </c>
      <c r="C16" s="58" t="str">
        <f>"("&amp;A12&amp;") - ("&amp;A14&amp;")"</f>
        <v>(4) - (6)</v>
      </c>
      <c r="D16" s="65">
        <f ca="1">D12-D14</f>
        <v>316909505.37786996</v>
      </c>
      <c r="E16" s="65">
        <f t="shared" ref="E16:I16" ca="1" si="2">E12-E14</f>
        <v>82243492.706473321</v>
      </c>
      <c r="F16" s="65">
        <f t="shared" ca="1" si="2"/>
        <v>88387753.118962169</v>
      </c>
      <c r="G16" s="65">
        <f t="shared" ca="1" si="2"/>
        <v>11017526.303942524</v>
      </c>
      <c r="H16" s="65">
        <f t="shared" ca="1" si="2"/>
        <v>45869957.136200413</v>
      </c>
      <c r="I16" s="65">
        <f t="shared" ca="1" si="2"/>
        <v>30235910.059613258</v>
      </c>
      <c r="J16" s="45"/>
      <c r="K16" s="65">
        <f ca="1">K12-K14</f>
        <v>83801455.62511456</v>
      </c>
      <c r="L16" s="65">
        <f t="shared" ref="L16:M16" ca="1" si="3">L12-L14</f>
        <v>54236.541919555806</v>
      </c>
      <c r="M16" s="65">
        <f t="shared" ca="1" si="3"/>
        <v>4532060.9519280382</v>
      </c>
      <c r="Q16" s="37"/>
    </row>
    <row r="17" spans="1:17" ht="15.75" thickTop="1" x14ac:dyDescent="0.25">
      <c r="A17" s="37"/>
      <c r="B17" s="41"/>
      <c r="C17" s="37"/>
      <c r="D17" s="6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5" x14ac:dyDescent="0.25">
      <c r="A18" s="34"/>
      <c r="B18" s="41"/>
      <c r="C18" s="49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7"/>
      <c r="Q18" s="37"/>
    </row>
    <row r="19" spans="1:17" ht="15" x14ac:dyDescent="0.25">
      <c r="A19" s="37"/>
      <c r="B19" s="41"/>
      <c r="C19" s="37"/>
      <c r="D19" s="6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5" x14ac:dyDescent="0.25">
      <c r="A20" s="37"/>
      <c r="B20" s="37"/>
      <c r="C20" s="37"/>
      <c r="D20" s="37"/>
    </row>
    <row r="21" spans="1:17" ht="15" x14ac:dyDescent="0.25">
      <c r="A21" s="37"/>
      <c r="B21" s="37"/>
      <c r="C21" s="37"/>
      <c r="D21" s="37"/>
    </row>
    <row r="22" spans="1:17" ht="15" x14ac:dyDescent="0.25">
      <c r="A22" s="37"/>
      <c r="B22" s="37"/>
      <c r="C22" s="37"/>
      <c r="D22" s="37"/>
    </row>
  </sheetData>
  <mergeCells count="3">
    <mergeCell ref="A1:M1"/>
    <mergeCell ref="A2:M2"/>
    <mergeCell ref="A3:M3"/>
  </mergeCells>
  <printOptions horizontalCentered="1"/>
  <pageMargins left="0.7" right="0.7" top="0.75" bottom="0.75" header="0.3" footer="0.3"/>
  <pageSetup scale="67" orientation="landscape" blackAndWhite="1" horizontalDpi="300" verticalDpi="300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43"/>
  <sheetViews>
    <sheetView zoomScale="80" zoomScaleNormal="80" zoomScaleSheetLayoutView="80" workbookViewId="0">
      <pane ySplit="10" topLeftCell="A23" activePane="bottomLeft" state="frozen"/>
      <selection activeCell="G14" sqref="G14:G15"/>
      <selection pane="bottomLeft" activeCell="I47" sqref="I47"/>
    </sheetView>
  </sheetViews>
  <sheetFormatPr defaultColWidth="11.6640625" defaultRowHeight="15.6" x14ac:dyDescent="0.3"/>
  <cols>
    <col min="1" max="1" width="48.44140625" style="181" bestFit="1" customWidth="1"/>
    <col min="2" max="2" width="1.5546875" style="181" bestFit="1" customWidth="1"/>
    <col min="3" max="3" width="15.109375" style="181" bestFit="1" customWidth="1"/>
    <col min="4" max="4" width="14.5546875" style="181" bestFit="1" customWidth="1"/>
    <col min="5" max="5" width="2.33203125" style="181" bestFit="1" customWidth="1"/>
    <col min="6" max="6" width="14.44140625" style="181" bestFit="1" customWidth="1"/>
    <col min="7" max="7" width="16.5546875" style="181" customWidth="1"/>
    <col min="8" max="8" width="2.33203125" style="181" bestFit="1" customWidth="1"/>
    <col min="9" max="9" width="16.5546875" style="181" customWidth="1"/>
    <col min="10" max="10" width="1.88671875" style="181" customWidth="1"/>
    <col min="11" max="11" width="56.33203125" style="181" customWidth="1"/>
    <col min="12" max="12" width="15.88671875" style="191" bestFit="1" customWidth="1"/>
    <col min="13" max="13" width="12.44140625" style="191" bestFit="1" customWidth="1"/>
    <col min="14" max="14" width="38.33203125" style="191" bestFit="1" customWidth="1"/>
    <col min="15" max="16" width="14" style="181" bestFit="1" customWidth="1"/>
    <col min="17" max="17" width="16.109375" style="181" bestFit="1" customWidth="1"/>
    <col min="18" max="18" width="1.5546875" style="181" bestFit="1" customWidth="1"/>
    <col min="19" max="19" width="15.109375" style="181" bestFit="1" customWidth="1"/>
    <col min="20" max="20" width="14.88671875" style="181" bestFit="1" customWidth="1"/>
    <col min="21" max="21" width="14" style="181" bestFit="1" customWidth="1"/>
    <col min="22" max="22" width="6.33203125" style="181" bestFit="1" customWidth="1"/>
    <col min="23" max="23" width="1.5546875" style="181" bestFit="1" customWidth="1"/>
    <col min="24" max="24" width="11.6640625" style="181" customWidth="1"/>
    <col min="25" max="25" width="13.88671875" style="181" customWidth="1"/>
    <col min="26" max="16384" width="11.6640625" style="181"/>
  </cols>
  <sheetData>
    <row r="1" spans="1:39" ht="18.75" x14ac:dyDescent="0.3">
      <c r="A1" s="502" t="s">
        <v>330</v>
      </c>
      <c r="B1" s="502"/>
      <c r="C1" s="502"/>
      <c r="D1" s="502"/>
      <c r="E1" s="502"/>
      <c r="F1" s="502"/>
      <c r="G1" s="502"/>
      <c r="H1" s="502"/>
      <c r="I1" s="502"/>
      <c r="J1" s="502"/>
      <c r="K1" s="185"/>
      <c r="L1" s="186"/>
      <c r="M1" s="186"/>
      <c r="N1" s="186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9" ht="18.75" x14ac:dyDescent="0.3">
      <c r="A2" s="502" t="s">
        <v>331</v>
      </c>
      <c r="B2" s="502"/>
      <c r="C2" s="502"/>
      <c r="D2" s="502"/>
      <c r="E2" s="502"/>
      <c r="F2" s="502"/>
      <c r="G2" s="502"/>
      <c r="H2" s="502"/>
      <c r="I2" s="502"/>
      <c r="J2" s="187"/>
      <c r="K2" s="185"/>
      <c r="L2" s="186"/>
      <c r="M2" s="186"/>
      <c r="N2" s="186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pans="1:39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88"/>
      <c r="K3" s="185"/>
      <c r="L3" s="186"/>
      <c r="M3" s="186"/>
      <c r="N3" s="186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1:39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185"/>
      <c r="L4" s="186"/>
      <c r="M4" s="186"/>
      <c r="N4" s="186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</row>
    <row r="5" spans="1:39" ht="15.75" x14ac:dyDescent="0.25">
      <c r="A5" s="139" t="s">
        <v>346</v>
      </c>
      <c r="B5" s="189"/>
      <c r="C5" s="189"/>
      <c r="D5" s="190"/>
      <c r="E5" s="190"/>
      <c r="F5" s="189"/>
      <c r="G5" s="190"/>
      <c r="H5" s="189"/>
      <c r="I5" s="189"/>
      <c r="J5" s="189"/>
      <c r="K5" s="185"/>
      <c r="L5" s="186"/>
      <c r="M5" s="186"/>
      <c r="N5" s="186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6" spans="1:39" ht="15.75" x14ac:dyDescent="0.25">
      <c r="A6" s="139"/>
      <c r="B6" s="189"/>
      <c r="C6" s="189"/>
      <c r="D6" s="190"/>
      <c r="E6" s="190"/>
      <c r="F6" s="189"/>
      <c r="G6" s="190"/>
      <c r="H6" s="189"/>
      <c r="I6" s="189"/>
      <c r="J6" s="189"/>
      <c r="K6" s="185"/>
      <c r="L6" s="186"/>
      <c r="M6" s="186"/>
      <c r="N6" s="186"/>
      <c r="O6" s="186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39" ht="15.75" x14ac:dyDescent="0.25">
      <c r="A7" s="189"/>
      <c r="B7" s="189"/>
      <c r="C7" s="189"/>
      <c r="D7" s="190"/>
      <c r="E7" s="190"/>
      <c r="F7" s="189"/>
      <c r="G7" s="190"/>
      <c r="H7" s="189"/>
      <c r="I7" s="189"/>
      <c r="J7" s="189"/>
      <c r="K7" s="185"/>
      <c r="L7" s="186"/>
      <c r="M7" s="186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9" ht="15.75" x14ac:dyDescent="0.25">
      <c r="A8" s="145"/>
      <c r="B8" s="145"/>
      <c r="C8" s="144"/>
      <c r="D8" s="145"/>
      <c r="E8" s="145"/>
      <c r="G8" s="145"/>
      <c r="H8" s="146"/>
      <c r="I8" s="146"/>
      <c r="J8" s="146"/>
      <c r="K8" s="185"/>
      <c r="L8" s="186"/>
      <c r="M8" s="186"/>
      <c r="N8" s="186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39" ht="15.75" x14ac:dyDescent="0.25">
      <c r="A9" s="145"/>
      <c r="B9" s="145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185"/>
      <c r="L9" s="186"/>
      <c r="M9" s="186"/>
      <c r="N9" s="186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</row>
    <row r="10" spans="1:39" ht="15.75" x14ac:dyDescent="0.25">
      <c r="A10" s="145"/>
      <c r="B10" s="145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185"/>
      <c r="L10" s="186"/>
      <c r="M10" s="186"/>
      <c r="N10" s="186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</row>
    <row r="11" spans="1:39" ht="15.75" x14ac:dyDescent="0.25">
      <c r="A11" s="151"/>
      <c r="B11" s="182"/>
      <c r="C11" s="152"/>
      <c r="D11" s="151" t="s">
        <v>235</v>
      </c>
      <c r="E11" s="151"/>
      <c r="G11" s="151" t="s">
        <v>235</v>
      </c>
      <c r="H11" s="151"/>
      <c r="I11" s="156" t="s">
        <v>235</v>
      </c>
      <c r="J11" s="156"/>
      <c r="K11" s="185"/>
      <c r="L11" s="186"/>
      <c r="M11" s="186"/>
      <c r="N11" s="18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F11" s="192"/>
    </row>
    <row r="12" spans="1:39" ht="15.75" x14ac:dyDescent="0.25">
      <c r="A12" s="150" t="s">
        <v>347</v>
      </c>
      <c r="B12" s="151"/>
      <c r="C12" s="151" t="s">
        <v>235</v>
      </c>
      <c r="D12" s="156"/>
      <c r="E12" s="151"/>
      <c r="F12" s="151"/>
      <c r="G12" s="156"/>
      <c r="H12" s="151"/>
      <c r="I12" s="151"/>
      <c r="J12" s="151"/>
      <c r="K12" s="185"/>
      <c r="L12" s="186"/>
      <c r="M12" s="186"/>
      <c r="N12" s="186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F12" s="192"/>
    </row>
    <row r="13" spans="1:39" ht="15.75" x14ac:dyDescent="0.25">
      <c r="A13" s="153" t="s">
        <v>348</v>
      </c>
      <c r="B13" s="151"/>
      <c r="C13" s="151"/>
      <c r="D13" s="156"/>
      <c r="E13" s="151"/>
      <c r="F13" s="151"/>
      <c r="G13" s="156"/>
      <c r="H13" s="151"/>
      <c r="I13" s="151"/>
      <c r="J13" s="151"/>
      <c r="K13" s="185"/>
      <c r="L13" s="186"/>
      <c r="M13" s="186"/>
      <c r="N13" s="186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F13" s="192"/>
    </row>
    <row r="14" spans="1:39" ht="15.75" x14ac:dyDescent="0.25">
      <c r="A14" s="151" t="s">
        <v>21</v>
      </c>
      <c r="B14" s="151"/>
      <c r="C14" s="193"/>
      <c r="D14" s="156"/>
      <c r="E14" s="151"/>
      <c r="F14" s="151"/>
      <c r="G14" s="156"/>
      <c r="H14" s="151"/>
      <c r="I14" s="151"/>
      <c r="J14" s="151"/>
      <c r="M14" s="196"/>
      <c r="N14" s="194"/>
      <c r="Q14" s="192"/>
      <c r="R14" s="195"/>
      <c r="S14" s="192"/>
      <c r="T14" s="192"/>
      <c r="U14" s="195"/>
      <c r="V14" s="196"/>
      <c r="W14" s="192"/>
      <c r="X14" s="192"/>
      <c r="AF14" s="185"/>
      <c r="AG14" s="185"/>
      <c r="AH14" s="185"/>
      <c r="AI14" s="185"/>
      <c r="AJ14" s="185"/>
      <c r="AK14" s="185"/>
      <c r="AM14" s="192"/>
    </row>
    <row r="15" spans="1:39" ht="15.75" x14ac:dyDescent="0.25">
      <c r="A15" s="151" t="s">
        <v>340</v>
      </c>
      <c r="B15" s="151"/>
      <c r="C15" s="193">
        <f ca="1">SUM('[59]Tariff 24'!D7,'[59]Tariff 24'!D9)</f>
        <v>1066088</v>
      </c>
      <c r="D15" s="155">
        <f ca="1">'[58]Exhibit No.__(JAP-Tariff)'!E15</f>
        <v>9.66</v>
      </c>
      <c r="E15" s="197"/>
      <c r="F15" s="156">
        <f ca="1">ROUND(D15*$C15,0)</f>
        <v>10298410</v>
      </c>
      <c r="G15" s="155">
        <f ca="1">ROUND(D15*(1+$M$25),2)</f>
        <v>9.8000000000000007</v>
      </c>
      <c r="H15" s="197"/>
      <c r="I15" s="156">
        <f ca="1">ROUND(G15*$C15,0)</f>
        <v>10447662</v>
      </c>
      <c r="J15" s="198"/>
      <c r="K15" s="501" t="s">
        <v>189</v>
      </c>
      <c r="L15" s="501"/>
      <c r="M15" s="501"/>
      <c r="N15" s="199"/>
      <c r="P15" s="192"/>
      <c r="Q15" s="192"/>
      <c r="R15" s="195"/>
      <c r="S15" s="192"/>
      <c r="T15" s="192"/>
      <c r="U15" s="195"/>
      <c r="V15" s="196"/>
      <c r="W15" s="192"/>
      <c r="X15" s="192"/>
      <c r="AF15" s="185"/>
      <c r="AG15" s="185"/>
      <c r="AH15" s="185"/>
      <c r="AI15" s="185"/>
      <c r="AJ15" s="185"/>
      <c r="AK15" s="185"/>
      <c r="AM15" s="192"/>
    </row>
    <row r="16" spans="1:39" ht="15.75" x14ac:dyDescent="0.25">
      <c r="A16" s="151" t="s">
        <v>341</v>
      </c>
      <c r="B16" s="151"/>
      <c r="C16" s="193">
        <f ca="1">SUM('[59]Tariff 24'!D8,'[59]Tariff 24'!D10)</f>
        <v>455911</v>
      </c>
      <c r="D16" s="155">
        <f ca="1">'[58]Exhibit No.__(JAP-Tariff)'!E16</f>
        <v>24.55</v>
      </c>
      <c r="E16" s="200"/>
      <c r="F16" s="156">
        <f ca="1">ROUND(D16*$C16,0)</f>
        <v>11192615</v>
      </c>
      <c r="G16" s="155">
        <f ca="1">ROUND(D16*(1+$M$25),2)</f>
        <v>24.9</v>
      </c>
      <c r="H16" s="200"/>
      <c r="I16" s="156">
        <f ca="1">ROUND(G16*$C16,0)</f>
        <v>11352184</v>
      </c>
      <c r="J16" s="198"/>
      <c r="K16" s="501" t="s">
        <v>189</v>
      </c>
      <c r="L16" s="501"/>
      <c r="M16" s="501"/>
      <c r="N16" s="199"/>
      <c r="O16" s="191"/>
      <c r="P16" s="192"/>
      <c r="Q16" s="192"/>
      <c r="R16" s="201"/>
      <c r="S16" s="192"/>
      <c r="T16" s="192"/>
      <c r="U16" s="201"/>
      <c r="W16" s="185"/>
      <c r="X16" s="185"/>
      <c r="Y16" s="185"/>
      <c r="Z16" s="185"/>
      <c r="AA16" s="185"/>
      <c r="AB16" s="185"/>
      <c r="AC16" s="185"/>
      <c r="AD16" s="185"/>
      <c r="AF16" s="192"/>
    </row>
    <row r="17" spans="1:32" ht="15.75" x14ac:dyDescent="0.25">
      <c r="A17" s="157" t="s">
        <v>210</v>
      </c>
      <c r="B17" s="151"/>
      <c r="C17" s="158">
        <f ca="1">SUM(C15:C16)</f>
        <v>1521999</v>
      </c>
      <c r="D17" s="159"/>
      <c r="E17" s="197"/>
      <c r="F17" s="160">
        <f ca="1">SUM(F15:F16)</f>
        <v>21491025</v>
      </c>
      <c r="G17" s="159"/>
      <c r="H17" s="197"/>
      <c r="I17" s="160">
        <f ca="1">SUM(I15:I16)</f>
        <v>21799846</v>
      </c>
      <c r="J17" s="198"/>
      <c r="K17" s="286"/>
      <c r="M17" s="196"/>
      <c r="N17" s="194"/>
      <c r="O17" s="191"/>
      <c r="W17" s="185"/>
      <c r="X17" s="185"/>
      <c r="Y17" s="185"/>
      <c r="Z17" s="185"/>
      <c r="AA17" s="185"/>
      <c r="AB17" s="185"/>
      <c r="AC17" s="185"/>
      <c r="AD17" s="185"/>
      <c r="AF17" s="192"/>
    </row>
    <row r="18" spans="1:32" ht="15.75" x14ac:dyDescent="0.25">
      <c r="A18" s="151" t="s">
        <v>319</v>
      </c>
      <c r="B18" s="151"/>
      <c r="C18" s="193"/>
      <c r="D18" s="159"/>
      <c r="E18" s="197"/>
      <c r="F18" s="162"/>
      <c r="G18" s="159"/>
      <c r="H18" s="197"/>
      <c r="I18" s="162"/>
      <c r="J18" s="198"/>
      <c r="K18" s="286"/>
      <c r="M18" s="196"/>
      <c r="N18" s="194"/>
      <c r="O18" s="191"/>
      <c r="W18" s="185"/>
      <c r="X18" s="185"/>
      <c r="Y18" s="185"/>
      <c r="Z18" s="185"/>
      <c r="AA18" s="185"/>
      <c r="AB18" s="185"/>
      <c r="AC18" s="185"/>
      <c r="AD18" s="185"/>
      <c r="AF18" s="192"/>
    </row>
    <row r="19" spans="1:32" ht="15.75" x14ac:dyDescent="0.25">
      <c r="A19" s="163" t="s">
        <v>349</v>
      </c>
      <c r="B19" s="151"/>
      <c r="C19" s="193">
        <f ca="1">SUM('[59]Tariff 24'!D14,'[59]Tariff 24'!D16)</f>
        <v>1448651253</v>
      </c>
      <c r="D19" s="164">
        <f ca="1">'[58]Exhibit No.__(JAP-Tariff)'!E18</f>
        <v>8.9456999999999995E-2</v>
      </c>
      <c r="E19" s="197"/>
      <c r="F19" s="156">
        <f t="shared" ref="F19:F20" ca="1" si="0">ROUND(D19*$C19,0)</f>
        <v>129591995</v>
      </c>
      <c r="G19" s="165">
        <f ca="1">ROUND(D19*(1+$M$25),6)+L27</f>
        <v>9.071499999999999E-2</v>
      </c>
      <c r="H19" s="197"/>
      <c r="I19" s="156">
        <f t="shared" ref="I19:I20" ca="1" si="1">ROUND(G19*$C19,0)</f>
        <v>131414398</v>
      </c>
      <c r="J19" s="198"/>
      <c r="K19" s="501" t="s">
        <v>203</v>
      </c>
      <c r="L19" s="501"/>
      <c r="M19" s="501"/>
      <c r="N19" s="199"/>
      <c r="O19" s="191"/>
      <c r="P19" s="202"/>
      <c r="Q19" s="202"/>
      <c r="R19" s="202"/>
      <c r="S19" s="202"/>
      <c r="T19" s="202"/>
      <c r="W19" s="185"/>
      <c r="X19" s="185"/>
      <c r="Y19" s="185"/>
      <c r="Z19" s="185"/>
      <c r="AA19" s="185"/>
      <c r="AB19" s="185"/>
      <c r="AC19" s="185"/>
      <c r="AD19" s="185"/>
      <c r="AF19" s="192"/>
    </row>
    <row r="20" spans="1:32" ht="15.75" x14ac:dyDescent="0.25">
      <c r="A20" s="168" t="s">
        <v>350</v>
      </c>
      <c r="B20" s="151"/>
      <c r="C20" s="193">
        <f ca="1">SUM('[59]Tariff 24'!D15,'[59]Tariff 24'!D17)</f>
        <v>1297361453</v>
      </c>
      <c r="D20" s="164">
        <f ca="1">'[58]Exhibit No.__(JAP-Tariff)'!E19</f>
        <v>8.6359000000000005E-2</v>
      </c>
      <c r="E20" s="197"/>
      <c r="F20" s="156">
        <f t="shared" ca="1" si="0"/>
        <v>112038838</v>
      </c>
      <c r="G20" s="164">
        <f ca="1">ROUND(D20*(1+$M$25),6)</f>
        <v>8.7578000000000003E-2</v>
      </c>
      <c r="H20" s="197"/>
      <c r="I20" s="156">
        <f t="shared" ca="1" si="1"/>
        <v>113620321</v>
      </c>
      <c r="J20" s="198"/>
      <c r="K20" s="501" t="s">
        <v>189</v>
      </c>
      <c r="L20" s="501"/>
      <c r="M20" s="501"/>
      <c r="N20" s="199"/>
      <c r="O20" s="191"/>
      <c r="W20" s="185"/>
      <c r="X20" s="185"/>
      <c r="Y20" s="185"/>
      <c r="Z20" s="185"/>
      <c r="AA20" s="185"/>
      <c r="AB20" s="185"/>
      <c r="AC20" s="185"/>
      <c r="AD20" s="185"/>
      <c r="AF20" s="192"/>
    </row>
    <row r="21" spans="1:32" ht="15.75" x14ac:dyDescent="0.25">
      <c r="A21" s="157" t="s">
        <v>210</v>
      </c>
      <c r="B21" s="203"/>
      <c r="C21" s="158">
        <f ca="1">SUM(C19:C20)</f>
        <v>2746012706</v>
      </c>
      <c r="D21" s="204"/>
      <c r="E21" s="197"/>
      <c r="F21" s="160">
        <f ca="1">SUM(F19:F20)</f>
        <v>241630833</v>
      </c>
      <c r="G21" s="204"/>
      <c r="H21" s="197"/>
      <c r="I21" s="160">
        <f ca="1">SUM(I19:I20)</f>
        <v>245034719</v>
      </c>
      <c r="J21" s="198"/>
      <c r="K21" s="286"/>
      <c r="W21" s="185"/>
      <c r="X21" s="185"/>
      <c r="Y21" s="185"/>
      <c r="Z21" s="185"/>
      <c r="AA21" s="185"/>
      <c r="AB21" s="185"/>
      <c r="AC21" s="185"/>
      <c r="AD21" s="185"/>
      <c r="AF21" s="192"/>
    </row>
    <row r="22" spans="1:32" ht="15.75" x14ac:dyDescent="0.25">
      <c r="A22" s="163" t="s">
        <v>204</v>
      </c>
      <c r="B22" s="203"/>
      <c r="C22" s="193">
        <f ca="1">SUM('[59]Tariff 24'!$E$19:$J$19)</f>
        <v>21337341.172849126</v>
      </c>
      <c r="D22" s="164">
        <f ca="1">D19</f>
        <v>8.9456999999999995E-2</v>
      </c>
      <c r="E22" s="197"/>
      <c r="F22" s="156">
        <f t="shared" ref="F22:F24" ca="1" si="2">ROUND(D22*$C22,0)</f>
        <v>1908775</v>
      </c>
      <c r="G22" s="164">
        <f ca="1">G19</f>
        <v>9.071499999999999E-2</v>
      </c>
      <c r="H22" s="197"/>
      <c r="I22" s="156">
        <f t="shared" ref="I22:I24" ca="1" si="3">ROUND(G22*$C22,0)</f>
        <v>1935617</v>
      </c>
      <c r="J22" s="198"/>
      <c r="K22" s="501" t="s">
        <v>189</v>
      </c>
      <c r="L22" s="501"/>
      <c r="M22" s="501"/>
      <c r="W22" s="185"/>
      <c r="X22" s="185"/>
      <c r="Y22" s="185"/>
      <c r="Z22" s="185"/>
      <c r="AA22" s="185"/>
      <c r="AB22" s="185"/>
      <c r="AC22" s="185"/>
      <c r="AD22" s="185"/>
      <c r="AF22" s="192"/>
    </row>
    <row r="23" spans="1:32" ht="15.75" x14ac:dyDescent="0.25">
      <c r="A23" s="163" t="s">
        <v>205</v>
      </c>
      <c r="B23" s="203"/>
      <c r="C23" s="193">
        <f ca="1">SUM('[59]Tariff 24'!$K$19:$P$19)</f>
        <v>1211126.9944080415</v>
      </c>
      <c r="D23" s="164">
        <f ca="1">D20</f>
        <v>8.6359000000000005E-2</v>
      </c>
      <c r="E23" s="164"/>
      <c r="F23" s="156">
        <f t="shared" ca="1" si="2"/>
        <v>104592</v>
      </c>
      <c r="G23" s="164">
        <f ca="1">G20</f>
        <v>8.7578000000000003E-2</v>
      </c>
      <c r="H23" s="197"/>
      <c r="I23" s="156">
        <f t="shared" ca="1" si="3"/>
        <v>106068</v>
      </c>
      <c r="J23" s="198"/>
      <c r="K23" s="501" t="s">
        <v>189</v>
      </c>
      <c r="L23" s="501"/>
      <c r="M23" s="501"/>
      <c r="W23" s="185"/>
      <c r="X23" s="185"/>
      <c r="Y23" s="185"/>
      <c r="Z23" s="185"/>
      <c r="AA23" s="185"/>
      <c r="AB23" s="185"/>
      <c r="AC23" s="185"/>
      <c r="AD23" s="185"/>
      <c r="AF23" s="192"/>
    </row>
    <row r="24" spans="1:32" ht="15.75" x14ac:dyDescent="0.25">
      <c r="A24" s="168" t="s">
        <v>193</v>
      </c>
      <c r="B24" s="300"/>
      <c r="C24" s="205">
        <f ca="1">'[59]Tariff 24'!$D$18</f>
        <v>19022939.703836836</v>
      </c>
      <c r="D24" s="164">
        <f ca="1">ROUND(SUM(F17,F21:F23)/SUM(C21:C23),6)</f>
        <v>9.5766000000000004E-2</v>
      </c>
      <c r="E24" s="197"/>
      <c r="F24" s="156">
        <f t="shared" ca="1" si="2"/>
        <v>1821751</v>
      </c>
      <c r="G24" s="164">
        <f ca="1">ROUND(SUM(I17,I21:I23)/SUM(C21:C23),6)</f>
        <v>9.7117999999999996E-2</v>
      </c>
      <c r="H24" s="197"/>
      <c r="I24" s="156">
        <f t="shared" ca="1" si="3"/>
        <v>1847470</v>
      </c>
      <c r="J24" s="162"/>
      <c r="K24" s="501" t="s">
        <v>189</v>
      </c>
      <c r="L24" s="501"/>
      <c r="M24" s="501"/>
      <c r="N24" s="196"/>
      <c r="W24" s="185"/>
      <c r="X24" s="185"/>
      <c r="Y24" s="185"/>
      <c r="Z24" s="185"/>
      <c r="AA24" s="185"/>
      <c r="AB24" s="185"/>
      <c r="AC24" s="185"/>
      <c r="AD24" s="185"/>
      <c r="AF24" s="192"/>
    </row>
    <row r="25" spans="1:32" ht="16.5" thickBot="1" x14ac:dyDescent="0.3">
      <c r="A25" s="151" t="s">
        <v>351</v>
      </c>
      <c r="B25" s="151"/>
      <c r="C25" s="206">
        <f ca="1">SUM(C21:C24)</f>
        <v>2787584113.8710942</v>
      </c>
      <c r="D25" s="213"/>
      <c r="E25" s="207"/>
      <c r="F25" s="172">
        <f ca="1">SUM(F21:F24,F17)</f>
        <v>266956976</v>
      </c>
      <c r="G25" s="213"/>
      <c r="H25" s="207"/>
      <c r="I25" s="172">
        <f ca="1">SUM(I21:I24,I17)</f>
        <v>270723720</v>
      </c>
      <c r="J25" s="208"/>
      <c r="K25" s="209" t="s">
        <v>352</v>
      </c>
      <c r="L25" s="210">
        <f ca="1">'[58]Exhibit No.__(JAP-Rate Spread)'!K11*1000</f>
        <v>270724130.40566456</v>
      </c>
      <c r="M25" s="301">
        <f ca="1">L25/F25-1</f>
        <v>1.4111466432195963E-2</v>
      </c>
      <c r="N25" s="211"/>
      <c r="O25" s="199" t="s">
        <v>235</v>
      </c>
      <c r="W25" s="185"/>
      <c r="X25" s="185"/>
      <c r="Y25" s="185"/>
      <c r="Z25" s="185"/>
      <c r="AA25" s="185"/>
      <c r="AB25" s="185"/>
      <c r="AC25" s="185"/>
      <c r="AD25" s="185"/>
      <c r="AF25" s="192"/>
    </row>
    <row r="26" spans="1:32" ht="16.5" thickTop="1" x14ac:dyDescent="0.25">
      <c r="A26" s="151"/>
      <c r="B26" s="151"/>
      <c r="C26" s="212"/>
      <c r="D26" s="213"/>
      <c r="E26" s="207"/>
      <c r="F26" s="198"/>
      <c r="G26" s="302"/>
      <c r="H26" s="207"/>
      <c r="I26" s="198"/>
      <c r="J26" s="198"/>
      <c r="K26" s="214" t="s">
        <v>46</v>
      </c>
      <c r="L26" s="215">
        <f ca="1">L25-I25</f>
        <v>410.40566456317902</v>
      </c>
      <c r="M26" s="303"/>
      <c r="N26" s="211"/>
      <c r="O26" s="199"/>
      <c r="W26" s="185"/>
      <c r="X26" s="185"/>
      <c r="Y26" s="185"/>
      <c r="Z26" s="185"/>
      <c r="AA26" s="185"/>
      <c r="AB26" s="185"/>
      <c r="AC26" s="185"/>
      <c r="AD26" s="185"/>
      <c r="AF26" s="192"/>
    </row>
    <row r="27" spans="1:32" ht="15.75" x14ac:dyDescent="0.25">
      <c r="A27" s="151"/>
      <c r="B27" s="151"/>
      <c r="C27" s="152"/>
      <c r="D27" s="304">
        <f ca="1">ROUND(SUM(F21:F24)/SUM(C25),6)</f>
        <v>8.8056999999999996E-2</v>
      </c>
      <c r="E27" s="151"/>
      <c r="F27" s="156"/>
      <c r="G27" s="304">
        <f ca="1">ROUND(SUM(I21:I24)/SUM(C25),6)</f>
        <v>8.9297000000000001E-2</v>
      </c>
      <c r="H27" s="151"/>
      <c r="I27" s="156" t="s">
        <v>235</v>
      </c>
      <c r="J27" s="156"/>
      <c r="K27" s="177" t="s">
        <v>620</v>
      </c>
      <c r="L27" s="305">
        <f ca="1">'[58]Exhibit No.__(JAP-SV RD)'!$L$27</f>
        <v>-3.9999999999999998E-6</v>
      </c>
      <c r="M27" s="305">
        <f ca="1">L26/C19</f>
        <v>2.8330190838773191E-7</v>
      </c>
      <c r="N27" s="186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</row>
    <row r="28" spans="1:32" ht="15.75" x14ac:dyDescent="0.25">
      <c r="A28" s="150" t="s">
        <v>353</v>
      </c>
      <c r="B28" s="151"/>
      <c r="C28" s="216"/>
      <c r="D28" s="156"/>
      <c r="E28" s="151"/>
      <c r="F28" s="151"/>
      <c r="G28" s="156"/>
      <c r="H28" s="151"/>
      <c r="I28" s="156" t="s">
        <v>235</v>
      </c>
      <c r="J28" s="156"/>
      <c r="K28" s="185"/>
      <c r="L28" s="186"/>
      <c r="M28" s="186"/>
      <c r="N28" s="186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</row>
    <row r="29" spans="1:32" ht="15.75" x14ac:dyDescent="0.25">
      <c r="A29" s="153" t="s">
        <v>354</v>
      </c>
      <c r="B29" s="151"/>
      <c r="C29" s="151" t="s">
        <v>235</v>
      </c>
      <c r="D29" s="156"/>
      <c r="E29" s="151"/>
      <c r="F29" s="151"/>
      <c r="G29" s="156"/>
      <c r="H29" s="151"/>
      <c r="I29" s="151"/>
      <c r="J29" s="151"/>
      <c r="K29" s="185"/>
      <c r="L29" s="186"/>
      <c r="M29" s="186"/>
      <c r="N29" s="186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</row>
    <row r="30" spans="1:32" ht="15.75" x14ac:dyDescent="0.25">
      <c r="A30" s="197"/>
      <c r="B30" s="151"/>
      <c r="C30" s="151"/>
      <c r="D30" s="156"/>
      <c r="E30" s="151"/>
      <c r="F30" s="151"/>
      <c r="G30" s="156"/>
      <c r="H30" s="151"/>
      <c r="I30" s="151"/>
      <c r="J30" s="151"/>
      <c r="K30" s="185"/>
      <c r="L30" s="186"/>
      <c r="M30" s="186"/>
      <c r="N30" s="186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</row>
    <row r="31" spans="1:32" ht="15.75" x14ac:dyDescent="0.25">
      <c r="A31" s="197" t="s">
        <v>21</v>
      </c>
      <c r="B31" s="151"/>
      <c r="C31" s="193">
        <f ca="1">SUM('[59]Tariff 7A'!$D$6,'[59]Tariff 25'!$D$8)</f>
        <v>86639</v>
      </c>
      <c r="D31" s="217">
        <f ca="1">'[58]Exhibit No.__(JAP-Tariff)'!E22</f>
        <v>51.67</v>
      </c>
      <c r="E31" s="197"/>
      <c r="F31" s="218">
        <f ca="1">ROUND(D31*$C31,0)</f>
        <v>4476637</v>
      </c>
      <c r="G31" s="217">
        <f ca="1">ROUND(D31*(1+$M$47),2)</f>
        <v>52.3</v>
      </c>
      <c r="H31" s="197"/>
      <c r="I31" s="218">
        <f ca="1">ROUND(G31*$C31,0)</f>
        <v>4531220</v>
      </c>
      <c r="J31" s="218"/>
      <c r="K31" s="501" t="s">
        <v>189</v>
      </c>
      <c r="L31" s="501"/>
      <c r="M31" s="501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</row>
    <row r="32" spans="1:32" ht="15.75" x14ac:dyDescent="0.25">
      <c r="A32" s="197" t="s">
        <v>190</v>
      </c>
      <c r="B32" s="151"/>
      <c r="C32" s="193"/>
      <c r="D32" s="219"/>
      <c r="E32" s="218"/>
      <c r="F32" s="218"/>
      <c r="G32" s="217"/>
      <c r="H32" s="218"/>
      <c r="I32" s="218"/>
      <c r="J32" s="218"/>
      <c r="K32" s="185"/>
      <c r="L32" s="186"/>
      <c r="M32" s="186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</row>
    <row r="33" spans="1:30" ht="15.75" x14ac:dyDescent="0.25">
      <c r="A33" s="163" t="s">
        <v>355</v>
      </c>
      <c r="B33" s="151"/>
      <c r="C33" s="193">
        <f ca="1">SUM('[59]Tariff 7A'!D9,'[59]Tariff 25'!D11,'[59]Tariff 25'!D14)</f>
        <v>729616257</v>
      </c>
      <c r="D33" s="245">
        <f ca="1">'[58]Exhibit No.__(JAP-Tariff)'!E24</f>
        <v>8.9582999999999996E-2</v>
      </c>
      <c r="E33" s="218"/>
      <c r="F33" s="218">
        <f ca="1">ROUND($C33*D33,0)</f>
        <v>65361213</v>
      </c>
      <c r="G33" s="220">
        <f ca="1">ROUND(G35+(1+$L$57)*(D33-D35),6)+L49</f>
        <v>9.0753E-2</v>
      </c>
      <c r="H33" s="218"/>
      <c r="I33" s="218">
        <f ca="1">ROUND($C33*G33,0)</f>
        <v>66214864</v>
      </c>
      <c r="J33" s="218"/>
      <c r="K33" s="504" t="s">
        <v>621</v>
      </c>
      <c r="L33" s="503"/>
      <c r="M33" s="503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</row>
    <row r="34" spans="1:30" ht="15.75" x14ac:dyDescent="0.25">
      <c r="A34" s="163" t="s">
        <v>356</v>
      </c>
      <c r="B34" s="151"/>
      <c r="C34" s="193">
        <f ca="1">SUM('[59]Tariff 7A'!D10,'[59]Tariff 25'!D12,'[59]Tariff 25'!D15)</f>
        <v>700134665</v>
      </c>
      <c r="D34" s="245">
        <f ca="1">'[58]Exhibit No.__(JAP-Tariff)'!E25</f>
        <v>8.1430000000000002E-2</v>
      </c>
      <c r="E34" s="218"/>
      <c r="F34" s="218">
        <f t="shared" ref="F34:F37" ca="1" si="4">ROUND($C34*D34,0)</f>
        <v>57011966</v>
      </c>
      <c r="G34" s="220">
        <f ca="1">ROUND(G35+(1+$L$57)*(D34-D35),6)+L49</f>
        <v>8.2225999999999994E-2</v>
      </c>
      <c r="H34" s="218"/>
      <c r="I34" s="218">
        <f t="shared" ref="I34:I38" ca="1" si="5">ROUND($C34*G34,0)</f>
        <v>57569273</v>
      </c>
      <c r="J34" s="218"/>
      <c r="K34" s="504" t="s">
        <v>621</v>
      </c>
      <c r="L34" s="503"/>
      <c r="M34" s="503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</row>
    <row r="35" spans="1:30" ht="15.75" x14ac:dyDescent="0.25">
      <c r="A35" s="163" t="s">
        <v>357</v>
      </c>
      <c r="B35" s="151"/>
      <c r="C35" s="193">
        <f ca="1">SUM('[59]Tariff 7A'!D11,'[59]Tariff 25'!D13,'[59]Tariff 25'!D16)</f>
        <v>1368735464</v>
      </c>
      <c r="D35" s="245">
        <f ca="1">'[58]Exhibit No.__(JAP-Tariff)'!E26</f>
        <v>6.4072000000000004E-2</v>
      </c>
      <c r="E35" s="218"/>
      <c r="F35" s="218">
        <f t="shared" ca="1" si="4"/>
        <v>87697619</v>
      </c>
      <c r="G35" s="245">
        <f ca="1">D35</f>
        <v>6.4072000000000004E-2</v>
      </c>
      <c r="H35" s="218"/>
      <c r="I35" s="218">
        <f t="shared" ca="1" si="5"/>
        <v>87697619</v>
      </c>
      <c r="J35" s="218"/>
      <c r="K35" s="503" t="s">
        <v>622</v>
      </c>
      <c r="L35" s="503"/>
      <c r="M35" s="503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</row>
    <row r="36" spans="1:30" ht="15.75" x14ac:dyDescent="0.25">
      <c r="A36" s="157" t="s">
        <v>210</v>
      </c>
      <c r="B36" s="151"/>
      <c r="C36" s="221">
        <f ca="1">SUM(C33:C35)</f>
        <v>2798486386</v>
      </c>
      <c r="D36" s="204"/>
      <c r="E36" s="197"/>
      <c r="F36" s="160">
        <f ca="1">SUM(F33:F35)</f>
        <v>210070798</v>
      </c>
      <c r="G36" s="204"/>
      <c r="H36" s="197"/>
      <c r="I36" s="160">
        <f ca="1">SUM(I33:I35)</f>
        <v>211481756</v>
      </c>
      <c r="J36" s="156"/>
      <c r="K36" s="185"/>
      <c r="L36" s="186"/>
      <c r="M36" s="186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</row>
    <row r="37" spans="1:30" ht="15.75" x14ac:dyDescent="0.25">
      <c r="A37" s="163" t="s">
        <v>192</v>
      </c>
      <c r="B37" s="151"/>
      <c r="C37" s="193">
        <f ca="1">SUM('[59]Tariff 7A'!$D$13,'[59]Tariff 25'!$D$18)</f>
        <v>11247064.07998576</v>
      </c>
      <c r="D37" s="245">
        <f ca="1">D35</f>
        <v>6.4072000000000004E-2</v>
      </c>
      <c r="E37" s="197"/>
      <c r="F37" s="218">
        <f t="shared" ca="1" si="4"/>
        <v>720622</v>
      </c>
      <c r="G37" s="245">
        <f ca="1">G35</f>
        <v>6.4072000000000004E-2</v>
      </c>
      <c r="H37" s="197"/>
      <c r="I37" s="218">
        <f t="shared" ca="1" si="5"/>
        <v>720622</v>
      </c>
      <c r="J37" s="156"/>
      <c r="K37" s="503" t="s">
        <v>622</v>
      </c>
      <c r="L37" s="503"/>
      <c r="M37" s="503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</row>
    <row r="38" spans="1:30" ht="15.75" x14ac:dyDescent="0.25">
      <c r="A38" s="168" t="s">
        <v>193</v>
      </c>
      <c r="B38" s="151"/>
      <c r="C38" s="193">
        <f ca="1">SUM('[59]Tariff 7A'!$D$12,'[59]Tariff 25'!$D$17)</f>
        <v>29725507.391902685</v>
      </c>
      <c r="D38" s="245">
        <f ca="1">ROUND(F38/C38,6)</f>
        <v>8.8917999999999997E-2</v>
      </c>
      <c r="E38" s="197"/>
      <c r="F38" s="218">
        <f ca="1">SUM('[59]Tariff 25'!$D$45:$D$46)</f>
        <v>2643147</v>
      </c>
      <c r="G38" s="245">
        <f ca="1">ROUND(D38*(1+$M$47),6)</f>
        <v>9.0005000000000002E-2</v>
      </c>
      <c r="H38" s="197"/>
      <c r="I38" s="218">
        <f t="shared" ca="1" si="5"/>
        <v>2675444</v>
      </c>
      <c r="J38" s="162"/>
      <c r="K38" s="501" t="s">
        <v>189</v>
      </c>
      <c r="L38" s="501"/>
      <c r="M38" s="501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</row>
    <row r="39" spans="1:30" ht="15.75" x14ac:dyDescent="0.25">
      <c r="A39" s="157" t="s">
        <v>210</v>
      </c>
      <c r="B39" s="151"/>
      <c r="C39" s="221">
        <f ca="1">SUM(C36:C38)</f>
        <v>2839458957.4718885</v>
      </c>
      <c r="D39" s="197"/>
      <c r="E39" s="197"/>
      <c r="F39" s="160">
        <f ca="1">SUM(F36:F38)</f>
        <v>213434567</v>
      </c>
      <c r="G39" s="197"/>
      <c r="H39" s="197"/>
      <c r="I39" s="160">
        <f ca="1">SUM(I36:I38)</f>
        <v>214877822</v>
      </c>
      <c r="J39" s="162"/>
      <c r="K39" s="306"/>
      <c r="L39" s="307"/>
      <c r="M39" s="186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</row>
    <row r="40" spans="1:30" ht="15.75" x14ac:dyDescent="0.25">
      <c r="A40" s="197" t="s">
        <v>194</v>
      </c>
      <c r="B40" s="151"/>
      <c r="C40" s="193"/>
      <c r="D40" s="222"/>
      <c r="E40" s="197"/>
      <c r="F40" s="218"/>
      <c r="G40" s="222"/>
      <c r="H40" s="197"/>
      <c r="I40" s="218"/>
      <c r="J40" s="218"/>
      <c r="K40" s="185"/>
      <c r="L40" s="186"/>
      <c r="M40" s="186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</row>
    <row r="41" spans="1:30" ht="15.75" x14ac:dyDescent="0.25">
      <c r="A41" s="163" t="s">
        <v>358</v>
      </c>
      <c r="B41" s="151"/>
      <c r="C41" s="193">
        <f ca="1">SUM('[59]Tariff 25'!D22,'[59]Tariff 25'!D24,'[59]Tariff 7A'!D17)</f>
        <v>2199361</v>
      </c>
      <c r="D41" s="217">
        <f ca="1">'[58]Exhibit No.__(JAP-Tariff)'!E29</f>
        <v>9.01</v>
      </c>
      <c r="E41" s="197"/>
      <c r="F41" s="218">
        <f ca="1">ROUND(D41*$C41,0)</f>
        <v>19816243</v>
      </c>
      <c r="G41" s="217">
        <f ca="1">ROUND(D41*(1+$L$57),2)</f>
        <v>9.42</v>
      </c>
      <c r="H41" s="197"/>
      <c r="I41" s="218">
        <f ca="1">ROUND(G41*$C41,0)</f>
        <v>20717981</v>
      </c>
      <c r="J41" s="218"/>
      <c r="K41" s="503" t="s">
        <v>623</v>
      </c>
      <c r="L41" s="503"/>
      <c r="M41" s="503"/>
      <c r="P41" s="223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</row>
    <row r="42" spans="1:30" ht="15.75" x14ac:dyDescent="0.25">
      <c r="A42" s="163" t="s">
        <v>359</v>
      </c>
      <c r="B42" s="151"/>
      <c r="C42" s="193">
        <f ca="1">SUM('[59]Tariff 25'!D23,'[59]Tariff 25'!D25,'[59]Tariff 7A'!D18)</f>
        <v>2139466</v>
      </c>
      <c r="D42" s="217">
        <f ca="1">'[58]Exhibit No.__(JAP-Tariff)'!E30</f>
        <v>6.01</v>
      </c>
      <c r="E42" s="197"/>
      <c r="F42" s="218">
        <f ca="1">ROUND(D42*$C42,0)</f>
        <v>12858191</v>
      </c>
      <c r="G42" s="217">
        <f ca="1">ROUND(D42*(1+$L$57),2)</f>
        <v>6.29</v>
      </c>
      <c r="H42" s="197"/>
      <c r="I42" s="218">
        <f ca="1">ROUND(G42*$C42,0)</f>
        <v>13457241</v>
      </c>
      <c r="J42" s="218"/>
      <c r="K42" s="503" t="s">
        <v>623</v>
      </c>
      <c r="L42" s="503"/>
      <c r="M42" s="503"/>
      <c r="P42" s="223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</row>
    <row r="43" spans="1:30" ht="15.75" x14ac:dyDescent="0.25">
      <c r="A43" s="157" t="s">
        <v>210</v>
      </c>
      <c r="B43" s="151"/>
      <c r="C43" s="221">
        <f ca="1">SUM(C41:C42)</f>
        <v>4338827</v>
      </c>
      <c r="D43" s="222"/>
      <c r="E43" s="197"/>
      <c r="F43" s="224">
        <f ca="1">SUM(F41:F42)</f>
        <v>32674434</v>
      </c>
      <c r="G43" s="222"/>
      <c r="H43" s="197"/>
      <c r="I43" s="224">
        <f ca="1">SUM(I41:I42)</f>
        <v>34175222</v>
      </c>
      <c r="J43" s="218"/>
      <c r="K43" s="185"/>
      <c r="L43" s="186"/>
      <c r="M43" s="186"/>
      <c r="N43" s="186"/>
      <c r="O43" s="225"/>
      <c r="P43" s="223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</row>
    <row r="44" spans="1:30" ht="15.75" x14ac:dyDescent="0.25">
      <c r="A44" s="151"/>
      <c r="B44" s="151"/>
      <c r="C44" s="212"/>
      <c r="D44" s="212"/>
      <c r="E44" s="197"/>
      <c r="F44" s="162"/>
      <c r="G44" s="212"/>
      <c r="H44" s="197"/>
      <c r="I44" s="162"/>
      <c r="J44" s="162"/>
      <c r="K44" s="306"/>
      <c r="L44" s="307"/>
      <c r="M44" s="186"/>
      <c r="N44" s="186"/>
      <c r="O44" s="225"/>
      <c r="P44" s="223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</row>
    <row r="45" spans="1:30" ht="15.75" x14ac:dyDescent="0.25">
      <c r="A45" s="151" t="s">
        <v>88</v>
      </c>
      <c r="B45" s="151"/>
      <c r="C45" s="193">
        <f ca="1">SUM('[59]Tariff 7A'!$D$21,'[59]Tariff 25'!$D$30)</f>
        <v>686869215</v>
      </c>
      <c r="D45" s="246">
        <f ca="1">'[58]Exhibit No.__(JAP-Tariff)'!E32</f>
        <v>2.8300000000000001E-3</v>
      </c>
      <c r="E45" s="197"/>
      <c r="F45" s="218">
        <f ca="1">ROUND(D45*$C45,0)</f>
        <v>1943840</v>
      </c>
      <c r="G45" s="246">
        <f ca="1">ROUND(D45*(1+$L$57),5)</f>
        <v>2.96E-3</v>
      </c>
      <c r="H45" s="197"/>
      <c r="I45" s="218">
        <f ca="1">ROUND(G45*$C45,0)</f>
        <v>2033133</v>
      </c>
      <c r="J45" s="162"/>
      <c r="K45" s="503" t="s">
        <v>623</v>
      </c>
      <c r="L45" s="503"/>
      <c r="M45" s="503"/>
      <c r="N45" s="186"/>
      <c r="O45" s="225"/>
      <c r="P45" s="223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</row>
    <row r="46" spans="1:30" ht="15.75" x14ac:dyDescent="0.25">
      <c r="A46" s="151"/>
      <c r="B46" s="151"/>
      <c r="C46" s="212"/>
      <c r="D46" s="212"/>
      <c r="E46" s="197"/>
      <c r="F46" s="162"/>
      <c r="G46" s="212"/>
      <c r="H46" s="197"/>
      <c r="I46" s="162"/>
      <c r="J46" s="162"/>
      <c r="N46" s="186"/>
      <c r="O46" s="225"/>
      <c r="P46" s="223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</row>
    <row r="47" spans="1:30" ht="16.5" thickBot="1" x14ac:dyDescent="0.3">
      <c r="A47" s="151" t="s">
        <v>351</v>
      </c>
      <c r="B47" s="151"/>
      <c r="C47" s="212"/>
      <c r="D47" s="212"/>
      <c r="E47" s="197"/>
      <c r="F47" s="208">
        <f ca="1">SUM(F31,F39,F43,F45)</f>
        <v>252529478</v>
      </c>
      <c r="G47" s="212"/>
      <c r="H47" s="197"/>
      <c r="I47" s="208">
        <f ca="1">SUM(I31,I39,I43,I45)</f>
        <v>255617397</v>
      </c>
      <c r="J47" s="198"/>
      <c r="K47" s="226" t="s">
        <v>360</v>
      </c>
      <c r="L47" s="210">
        <f ca="1">'[58]Exhibit No.__(JAP-Rate Spread)'!K12*1000</f>
        <v>256769054.42493081</v>
      </c>
      <c r="M47" s="301">
        <f ca="1">L47/SUM(F136,F47)-1</f>
        <v>1.2227951155924011E-2</v>
      </c>
      <c r="N47" s="186"/>
      <c r="O47" s="225"/>
      <c r="P47" s="223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</row>
    <row r="48" spans="1:30" ht="16.5" thickTop="1" x14ac:dyDescent="0.25">
      <c r="A48" s="151"/>
      <c r="B48" s="227"/>
      <c r="C48" s="212"/>
      <c r="D48" s="212"/>
      <c r="E48" s="151"/>
      <c r="F48" s="156"/>
      <c r="G48" s="212"/>
      <c r="H48" s="151"/>
      <c r="I48" s="156"/>
      <c r="J48" s="156"/>
      <c r="K48" s="214" t="s">
        <v>46</v>
      </c>
      <c r="L48" s="215">
        <f ca="1">L47-I136-I47</f>
        <v>-13.575069189071655</v>
      </c>
      <c r="M48" s="308" t="s">
        <v>235</v>
      </c>
      <c r="N48" s="186"/>
      <c r="O48" s="225"/>
      <c r="P48" s="223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</row>
    <row r="49" spans="1:30" ht="15.75" x14ac:dyDescent="0.25">
      <c r="A49" s="228" t="s">
        <v>624</v>
      </c>
      <c r="B49" s="229"/>
      <c r="C49" s="229"/>
      <c r="D49" s="212"/>
      <c r="E49" s="151"/>
      <c r="F49" s="156"/>
      <c r="J49" s="156"/>
      <c r="K49" s="230" t="s">
        <v>625</v>
      </c>
      <c r="L49" s="305">
        <f ca="1">'[58]Exhibit No.__(JAP-SV RD)'!$L$49</f>
        <v>-9.9999999999999995E-7</v>
      </c>
      <c r="M49" s="305">
        <f ca="1">'[58]Exhibit No.__(JAP-SV RD)'!$L$49</f>
        <v>-9.9999999999999995E-7</v>
      </c>
      <c r="N49" s="186"/>
      <c r="O49" s="225"/>
      <c r="P49" s="223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</row>
    <row r="50" spans="1:30" ht="15.75" x14ac:dyDescent="0.25">
      <c r="A50" s="186"/>
      <c r="C50" s="231"/>
      <c r="D50" s="223"/>
      <c r="K50" s="232" t="s">
        <v>626</v>
      </c>
      <c r="L50" s="233">
        <f ca="1">'[58]Exhibit No.__(JAP-Rate Spread)'!M12</f>
        <v>3102308.4249307895</v>
      </c>
      <c r="O50" s="225"/>
      <c r="P50" s="223"/>
      <c r="Q50" s="185"/>
    </row>
    <row r="51" spans="1:30" ht="15.75" x14ac:dyDescent="0.25">
      <c r="A51" s="234" t="s">
        <v>627</v>
      </c>
      <c r="D51" s="309"/>
      <c r="F51" s="309">
        <f ca="1">D33-D35</f>
        <v>2.5510999999999992E-2</v>
      </c>
      <c r="G51" s="309">
        <f ca="1">G33-G35</f>
        <v>2.6680999999999996E-2</v>
      </c>
      <c r="K51" s="310" t="s">
        <v>628</v>
      </c>
      <c r="L51" s="311">
        <f ca="1">+I136-F136</f>
        <v>13925</v>
      </c>
      <c r="O51" s="225"/>
      <c r="P51" s="223"/>
      <c r="Q51" s="185"/>
    </row>
    <row r="52" spans="1:30" ht="15.75" x14ac:dyDescent="0.25">
      <c r="A52" s="234" t="s">
        <v>629</v>
      </c>
      <c r="D52" s="309"/>
      <c r="F52" s="309">
        <f ca="1">D34-D35</f>
        <v>1.7357999999999998E-2</v>
      </c>
      <c r="G52" s="309">
        <f ca="1">G34-G35</f>
        <v>1.815399999999999E-2</v>
      </c>
      <c r="K52" s="310" t="s">
        <v>630</v>
      </c>
      <c r="L52" s="311">
        <f ca="1">+L50-L51</f>
        <v>3088383.4249307895</v>
      </c>
      <c r="O52" s="225"/>
      <c r="P52" s="223"/>
      <c r="Q52" s="185"/>
    </row>
    <row r="53" spans="1:30" ht="15.75" x14ac:dyDescent="0.25">
      <c r="A53" s="234" t="s">
        <v>631</v>
      </c>
      <c r="D53" s="309"/>
      <c r="F53" s="231">
        <f ca="1">C33</f>
        <v>729616257</v>
      </c>
      <c r="G53" s="191">
        <f ca="1">F53</f>
        <v>729616257</v>
      </c>
      <c r="K53" s="310" t="s">
        <v>632</v>
      </c>
      <c r="L53" s="311">
        <f ca="1">-(I31-F31)</f>
        <v>-54583</v>
      </c>
      <c r="O53" s="225"/>
      <c r="P53" s="223"/>
      <c r="Q53" s="185"/>
    </row>
    <row r="54" spans="1:30" ht="15.75" x14ac:dyDescent="0.25">
      <c r="A54" s="234" t="s">
        <v>633</v>
      </c>
      <c r="D54" s="309"/>
      <c r="F54" s="231">
        <f ca="1">C34</f>
        <v>700134665</v>
      </c>
      <c r="G54" s="191">
        <f ca="1">F54</f>
        <v>700134665</v>
      </c>
      <c r="K54" s="310" t="s">
        <v>634</v>
      </c>
      <c r="L54" s="311">
        <f ca="1">-(I38-F38)</f>
        <v>-32297</v>
      </c>
      <c r="O54" s="225"/>
      <c r="P54" s="223"/>
      <c r="Q54" s="185"/>
    </row>
    <row r="55" spans="1:30" ht="15.75" x14ac:dyDescent="0.25">
      <c r="A55" s="234" t="s">
        <v>635</v>
      </c>
      <c r="D55" s="231"/>
      <c r="F55" s="312">
        <f ca="1">F53*F51+F52*F54</f>
        <v>30766177.847396992</v>
      </c>
      <c r="G55" s="312">
        <f ca="1">G53*G51+G52*G54</f>
        <v>32177136.06142699</v>
      </c>
      <c r="K55" s="310" t="s">
        <v>636</v>
      </c>
      <c r="L55" s="311">
        <f ca="1">SUM(L52:L54)</f>
        <v>3001503.4249307895</v>
      </c>
      <c r="O55" s="225"/>
      <c r="P55" s="223"/>
      <c r="Q55" s="185"/>
    </row>
    <row r="56" spans="1:30" ht="15.75" x14ac:dyDescent="0.25">
      <c r="A56" s="234" t="s">
        <v>637</v>
      </c>
      <c r="D56" s="312"/>
      <c r="F56" s="312">
        <f ca="1">SUM(F43,F45)</f>
        <v>34618274</v>
      </c>
      <c r="G56" s="312">
        <f ca="1">SUM(I43,I45)</f>
        <v>36208355</v>
      </c>
      <c r="K56" s="310" t="s">
        <v>638</v>
      </c>
      <c r="L56" s="311">
        <f ca="1">F57</f>
        <v>65384451.847396992</v>
      </c>
      <c r="O56" s="225"/>
      <c r="P56" s="223"/>
      <c r="Q56" s="185"/>
    </row>
    <row r="57" spans="1:30" x14ac:dyDescent="0.3">
      <c r="A57" s="234" t="s">
        <v>639</v>
      </c>
      <c r="D57" s="223"/>
      <c r="F57" s="312">
        <f ca="1">SUM(F55:F56)</f>
        <v>65384451.847396992</v>
      </c>
      <c r="G57" s="312">
        <f ca="1">SUM(G55:G56)</f>
        <v>68385491.061426997</v>
      </c>
      <c r="K57" s="310" t="s">
        <v>640</v>
      </c>
      <c r="L57" s="313">
        <f ca="1">+L55/L56</f>
        <v>4.590546131572841E-2</v>
      </c>
      <c r="O57" s="225"/>
      <c r="P57" s="223"/>
      <c r="Q57" s="185"/>
    </row>
    <row r="58" spans="1:30" x14ac:dyDescent="0.3">
      <c r="D58" s="223"/>
      <c r="G58" s="235"/>
    </row>
    <row r="59" spans="1:30" x14ac:dyDescent="0.3">
      <c r="A59" s="234" t="s">
        <v>641</v>
      </c>
      <c r="C59" s="312"/>
      <c r="D59" s="309">
        <f ca="1">ROUND(SUM(F33:F34)/SUM($C$33:$C$34),6)</f>
        <v>8.5591E-2</v>
      </c>
      <c r="G59" s="309">
        <f ca="1">ROUND(SUM(I33:I34)/SUM($C$33:$C$34),6)</f>
        <v>8.6577000000000001E-2</v>
      </c>
      <c r="K59" s="310"/>
      <c r="L59" s="314"/>
    </row>
    <row r="60" spans="1:30" x14ac:dyDescent="0.3">
      <c r="A60" s="234" t="s">
        <v>642</v>
      </c>
      <c r="C60" s="312"/>
      <c r="D60" s="315">
        <f ca="1">ROUND(SUM(F43)/SUM($C$43),2)</f>
        <v>7.53</v>
      </c>
      <c r="G60" s="315">
        <f ca="1">ROUND(SUM(I43)/SUM($C$43),2)</f>
        <v>7.88</v>
      </c>
      <c r="K60" s="310"/>
      <c r="L60" s="314"/>
    </row>
    <row r="61" spans="1:30" x14ac:dyDescent="0.3">
      <c r="D61" s="223"/>
    </row>
    <row r="62" spans="1:30" x14ac:dyDescent="0.3">
      <c r="A62" s="150" t="s">
        <v>361</v>
      </c>
      <c r="B62" s="151"/>
      <c r="C62" s="216"/>
      <c r="D62" s="156"/>
      <c r="E62" s="151"/>
      <c r="F62" s="151"/>
      <c r="G62" s="156"/>
      <c r="H62" s="151"/>
      <c r="I62" s="156" t="s">
        <v>235</v>
      </c>
      <c r="J62" s="156"/>
      <c r="L62" s="181"/>
      <c r="M62" s="181"/>
    </row>
    <row r="63" spans="1:30" x14ac:dyDescent="0.3">
      <c r="A63" s="153" t="s">
        <v>362</v>
      </c>
      <c r="B63" s="151"/>
      <c r="C63" s="151" t="s">
        <v>235</v>
      </c>
      <c r="D63" s="156"/>
      <c r="E63" s="151"/>
      <c r="F63" s="151"/>
      <c r="G63" s="156"/>
      <c r="H63" s="151"/>
      <c r="I63" s="151"/>
      <c r="J63" s="151"/>
      <c r="L63" s="181"/>
      <c r="M63" s="181"/>
    </row>
    <row r="64" spans="1:30" x14ac:dyDescent="0.3">
      <c r="A64" s="197"/>
      <c r="B64" s="151"/>
      <c r="C64" s="151"/>
      <c r="D64" s="156"/>
      <c r="E64" s="151"/>
      <c r="F64" s="151"/>
      <c r="G64" s="156"/>
      <c r="H64" s="151"/>
      <c r="I64" s="151"/>
      <c r="J64" s="151"/>
      <c r="K64" s="185"/>
      <c r="L64" s="186"/>
      <c r="M64" s="186"/>
    </row>
    <row r="65" spans="1:13" x14ac:dyDescent="0.3">
      <c r="A65" s="197" t="s">
        <v>21</v>
      </c>
      <c r="B65" s="151"/>
      <c r="C65" s="193">
        <f ca="1">'[59]Tariff 26'!$D$9</f>
        <v>9687</v>
      </c>
      <c r="D65" s="217">
        <f ca="1">'[58]Exhibit No.__(JAP-Tariff)'!E35</f>
        <v>104.46</v>
      </c>
      <c r="E65" s="197"/>
      <c r="F65" s="218">
        <f ca="1">ROUND(D65*$C65,0)</f>
        <v>1011904</v>
      </c>
      <c r="G65" s="217">
        <f ca="1">ROUND(D65*(1+$M$81),2)</f>
        <v>105.74</v>
      </c>
      <c r="H65" s="197"/>
      <c r="I65" s="218">
        <f ca="1">ROUND(G65*$C65,0)</f>
        <v>1024303</v>
      </c>
      <c r="J65" s="218"/>
      <c r="K65" s="501" t="s">
        <v>189</v>
      </c>
      <c r="L65" s="501"/>
      <c r="M65" s="501"/>
    </row>
    <row r="66" spans="1:13" x14ac:dyDescent="0.3">
      <c r="A66" s="197" t="s">
        <v>190</v>
      </c>
      <c r="B66" s="151"/>
      <c r="C66" s="193"/>
      <c r="D66" s="219"/>
      <c r="E66" s="218"/>
      <c r="F66" s="218"/>
      <c r="G66" s="219"/>
      <c r="H66" s="218"/>
      <c r="I66" s="218"/>
      <c r="J66" s="218"/>
      <c r="K66" s="185"/>
      <c r="L66" s="186"/>
      <c r="M66" s="186"/>
    </row>
    <row r="67" spans="1:13" x14ac:dyDescent="0.3">
      <c r="A67" s="163" t="s">
        <v>76</v>
      </c>
      <c r="B67" s="151"/>
      <c r="C67" s="193">
        <f ca="1">'[59]Tariff 26'!$D$15</f>
        <v>1877448961</v>
      </c>
      <c r="D67" s="245">
        <f ca="1">'[58]Exhibit No.__(JAP-Tariff)'!E37</f>
        <v>5.6732999999999999E-2</v>
      </c>
      <c r="E67" s="218"/>
      <c r="F67" s="218">
        <f t="shared" ref="F67" ca="1" si="6">ROUND($C67*D67,0)</f>
        <v>106513312</v>
      </c>
      <c r="G67" s="165">
        <f ca="1">ROUND((1+$L$109)*'[58]Exhibit No.__(JAP-PV RD)'!G17,6)+L83</f>
        <v>5.7180999999999996E-2</v>
      </c>
      <c r="H67" s="218"/>
      <c r="I67" s="218">
        <f t="shared" ref="I67" ca="1" si="7">ROUND($C67*G67,0)</f>
        <v>107354409</v>
      </c>
      <c r="J67" s="218"/>
      <c r="K67" s="501" t="s">
        <v>191</v>
      </c>
      <c r="L67" s="501"/>
      <c r="M67" s="501"/>
    </row>
    <row r="68" spans="1:13" x14ac:dyDescent="0.3">
      <c r="A68" s="157" t="s">
        <v>210</v>
      </c>
      <c r="B68" s="151"/>
      <c r="C68" s="221">
        <f ca="1">SUM(C67:C67)</f>
        <v>1877448961</v>
      </c>
      <c r="D68" s="204"/>
      <c r="E68" s="197"/>
      <c r="F68" s="160">
        <f ca="1">SUM(F67:F67)</f>
        <v>106513312</v>
      </c>
      <c r="G68" s="204"/>
      <c r="H68" s="197"/>
      <c r="I68" s="160">
        <f ca="1">SUM(I67:I67)</f>
        <v>107354409</v>
      </c>
      <c r="J68" s="156"/>
      <c r="K68" s="185"/>
      <c r="L68" s="186"/>
      <c r="M68" s="186"/>
    </row>
    <row r="69" spans="1:13" x14ac:dyDescent="0.3">
      <c r="A69" s="163" t="s">
        <v>192</v>
      </c>
      <c r="B69" s="151"/>
      <c r="C69" s="193">
        <f ca="1">'[59]Tariff 26'!$D$17</f>
        <v>-231987.67610922537</v>
      </c>
      <c r="D69" s="245">
        <f ca="1">D67</f>
        <v>5.6732999999999999E-2</v>
      </c>
      <c r="E69" s="197"/>
      <c r="F69" s="218">
        <f t="shared" ref="F69:F70" ca="1" si="8">ROUND($C69*D69,0)</f>
        <v>-13161</v>
      </c>
      <c r="G69" s="245">
        <f ca="1">G67</f>
        <v>5.7180999999999996E-2</v>
      </c>
      <c r="H69" s="197"/>
      <c r="I69" s="218">
        <f t="shared" ref="I69:I70" ca="1" si="9">ROUND($C69*G69,0)</f>
        <v>-13265</v>
      </c>
      <c r="J69" s="156"/>
      <c r="K69" s="236"/>
      <c r="L69" s="186"/>
      <c r="M69" s="186"/>
    </row>
    <row r="70" spans="1:13" x14ac:dyDescent="0.3">
      <c r="A70" s="168" t="s">
        <v>193</v>
      </c>
      <c r="B70" s="151"/>
      <c r="C70" s="212">
        <f ca="1">'[59]Tariff 26'!$D$16</f>
        <v>1605471.0577550698</v>
      </c>
      <c r="D70" s="245">
        <f ca="1">ROUND(SUM(F65,F68:F69,F75,F77)/SUM(C68:C69),6)</f>
        <v>8.1344E-2</v>
      </c>
      <c r="E70" s="197"/>
      <c r="F70" s="218">
        <f t="shared" ca="1" si="8"/>
        <v>130595</v>
      </c>
      <c r="G70" s="245">
        <f ca="1">ROUND(SUM(I65,I68:I69,I75,I77)/SUM(C68:C69),6)</f>
        <v>8.2340999999999998E-2</v>
      </c>
      <c r="H70" s="197"/>
      <c r="I70" s="218">
        <f t="shared" ca="1" si="9"/>
        <v>132196</v>
      </c>
      <c r="J70" s="162"/>
      <c r="K70" s="501" t="s">
        <v>189</v>
      </c>
      <c r="L70" s="501"/>
      <c r="M70" s="501"/>
    </row>
    <row r="71" spans="1:13" x14ac:dyDescent="0.3">
      <c r="A71" s="157" t="s">
        <v>210</v>
      </c>
      <c r="B71" s="151"/>
      <c r="C71" s="221">
        <f ca="1">SUM(C68:C70)</f>
        <v>1878822444.3816457</v>
      </c>
      <c r="D71" s="197"/>
      <c r="E71" s="197"/>
      <c r="F71" s="160">
        <f ca="1">SUM(F68:F70)</f>
        <v>106630746</v>
      </c>
      <c r="G71" s="197"/>
      <c r="H71" s="197"/>
      <c r="I71" s="160">
        <f ca="1">SUM(I68:I70)</f>
        <v>107473340</v>
      </c>
      <c r="J71" s="162"/>
      <c r="K71" s="236"/>
      <c r="L71" s="186"/>
      <c r="M71" s="186"/>
    </row>
    <row r="72" spans="1:13" x14ac:dyDescent="0.3">
      <c r="A72" s="197" t="s">
        <v>194</v>
      </c>
      <c r="B72" s="151"/>
      <c r="C72" s="193"/>
      <c r="D72" s="222"/>
      <c r="E72" s="197"/>
      <c r="F72" s="218"/>
      <c r="G72" s="222"/>
      <c r="H72" s="197"/>
      <c r="I72" s="218"/>
      <c r="J72" s="218"/>
      <c r="K72" s="236"/>
      <c r="L72" s="307"/>
      <c r="M72" s="186"/>
    </row>
    <row r="73" spans="1:13" x14ac:dyDescent="0.3">
      <c r="A73" s="163" t="s">
        <v>363</v>
      </c>
      <c r="B73" s="151"/>
      <c r="C73" s="193">
        <f ca="1">'[59]Tariff 26'!$D$24</f>
        <v>2228349</v>
      </c>
      <c r="D73" s="217">
        <f ca="1">'[58]Exhibit No.__(JAP-Tariff)'!E39</f>
        <v>11.65</v>
      </c>
      <c r="E73" s="197"/>
      <c r="F73" s="218">
        <f ca="1">ROUND(D73*$C73,0)</f>
        <v>25960266</v>
      </c>
      <c r="G73" s="217">
        <f ca="1">ROUND((1+$L$109)*'[58]Exhibit No.__(JAP-PV RD)'!G23,2)</f>
        <v>11.91</v>
      </c>
      <c r="H73" s="197"/>
      <c r="I73" s="218">
        <f ca="1">ROUND(G73*$C73,0)</f>
        <v>26539637</v>
      </c>
      <c r="J73" s="218"/>
      <c r="K73" s="501" t="s">
        <v>195</v>
      </c>
      <c r="L73" s="501"/>
      <c r="M73" s="501"/>
    </row>
    <row r="74" spans="1:13" x14ac:dyDescent="0.3">
      <c r="A74" s="163" t="s">
        <v>364</v>
      </c>
      <c r="B74" s="151"/>
      <c r="C74" s="193">
        <f ca="1">'[59]Tariff 26'!$D$29</f>
        <v>2345120</v>
      </c>
      <c r="D74" s="217">
        <f ca="1">'[58]Exhibit No.__(JAP-Tariff)'!E40</f>
        <v>7.76</v>
      </c>
      <c r="E74" s="197"/>
      <c r="F74" s="218">
        <f ca="1">ROUND(D74*$C74,0)</f>
        <v>18198131</v>
      </c>
      <c r="G74" s="217">
        <f ca="1">ROUND((1+$L$109)*'[58]Exhibit No.__(JAP-PV RD)'!G24,2)</f>
        <v>7.94</v>
      </c>
      <c r="H74" s="197"/>
      <c r="I74" s="218">
        <f ca="1">ROUND(G74*$C74,0)</f>
        <v>18620253</v>
      </c>
      <c r="J74" s="218"/>
      <c r="K74" s="501" t="s">
        <v>195</v>
      </c>
      <c r="L74" s="501"/>
      <c r="M74" s="501"/>
    </row>
    <row r="75" spans="1:13" x14ac:dyDescent="0.3">
      <c r="A75" s="157" t="s">
        <v>210</v>
      </c>
      <c r="B75" s="151"/>
      <c r="C75" s="221">
        <f ca="1">SUM(C73:C74)</f>
        <v>4573469</v>
      </c>
      <c r="D75" s="222"/>
      <c r="E75" s="197"/>
      <c r="F75" s="224">
        <f ca="1">SUM(F73:F74)</f>
        <v>44158397</v>
      </c>
      <c r="G75" s="222"/>
      <c r="H75" s="197"/>
      <c r="I75" s="224">
        <f ca="1">SUM(I73:I74)</f>
        <v>45159890</v>
      </c>
      <c r="J75" s="218"/>
      <c r="K75" s="236"/>
      <c r="L75" s="186"/>
      <c r="M75" s="186"/>
    </row>
    <row r="76" spans="1:13" x14ac:dyDescent="0.3">
      <c r="A76" s="151"/>
      <c r="B76" s="151"/>
      <c r="C76" s="212"/>
      <c r="D76" s="212"/>
      <c r="E76" s="197"/>
      <c r="F76" s="162"/>
      <c r="G76" s="212"/>
      <c r="H76" s="197"/>
      <c r="I76" s="162"/>
      <c r="J76" s="162"/>
      <c r="K76" s="236"/>
      <c r="L76" s="186"/>
      <c r="M76" s="186"/>
    </row>
    <row r="77" spans="1:13" x14ac:dyDescent="0.3">
      <c r="A77" s="151" t="s">
        <v>88</v>
      </c>
      <c r="B77" s="151"/>
      <c r="C77" s="193">
        <f ca="1">'[59]Tariff 26'!$D$35</f>
        <v>829881702</v>
      </c>
      <c r="D77" s="246">
        <f ca="1">'[58]Exhibit No.__(JAP-Tariff)'!E42</f>
        <v>1.24E-3</v>
      </c>
      <c r="E77" s="197"/>
      <c r="F77" s="218">
        <f ca="1">ROUND(D77*$C77,0)</f>
        <v>1029053</v>
      </c>
      <c r="G77" s="246">
        <f ca="1">ROUND(D77*(1+$M$81),5)</f>
        <v>1.2600000000000001E-3</v>
      </c>
      <c r="H77" s="197"/>
      <c r="I77" s="218">
        <f ca="1">ROUND(G77*$C77,0)</f>
        <v>1045651</v>
      </c>
      <c r="J77" s="162"/>
      <c r="K77" s="501" t="s">
        <v>189</v>
      </c>
      <c r="L77" s="501"/>
      <c r="M77" s="501"/>
    </row>
    <row r="78" spans="1:13" x14ac:dyDescent="0.3">
      <c r="A78" s="151"/>
      <c r="B78" s="151"/>
      <c r="C78" s="212"/>
      <c r="D78" s="212"/>
      <c r="E78" s="197"/>
      <c r="F78" s="162"/>
      <c r="G78" s="212"/>
      <c r="H78" s="197"/>
      <c r="I78" s="162"/>
      <c r="J78" s="162"/>
      <c r="K78" s="306"/>
      <c r="L78" s="307"/>
      <c r="M78" s="186"/>
    </row>
    <row r="79" spans="1:13" ht="16.2" thickBot="1" x14ac:dyDescent="0.35">
      <c r="A79" s="151" t="s">
        <v>351</v>
      </c>
      <c r="B79" s="151"/>
      <c r="C79" s="212"/>
      <c r="D79" s="212"/>
      <c r="E79" s="197"/>
      <c r="F79" s="208">
        <f ca="1">SUM(F65,F71,F75,F77)</f>
        <v>152830100</v>
      </c>
      <c r="G79" s="212"/>
      <c r="H79" s="197"/>
      <c r="I79" s="208">
        <f ca="1">SUM(I65,I71,I75,I77)</f>
        <v>154703184</v>
      </c>
      <c r="J79" s="198"/>
      <c r="K79" s="236"/>
      <c r="L79" s="307"/>
      <c r="M79" s="186"/>
    </row>
    <row r="80" spans="1:13" ht="16.2" thickTop="1" x14ac:dyDescent="0.3">
      <c r="A80" s="151"/>
      <c r="B80" s="227"/>
      <c r="C80" s="212"/>
      <c r="D80" s="212"/>
      <c r="E80" s="151"/>
      <c r="F80" s="156"/>
      <c r="G80" s="212"/>
      <c r="H80" s="151"/>
      <c r="I80" s="156"/>
      <c r="J80" s="156"/>
      <c r="K80" s="306"/>
      <c r="L80" s="307"/>
      <c r="M80" s="186"/>
    </row>
    <row r="81" spans="1:13" x14ac:dyDescent="0.3">
      <c r="A81" s="191" t="str">
        <f>A60</f>
        <v>Avg Demand</v>
      </c>
      <c r="D81" s="315">
        <f ca="1">ROUND(SUM(F75)/SUM($C$75),2)</f>
        <v>9.66</v>
      </c>
      <c r="G81" s="315">
        <f ca="1">ROUND(SUM(I75)/SUM($C$75),2)</f>
        <v>9.8699999999999992</v>
      </c>
      <c r="K81" s="226" t="s">
        <v>365</v>
      </c>
      <c r="L81" s="210">
        <f ca="1">'[58]Exhibit No.__(JAP-Rate Spread)'!K13*1000</f>
        <v>155746297.75726226</v>
      </c>
      <c r="M81" s="301">
        <f ca="1">L81/SUM(F105,F79)-1</f>
        <v>1.2229858559902995E-2</v>
      </c>
    </row>
    <row r="82" spans="1:13" x14ac:dyDescent="0.3">
      <c r="B82" s="151"/>
      <c r="C82" s="216"/>
      <c r="D82" s="156"/>
      <c r="E82" s="151"/>
      <c r="F82" s="151"/>
      <c r="G82" s="156"/>
      <c r="H82" s="151"/>
      <c r="I82" s="156" t="s">
        <v>235</v>
      </c>
      <c r="J82" s="156"/>
      <c r="K82" s="214" t="s">
        <v>46</v>
      </c>
      <c r="L82" s="215">
        <f ca="1">L81-I79-I105</f>
        <v>797.75726225972176</v>
      </c>
      <c r="M82" s="308" t="s">
        <v>235</v>
      </c>
    </row>
    <row r="83" spans="1:13" x14ac:dyDescent="0.3">
      <c r="A83" s="150" t="s">
        <v>366</v>
      </c>
      <c r="B83" s="151"/>
      <c r="C83" s="151" t="s">
        <v>235</v>
      </c>
      <c r="D83" s="156"/>
      <c r="E83" s="151"/>
      <c r="F83" s="151"/>
      <c r="G83" s="156"/>
      <c r="H83" s="151"/>
      <c r="I83" s="151"/>
      <c r="J83" s="151"/>
      <c r="K83" s="177" t="s">
        <v>643</v>
      </c>
      <c r="L83" s="305">
        <f ca="1">'[58]Exhibit No.__(JAP-SV RD)'!$L$83</f>
        <v>-9.9999999999999995E-7</v>
      </c>
      <c r="M83" s="305">
        <f ca="1">L82/C67</f>
        <v>4.2491555234332774E-7</v>
      </c>
    </row>
    <row r="84" spans="1:13" x14ac:dyDescent="0.3">
      <c r="A84" s="153" t="s">
        <v>362</v>
      </c>
      <c r="B84" s="151"/>
      <c r="C84" s="151"/>
      <c r="D84" s="156"/>
      <c r="E84" s="151"/>
      <c r="F84" s="151"/>
      <c r="G84" s="156"/>
      <c r="H84" s="151"/>
      <c r="I84" s="151"/>
      <c r="J84" s="151"/>
      <c r="K84" s="185"/>
      <c r="L84" s="186"/>
      <c r="M84" s="186"/>
    </row>
    <row r="85" spans="1:13" x14ac:dyDescent="0.3">
      <c r="A85" s="197" t="s">
        <v>21</v>
      </c>
      <c r="B85" s="151"/>
      <c r="C85" s="193">
        <f ca="1">'[59]Tariff 26P'!$D$6</f>
        <v>24</v>
      </c>
      <c r="D85" s="217">
        <f ca="1">D65</f>
        <v>104.46</v>
      </c>
      <c r="E85" s="197"/>
      <c r="F85" s="218">
        <f ca="1">ROUND(D85*$C85,0)</f>
        <v>2507</v>
      </c>
      <c r="G85" s="217">
        <f ca="1">G65</f>
        <v>105.74</v>
      </c>
      <c r="H85" s="197"/>
      <c r="I85" s="218">
        <f ca="1">ROUND(G85*$C85,0)</f>
        <v>2538</v>
      </c>
      <c r="J85" s="218"/>
      <c r="K85" s="501" t="s">
        <v>367</v>
      </c>
      <c r="L85" s="501"/>
      <c r="M85" s="501"/>
    </row>
    <row r="86" spans="1:13" x14ac:dyDescent="0.3">
      <c r="A86" s="237" t="s">
        <v>145</v>
      </c>
      <c r="B86" s="151"/>
      <c r="C86" s="193">
        <f ca="1">C85</f>
        <v>24</v>
      </c>
      <c r="D86" s="217">
        <f ca="1">'[58]Exhibit No.__(JAP-Tariff)'!E45</f>
        <v>235.05</v>
      </c>
      <c r="E86" s="197"/>
      <c r="F86" s="218">
        <f t="shared" ref="F86" ca="1" si="10">ROUND(D86*$C86,0)</f>
        <v>5641</v>
      </c>
      <c r="G86" s="217">
        <f ca="1">L108</f>
        <v>237.92000000000002</v>
      </c>
      <c r="H86" s="197"/>
      <c r="I86" s="218">
        <f ca="1">ROUND(G86*$C86,0)</f>
        <v>5710</v>
      </c>
      <c r="J86" s="218"/>
      <c r="K86" s="185"/>
      <c r="L86" s="186"/>
      <c r="M86" s="186"/>
    </row>
    <row r="87" spans="1:13" x14ac:dyDescent="0.3">
      <c r="A87" s="157" t="s">
        <v>210</v>
      </c>
      <c r="B87" s="151"/>
      <c r="C87" s="193"/>
      <c r="D87" s="217"/>
      <c r="E87" s="197"/>
      <c r="F87" s="160">
        <f ca="1">SUM(F85:F86)</f>
        <v>8148</v>
      </c>
      <c r="G87" s="217"/>
      <c r="H87" s="197"/>
      <c r="I87" s="160">
        <f ca="1">SUM(I85:I86)</f>
        <v>8248</v>
      </c>
      <c r="J87" s="218"/>
      <c r="K87" s="501" t="s">
        <v>206</v>
      </c>
      <c r="L87" s="501"/>
      <c r="M87" s="501"/>
    </row>
    <row r="88" spans="1:13" x14ac:dyDescent="0.3">
      <c r="A88" s="197" t="s">
        <v>190</v>
      </c>
      <c r="B88" s="151"/>
      <c r="C88" s="193"/>
      <c r="D88" s="219"/>
      <c r="E88" s="218"/>
      <c r="F88" s="218"/>
      <c r="G88" s="219"/>
      <c r="H88" s="218"/>
      <c r="I88" s="218"/>
      <c r="J88" s="218"/>
      <c r="K88" s="236"/>
      <c r="L88" s="186"/>
      <c r="M88" s="186"/>
    </row>
    <row r="89" spans="1:13" x14ac:dyDescent="0.3">
      <c r="A89" s="163" t="s">
        <v>76</v>
      </c>
      <c r="B89" s="151"/>
      <c r="C89" s="193">
        <f ca="1">'[59]Tariff 26P'!$D$9</f>
        <v>13232300</v>
      </c>
      <c r="D89" s="245">
        <f ca="1">D67</f>
        <v>5.6732999999999999E-2</v>
      </c>
      <c r="E89" s="218"/>
      <c r="F89" s="218">
        <f t="shared" ref="F89:F90" ca="1" si="11">ROUND($C89*D89,0)</f>
        <v>750708</v>
      </c>
      <c r="G89" s="245">
        <f ca="1">G67</f>
        <v>5.7180999999999996E-2</v>
      </c>
      <c r="H89" s="218"/>
      <c r="I89" s="218">
        <f t="shared" ref="I89:I90" ca="1" si="12">ROUND($C89*G89,0)</f>
        <v>756636</v>
      </c>
      <c r="J89" s="218"/>
      <c r="K89" s="501" t="s">
        <v>367</v>
      </c>
      <c r="L89" s="501"/>
      <c r="M89" s="501"/>
    </row>
    <row r="90" spans="1:13" x14ac:dyDescent="0.3">
      <c r="A90" s="163" t="s">
        <v>368</v>
      </c>
      <c r="B90" s="151"/>
      <c r="C90" s="193">
        <f ca="1">C89</f>
        <v>13232300</v>
      </c>
      <c r="D90" s="245">
        <f ca="1">'[58]Exhibit No.__(JAP-Tariff)'!E51-D89</f>
        <v>-1.9570000000000004E-3</v>
      </c>
      <c r="E90" s="218"/>
      <c r="F90" s="218">
        <f t="shared" ca="1" si="11"/>
        <v>-25896</v>
      </c>
      <c r="G90" s="245">
        <f ca="1">-M110</f>
        <v>-2.2529999999999998E-3</v>
      </c>
      <c r="H90" s="218"/>
      <c r="I90" s="218">
        <f t="shared" ca="1" si="12"/>
        <v>-29812</v>
      </c>
      <c r="J90" s="218"/>
      <c r="K90" s="501" t="s">
        <v>369</v>
      </c>
      <c r="L90" s="501"/>
      <c r="M90" s="501"/>
    </row>
    <row r="91" spans="1:13" x14ac:dyDescent="0.3">
      <c r="A91" s="157" t="s">
        <v>210</v>
      </c>
      <c r="B91" s="151"/>
      <c r="C91" s="221">
        <f ca="1">SUM(C89:C89)</f>
        <v>13232300</v>
      </c>
      <c r="D91" s="204"/>
      <c r="E91" s="197"/>
      <c r="F91" s="160">
        <f ca="1">SUM(F89:F90)</f>
        <v>724812</v>
      </c>
      <c r="G91" s="204"/>
      <c r="H91" s="197"/>
      <c r="I91" s="160">
        <f ca="1">SUM(I89:I90)</f>
        <v>726824</v>
      </c>
      <c r="J91" s="156"/>
      <c r="K91" s="236"/>
      <c r="L91" s="186"/>
      <c r="M91" s="186"/>
    </row>
    <row r="92" spans="1:13" x14ac:dyDescent="0.3">
      <c r="A92" s="163" t="s">
        <v>192</v>
      </c>
      <c r="B92" s="151"/>
      <c r="C92" s="193">
        <f ca="1">'[59]Tariff 26P'!$D$11</f>
        <v>0</v>
      </c>
      <c r="D92" s="245">
        <f ca="1">D89</f>
        <v>5.6732999999999999E-2</v>
      </c>
      <c r="E92" s="197"/>
      <c r="F92" s="218">
        <f t="shared" ref="F92:F93" ca="1" si="13">ROUND($C92*D92,0)</f>
        <v>0</v>
      </c>
      <c r="G92" s="245"/>
      <c r="H92" s="197"/>
      <c r="I92" s="218">
        <f t="shared" ref="I92:I93" ca="1" si="14">ROUND($C92*G92,0)</f>
        <v>0</v>
      </c>
      <c r="J92" s="156"/>
      <c r="K92" s="236"/>
      <c r="L92" s="186"/>
      <c r="M92" s="186"/>
    </row>
    <row r="93" spans="1:13" x14ac:dyDescent="0.3">
      <c r="A93" s="168" t="s">
        <v>193</v>
      </c>
      <c r="B93" s="151"/>
      <c r="C93" s="212">
        <f ca="1">'[59]Tariff 26P'!$D$10</f>
        <v>0</v>
      </c>
      <c r="D93" s="245">
        <f ca="1">ROUND(SUM(F87,F91,F92,F99,F103)/SUM(C91:C92),6)</f>
        <v>7.8176999999999996E-2</v>
      </c>
      <c r="E93" s="197"/>
      <c r="F93" s="218">
        <f t="shared" ca="1" si="13"/>
        <v>0</v>
      </c>
      <c r="G93" s="245">
        <f ca="1">ROUND(SUM(I87,I91,I92,I99,I103)/SUM(C91:C92),6)</f>
        <v>7.8770999999999994E-2</v>
      </c>
      <c r="H93" s="197"/>
      <c r="I93" s="218">
        <f t="shared" ca="1" si="14"/>
        <v>0</v>
      </c>
      <c r="J93" s="162"/>
      <c r="K93" s="185"/>
      <c r="L93" s="186"/>
      <c r="M93" s="186"/>
    </row>
    <row r="94" spans="1:13" x14ac:dyDescent="0.3">
      <c r="A94" s="157" t="s">
        <v>210</v>
      </c>
      <c r="B94" s="151"/>
      <c r="C94" s="221">
        <f ca="1">SUM(C91:C93)</f>
        <v>13232300</v>
      </c>
      <c r="D94" s="197"/>
      <c r="E94" s="197"/>
      <c r="F94" s="160">
        <f ca="1">SUM(F91:F93)</f>
        <v>724812</v>
      </c>
      <c r="G94" s="197"/>
      <c r="H94" s="197"/>
      <c r="I94" s="160">
        <f ca="1">SUM(I91:I93)</f>
        <v>726824</v>
      </c>
      <c r="J94" s="162"/>
      <c r="K94" s="236"/>
      <c r="L94" s="186"/>
      <c r="M94" s="186"/>
    </row>
    <row r="95" spans="1:13" x14ac:dyDescent="0.3">
      <c r="A95" s="197" t="s">
        <v>194</v>
      </c>
      <c r="B95" s="151"/>
      <c r="C95" s="193"/>
      <c r="D95" s="222"/>
      <c r="E95" s="197"/>
      <c r="F95" s="218"/>
      <c r="G95" s="222"/>
      <c r="H95" s="197"/>
      <c r="I95" s="218"/>
      <c r="J95" s="218"/>
      <c r="K95" s="236"/>
      <c r="L95" s="307"/>
      <c r="M95" s="186"/>
    </row>
    <row r="96" spans="1:13" x14ac:dyDescent="0.3">
      <c r="A96" s="163" t="s">
        <v>363</v>
      </c>
      <c r="B96" s="151"/>
      <c r="C96" s="193">
        <f ca="1">'[59]Tariff 26P'!$D$15</f>
        <v>16911</v>
      </c>
      <c r="D96" s="217">
        <f ca="1">D73</f>
        <v>11.65</v>
      </c>
      <c r="E96" s="197"/>
      <c r="F96" s="218">
        <f ca="1">ROUND(D96*$C96,0)</f>
        <v>197013</v>
      </c>
      <c r="G96" s="217">
        <f ca="1">G73</f>
        <v>11.91</v>
      </c>
      <c r="H96" s="197"/>
      <c r="I96" s="218">
        <f ca="1">ROUND(G96*$C96,0)</f>
        <v>201410</v>
      </c>
      <c r="J96" s="218"/>
      <c r="K96" s="501" t="s">
        <v>367</v>
      </c>
      <c r="L96" s="501"/>
      <c r="M96" s="501"/>
    </row>
    <row r="97" spans="1:13" x14ac:dyDescent="0.3">
      <c r="A97" s="163" t="s">
        <v>364</v>
      </c>
      <c r="B97" s="151"/>
      <c r="C97" s="193">
        <f ca="1">'[59]Tariff 26P'!$D$16</f>
        <v>14150</v>
      </c>
      <c r="D97" s="217">
        <f ca="1">D74</f>
        <v>7.76</v>
      </c>
      <c r="E97" s="197"/>
      <c r="F97" s="218">
        <f ca="1">ROUND(D97*$C97,0)</f>
        <v>109804</v>
      </c>
      <c r="G97" s="217">
        <f ca="1">G74</f>
        <v>7.94</v>
      </c>
      <c r="H97" s="197"/>
      <c r="I97" s="218">
        <f ca="1">ROUND(G97*$C97,0)</f>
        <v>112351</v>
      </c>
      <c r="J97" s="218"/>
      <c r="K97" s="501" t="s">
        <v>367</v>
      </c>
      <c r="L97" s="501"/>
      <c r="M97" s="501"/>
    </row>
    <row r="98" spans="1:13" x14ac:dyDescent="0.3">
      <c r="A98" s="163" t="s">
        <v>368</v>
      </c>
      <c r="B98" s="151"/>
      <c r="C98" s="193">
        <f ca="1">C97+C96</f>
        <v>31061</v>
      </c>
      <c r="D98" s="217">
        <f ca="1">'[58]Exhibit No.__(JAP-Tariff)'!E46</f>
        <v>-0.35</v>
      </c>
      <c r="E98" s="197"/>
      <c r="F98" s="218">
        <f ca="1">ROUND(D98*$C98,0)</f>
        <v>-10871</v>
      </c>
      <c r="G98" s="217">
        <f ca="1">-M109</f>
        <v>-0.39</v>
      </c>
      <c r="H98" s="197"/>
      <c r="I98" s="218">
        <f ca="1">ROUND(G98*$C98,0)</f>
        <v>-12114</v>
      </c>
      <c r="J98" s="218"/>
      <c r="K98" s="501" t="s">
        <v>369</v>
      </c>
      <c r="L98" s="501"/>
      <c r="M98" s="501"/>
    </row>
    <row r="99" spans="1:13" x14ac:dyDescent="0.3">
      <c r="A99" s="157" t="s">
        <v>210</v>
      </c>
      <c r="B99" s="151"/>
      <c r="C99" s="221">
        <f ca="1">SUM(C96:C97)</f>
        <v>31061</v>
      </c>
      <c r="D99" s="222"/>
      <c r="E99" s="197"/>
      <c r="F99" s="224">
        <f ca="1">SUM(F96:F98)</f>
        <v>295946</v>
      </c>
      <c r="G99" s="222"/>
      <c r="H99" s="197"/>
      <c r="I99" s="224">
        <f ca="1">SUM(I96:I98)</f>
        <v>301647</v>
      </c>
      <c r="J99" s="218"/>
      <c r="K99" s="236"/>
      <c r="L99" s="186"/>
      <c r="M99" s="186"/>
    </row>
    <row r="100" spans="1:13" x14ac:dyDescent="0.3">
      <c r="A100" s="151"/>
      <c r="B100" s="151"/>
      <c r="C100" s="212"/>
      <c r="D100" s="212"/>
      <c r="E100" s="197"/>
      <c r="F100" s="162"/>
      <c r="G100" s="212"/>
      <c r="H100" s="197"/>
      <c r="I100" s="162"/>
      <c r="J100" s="162"/>
      <c r="K100" s="236"/>
      <c r="L100" s="186"/>
      <c r="M100" s="186"/>
    </row>
    <row r="101" spans="1:13" x14ac:dyDescent="0.3">
      <c r="A101" s="151" t="s">
        <v>88</v>
      </c>
      <c r="B101" s="151"/>
      <c r="C101" s="193">
        <f ca="1">'[59]Tariff 26P'!$D$19</f>
        <v>4625110</v>
      </c>
      <c r="D101" s="246">
        <f ca="1">D77</f>
        <v>1.24E-3</v>
      </c>
      <c r="E101" s="197"/>
      <c r="F101" s="218">
        <f ca="1">ROUND(D101*$C101,0)</f>
        <v>5735</v>
      </c>
      <c r="G101" s="246">
        <f ca="1">G77</f>
        <v>1.2600000000000001E-3</v>
      </c>
      <c r="H101" s="197"/>
      <c r="I101" s="218">
        <f ca="1">ROUND(G101*$C101,0)</f>
        <v>5828</v>
      </c>
      <c r="J101" s="162"/>
      <c r="K101" s="501" t="s">
        <v>367</v>
      </c>
      <c r="L101" s="501"/>
      <c r="M101" s="501"/>
    </row>
    <row r="102" spans="1:13" x14ac:dyDescent="0.3">
      <c r="A102" s="163" t="s">
        <v>368</v>
      </c>
      <c r="B102" s="151"/>
      <c r="C102" s="193">
        <f ca="1">C101+C100</f>
        <v>4625110</v>
      </c>
      <c r="D102" s="246">
        <f ca="1">'[58]Exhibit No.__(JAP-Tariff)'!E52-'[58]Exhibit No.__(JAP-SV RD)'!D101</f>
        <v>-4.0000000000000105E-5</v>
      </c>
      <c r="E102" s="197"/>
      <c r="F102" s="218">
        <f ca="1">ROUND(D102*$C102,0)</f>
        <v>-185</v>
      </c>
      <c r="G102" s="246">
        <f ca="1">-M111</f>
        <v>-5.0000000000000002E-5</v>
      </c>
      <c r="H102" s="197"/>
      <c r="I102" s="218">
        <f ca="1">ROUND(G102*$C102,0)</f>
        <v>-231</v>
      </c>
      <c r="J102" s="162"/>
      <c r="K102" s="501" t="s">
        <v>369</v>
      </c>
      <c r="L102" s="501"/>
      <c r="M102" s="501"/>
    </row>
    <row r="103" spans="1:13" x14ac:dyDescent="0.3">
      <c r="A103" s="157" t="s">
        <v>210</v>
      </c>
      <c r="B103" s="151"/>
      <c r="C103" s="193"/>
      <c r="D103" s="246"/>
      <c r="E103" s="197"/>
      <c r="F103" s="160">
        <f ca="1">SUM(F100:F102)</f>
        <v>5550</v>
      </c>
      <c r="G103" s="217"/>
      <c r="H103" s="197"/>
      <c r="I103" s="160">
        <f ca="1">SUM(I100:I102)</f>
        <v>5597</v>
      </c>
      <c r="J103" s="162"/>
      <c r="K103" s="236"/>
      <c r="L103" s="307"/>
      <c r="M103" s="186"/>
    </row>
    <row r="104" spans="1:13" x14ac:dyDescent="0.3">
      <c r="A104" s="151"/>
      <c r="B104" s="151"/>
      <c r="C104" s="212"/>
      <c r="D104" s="212"/>
      <c r="E104" s="197"/>
      <c r="F104" s="162"/>
      <c r="G104" s="212"/>
      <c r="H104" s="197"/>
      <c r="I104" s="162"/>
      <c r="J104" s="162"/>
      <c r="K104" s="236"/>
      <c r="L104" s="307"/>
      <c r="M104" s="186"/>
    </row>
    <row r="105" spans="1:13" ht="16.2" thickBot="1" x14ac:dyDescent="0.35">
      <c r="A105" s="151" t="s">
        <v>351</v>
      </c>
      <c r="B105" s="151"/>
      <c r="C105" s="212"/>
      <c r="D105" s="212"/>
      <c r="E105" s="197"/>
      <c r="F105" s="208">
        <f ca="1">SUM(F103,F99,F94,F87)</f>
        <v>1034456</v>
      </c>
      <c r="G105" s="212"/>
      <c r="H105" s="197"/>
      <c r="I105" s="208">
        <f ca="1">SUM(I103,I99,I94,I87)</f>
        <v>1042316</v>
      </c>
      <c r="J105" s="198"/>
      <c r="K105" s="236"/>
      <c r="L105" s="307"/>
      <c r="M105" s="186"/>
    </row>
    <row r="106" spans="1:13" ht="16.8" thickTop="1" thickBot="1" x14ac:dyDescent="0.35">
      <c r="A106" s="151"/>
      <c r="B106" s="227"/>
      <c r="C106" s="212"/>
      <c r="D106" s="212"/>
      <c r="E106" s="197"/>
      <c r="F106" s="156"/>
      <c r="G106" s="212"/>
      <c r="H106" s="197"/>
      <c r="I106" s="156"/>
      <c r="J106" s="156"/>
      <c r="K106" s="306"/>
      <c r="L106" s="307"/>
      <c r="M106" s="186"/>
    </row>
    <row r="107" spans="1:13" ht="16.2" thickBot="1" x14ac:dyDescent="0.35">
      <c r="K107" s="505" t="s">
        <v>196</v>
      </c>
      <c r="L107" s="506"/>
      <c r="M107" s="507"/>
    </row>
    <row r="108" spans="1:13" x14ac:dyDescent="0.3">
      <c r="B108" s="151"/>
      <c r="C108" s="216"/>
      <c r="D108" s="156"/>
      <c r="E108" s="151"/>
      <c r="F108" s="151"/>
      <c r="G108" s="156"/>
      <c r="H108" s="151"/>
      <c r="I108" s="156" t="s">
        <v>235</v>
      </c>
      <c r="J108" s="156"/>
      <c r="K108" s="238" t="s">
        <v>197</v>
      </c>
      <c r="L108" s="239">
        <f ca="1">'[58]Exhibit No.__(JAP-PV RD)'!G15-'[58]Exhibit No.__(JAP-SV RD)'!G65</f>
        <v>237.92000000000002</v>
      </c>
      <c r="M108" s="240"/>
    </row>
    <row r="109" spans="1:13" x14ac:dyDescent="0.3">
      <c r="B109" s="151"/>
      <c r="C109" s="151" t="s">
        <v>235</v>
      </c>
      <c r="D109" s="156"/>
      <c r="E109" s="151"/>
      <c r="F109" s="151"/>
      <c r="G109" s="156"/>
      <c r="H109" s="151"/>
      <c r="I109" s="151"/>
      <c r="J109" s="151"/>
      <c r="K109" s="238" t="s">
        <v>198</v>
      </c>
      <c r="L109" s="316">
        <v>3.9399999999999998E-2</v>
      </c>
      <c r="M109" s="317">
        <f ca="1">ROUND(+L109*(I75/C75),2)</f>
        <v>0.39</v>
      </c>
    </row>
    <row r="110" spans="1:13" x14ac:dyDescent="0.3">
      <c r="A110" s="197"/>
      <c r="B110" s="151"/>
      <c r="C110" s="151"/>
      <c r="D110" s="156"/>
      <c r="E110" s="151"/>
      <c r="F110" s="151"/>
      <c r="G110" s="156"/>
      <c r="H110" s="151"/>
      <c r="I110" s="151"/>
      <c r="J110" s="151"/>
      <c r="K110" s="238" t="s">
        <v>199</v>
      </c>
      <c r="L110" s="318">
        <f>+L109</f>
        <v>3.9399999999999998E-2</v>
      </c>
      <c r="M110" s="319">
        <f ca="1">ROUND(+L110*G67,6)</f>
        <v>2.2529999999999998E-3</v>
      </c>
    </row>
    <row r="111" spans="1:13" ht="16.2" thickBot="1" x14ac:dyDescent="0.35">
      <c r="A111" s="197"/>
      <c r="B111" s="151"/>
      <c r="C111" s="151"/>
      <c r="D111" s="156"/>
      <c r="E111" s="151"/>
      <c r="F111" s="151"/>
      <c r="G111" s="156"/>
      <c r="H111" s="151"/>
      <c r="I111" s="151"/>
      <c r="J111" s="151"/>
      <c r="K111" s="241" t="s">
        <v>370</v>
      </c>
      <c r="L111" s="320">
        <f>+L110</f>
        <v>3.9399999999999998E-2</v>
      </c>
      <c r="M111" s="321">
        <f ca="1">ROUND(+L111*G77,5)</f>
        <v>5.0000000000000002E-5</v>
      </c>
    </row>
    <row r="112" spans="1:13" x14ac:dyDescent="0.3">
      <c r="A112" s="150" t="s">
        <v>371</v>
      </c>
      <c r="B112" s="151"/>
      <c r="C112" s="151"/>
      <c r="D112" s="156"/>
      <c r="E112" s="151"/>
      <c r="F112" s="151"/>
      <c r="G112" s="156"/>
      <c r="H112" s="151"/>
      <c r="I112" s="151"/>
      <c r="J112" s="151"/>
      <c r="K112" s="242"/>
      <c r="L112" s="322"/>
      <c r="M112" s="323"/>
    </row>
    <row r="113" spans="1:15" x14ac:dyDescent="0.3">
      <c r="A113" s="153" t="s">
        <v>372</v>
      </c>
      <c r="B113" s="151"/>
      <c r="C113" s="151"/>
      <c r="D113" s="156"/>
      <c r="E113" s="151"/>
      <c r="F113" s="151"/>
      <c r="G113" s="156"/>
      <c r="H113" s="151"/>
      <c r="I113" s="151"/>
      <c r="J113" s="151"/>
      <c r="K113" s="242"/>
      <c r="L113" s="322"/>
      <c r="M113" s="323"/>
    </row>
    <row r="114" spans="1:15" x14ac:dyDescent="0.3">
      <c r="A114" s="197"/>
      <c r="B114" s="151"/>
      <c r="C114" s="151"/>
      <c r="D114" s="156"/>
      <c r="E114" s="151"/>
      <c r="F114" s="151"/>
      <c r="G114" s="156"/>
      <c r="H114" s="151"/>
      <c r="I114" s="151"/>
      <c r="J114" s="151"/>
      <c r="K114" s="242"/>
      <c r="L114" s="322"/>
      <c r="M114" s="323"/>
      <c r="N114" s="243"/>
      <c r="O114" s="244"/>
    </row>
    <row r="115" spans="1:15" x14ac:dyDescent="0.3">
      <c r="A115" s="151" t="s">
        <v>21</v>
      </c>
      <c r="B115" s="151"/>
      <c r="C115" s="193"/>
      <c r="D115" s="217"/>
      <c r="E115" s="197"/>
      <c r="F115" s="218"/>
      <c r="G115" s="217"/>
      <c r="H115" s="197"/>
      <c r="I115" s="218"/>
      <c r="J115" s="218"/>
      <c r="K115" s="185"/>
      <c r="L115" s="186"/>
      <c r="M115" s="186"/>
    </row>
    <row r="116" spans="1:15" x14ac:dyDescent="0.3">
      <c r="A116" s="151" t="s">
        <v>340</v>
      </c>
      <c r="B116" s="151"/>
      <c r="C116" s="193">
        <f ca="1">'[59]Tariff 29'!$D$7</f>
        <v>2248</v>
      </c>
      <c r="D116" s="217">
        <f ca="1">'[58]Exhibit No.__(JAP-Tariff)'!E55</f>
        <v>9.56</v>
      </c>
      <c r="E116" s="197"/>
      <c r="F116" s="218">
        <f t="shared" ref="F116:F117" ca="1" si="15">ROUND(D116*$C116,0)</f>
        <v>21491</v>
      </c>
      <c r="G116" s="217">
        <f ca="1">ROUND(D116*(1+$I$138),2)</f>
        <v>9.68</v>
      </c>
      <c r="H116" s="197"/>
      <c r="I116" s="218">
        <f t="shared" ref="I116:I117" ca="1" si="16">ROUND(G116*$C116,0)</f>
        <v>21761</v>
      </c>
      <c r="J116" s="218"/>
      <c r="K116" s="501" t="s">
        <v>189</v>
      </c>
      <c r="L116" s="501"/>
      <c r="M116" s="501"/>
    </row>
    <row r="117" spans="1:15" x14ac:dyDescent="0.3">
      <c r="A117" s="151" t="s">
        <v>341</v>
      </c>
      <c r="B117" s="151"/>
      <c r="C117" s="193">
        <f ca="1">'[59]Tariff 29'!$D$8</f>
        <v>5042</v>
      </c>
      <c r="D117" s="217">
        <f ca="1">'[58]Exhibit No.__(JAP-Tariff)'!E56</f>
        <v>24.28</v>
      </c>
      <c r="E117" s="197"/>
      <c r="F117" s="218">
        <f t="shared" ca="1" si="15"/>
        <v>122420</v>
      </c>
      <c r="G117" s="217">
        <f ca="1">ROUND(D117*(1+$I$138),2)</f>
        <v>24.58</v>
      </c>
      <c r="H117" s="197"/>
      <c r="I117" s="218">
        <f t="shared" ca="1" si="16"/>
        <v>123932</v>
      </c>
      <c r="J117" s="218"/>
      <c r="K117" s="501" t="s">
        <v>189</v>
      </c>
      <c r="L117" s="501"/>
      <c r="M117" s="501"/>
    </row>
    <row r="118" spans="1:15" x14ac:dyDescent="0.3">
      <c r="A118" s="157" t="s">
        <v>210</v>
      </c>
      <c r="B118" s="151"/>
      <c r="C118" s="221">
        <f ca="1">SUM(C116:C117)</f>
        <v>7290</v>
      </c>
      <c r="D118" s="217"/>
      <c r="E118" s="197"/>
      <c r="F118" s="160">
        <f ca="1">SUM(F116:F117)</f>
        <v>143911</v>
      </c>
      <c r="G118" s="217"/>
      <c r="H118" s="197"/>
      <c r="I118" s="160">
        <f ca="1">SUM(I116:I117)</f>
        <v>145693</v>
      </c>
      <c r="J118" s="218"/>
      <c r="K118" s="501"/>
      <c r="L118" s="501"/>
      <c r="M118" s="501"/>
    </row>
    <row r="119" spans="1:15" x14ac:dyDescent="0.3">
      <c r="A119" s="197" t="s">
        <v>190</v>
      </c>
      <c r="B119" s="151"/>
      <c r="C119" s="193"/>
      <c r="D119" s="219"/>
      <c r="E119" s="218"/>
      <c r="F119" s="218"/>
      <c r="G119" s="219"/>
      <c r="H119" s="218"/>
      <c r="I119" s="218"/>
      <c r="J119" s="218"/>
      <c r="K119" s="236"/>
      <c r="L119" s="186"/>
      <c r="M119" s="186"/>
    </row>
    <row r="120" spans="1:15" x14ac:dyDescent="0.3">
      <c r="A120" s="163" t="s">
        <v>355</v>
      </c>
      <c r="B120" s="151"/>
      <c r="C120" s="193">
        <f ca="1">'[59]Tariff 29'!D12</f>
        <v>1724764</v>
      </c>
      <c r="D120" s="245">
        <f ca="1">'[58]Exhibit No.__(JAP-Tariff)'!E58</f>
        <v>8.9582999999999996E-2</v>
      </c>
      <c r="E120" s="218"/>
      <c r="F120" s="218">
        <f ca="1">ROUND($C120*D120,0)</f>
        <v>154510</v>
      </c>
      <c r="G120" s="324">
        <f ca="1">ROUND(D120*(1+$I$138),6)</f>
        <v>9.0677999999999995E-2</v>
      </c>
      <c r="H120" s="218"/>
      <c r="I120" s="218">
        <f ca="1">ROUND($C120*G120,0)</f>
        <v>156398</v>
      </c>
      <c r="J120" s="218"/>
      <c r="K120" s="501" t="s">
        <v>189</v>
      </c>
      <c r="L120" s="501"/>
      <c r="M120" s="501"/>
    </row>
    <row r="121" spans="1:15" x14ac:dyDescent="0.3">
      <c r="A121" s="163" t="s">
        <v>373</v>
      </c>
      <c r="B121" s="151"/>
      <c r="C121" s="193">
        <f ca="1">'[59]Tariff 29'!D13</f>
        <v>19062</v>
      </c>
      <c r="D121" s="245">
        <f ca="1">'[58]Exhibit No.__(JAP-Tariff)'!E59</f>
        <v>6.8035999999999999E-2</v>
      </c>
      <c r="E121" s="218"/>
      <c r="F121" s="218">
        <f ca="1">ROUND($C121*D121,0)</f>
        <v>1297</v>
      </c>
      <c r="G121" s="324">
        <f ca="1">ROUND(D121*(1+$I$138),6)</f>
        <v>6.8867999999999999E-2</v>
      </c>
      <c r="H121" s="218"/>
      <c r="I121" s="218">
        <f ca="1">ROUND($C121*G121,0)</f>
        <v>1313</v>
      </c>
      <c r="J121" s="218"/>
      <c r="K121" s="501" t="s">
        <v>189</v>
      </c>
      <c r="L121" s="501"/>
      <c r="M121" s="501"/>
    </row>
    <row r="122" spans="1:15" x14ac:dyDescent="0.3">
      <c r="A122" s="163" t="s">
        <v>356</v>
      </c>
      <c r="B122" s="151"/>
      <c r="C122" s="193">
        <f ca="1">'[59]Tariff 29'!D14</f>
        <v>10852548</v>
      </c>
      <c r="D122" s="245">
        <f ca="1">'[58]Exhibit No.__(JAP-Tariff)'!E60</f>
        <v>6.2075999999999999E-2</v>
      </c>
      <c r="E122" s="218"/>
      <c r="F122" s="218">
        <f t="shared" ref="F122:F123" ca="1" si="17">ROUND($C122*D122,0)</f>
        <v>673683</v>
      </c>
      <c r="G122" s="324">
        <f ca="1">ROUND(D122*(1+$I$138),6)</f>
        <v>6.2835000000000002E-2</v>
      </c>
      <c r="H122" s="218"/>
      <c r="I122" s="218">
        <f t="shared" ref="I122:I123" ca="1" si="18">ROUND($C122*G122,0)</f>
        <v>681920</v>
      </c>
      <c r="J122" s="218"/>
      <c r="K122" s="501" t="s">
        <v>189</v>
      </c>
      <c r="L122" s="501"/>
      <c r="M122" s="501"/>
    </row>
    <row r="123" spans="1:15" x14ac:dyDescent="0.3">
      <c r="A123" s="163" t="s">
        <v>374</v>
      </c>
      <c r="B123" s="151"/>
      <c r="C123" s="193">
        <f ca="1">'[59]Tariff 29'!D15</f>
        <v>368027</v>
      </c>
      <c r="D123" s="245">
        <f ca="1">'[58]Exhibit No.__(JAP-Tariff)'!E61</f>
        <v>5.3189E-2</v>
      </c>
      <c r="E123" s="218"/>
      <c r="F123" s="218">
        <f t="shared" ca="1" si="17"/>
        <v>19575</v>
      </c>
      <c r="G123" s="324">
        <f ca="1">ROUND(D123*(1+$I$138),6)</f>
        <v>5.3838999999999998E-2</v>
      </c>
      <c r="H123" s="218"/>
      <c r="I123" s="218">
        <f t="shared" ca="1" si="18"/>
        <v>19814</v>
      </c>
      <c r="J123" s="218"/>
      <c r="K123" s="501" t="s">
        <v>189</v>
      </c>
      <c r="L123" s="501"/>
      <c r="M123" s="501"/>
    </row>
    <row r="124" spans="1:15" x14ac:dyDescent="0.3">
      <c r="A124" s="157" t="s">
        <v>210</v>
      </c>
      <c r="B124" s="151"/>
      <c r="C124" s="221">
        <f ca="1">SUM(C120:C123)</f>
        <v>12964401</v>
      </c>
      <c r="D124" s="204"/>
      <c r="E124" s="197"/>
      <c r="F124" s="160">
        <f ca="1">SUM(F120:F123)</f>
        <v>849065</v>
      </c>
      <c r="G124" s="204"/>
      <c r="H124" s="197"/>
      <c r="I124" s="160">
        <f ca="1">SUM(I120:I123)</f>
        <v>859445</v>
      </c>
      <c r="J124" s="156"/>
      <c r="K124" s="236"/>
      <c r="L124" s="186"/>
      <c r="M124" s="186"/>
    </row>
    <row r="125" spans="1:15" x14ac:dyDescent="0.3">
      <c r="A125" s="163" t="s">
        <v>204</v>
      </c>
      <c r="B125" s="151"/>
      <c r="C125" s="193">
        <f ca="1">SUM('[59]Tariff 29'!$E$17:$J$17)</f>
        <v>0</v>
      </c>
      <c r="D125" s="245">
        <f ca="1">D121</f>
        <v>6.8035999999999999E-2</v>
      </c>
      <c r="E125" s="197"/>
      <c r="F125" s="218">
        <f t="shared" ref="F125:F127" ca="1" si="19">ROUND($C125*D125,0)</f>
        <v>0</v>
      </c>
      <c r="G125" s="245">
        <f ca="1">G121</f>
        <v>6.8867999999999999E-2</v>
      </c>
      <c r="H125" s="197"/>
      <c r="I125" s="218">
        <f t="shared" ref="I125:I127" ca="1" si="20">ROUND($C125*G125,0)</f>
        <v>0</v>
      </c>
      <c r="J125" s="156"/>
      <c r="K125" s="236"/>
      <c r="L125" s="186"/>
      <c r="M125" s="186"/>
    </row>
    <row r="126" spans="1:15" x14ac:dyDescent="0.3">
      <c r="A126" s="163" t="s">
        <v>205</v>
      </c>
      <c r="B126" s="151"/>
      <c r="C126" s="193">
        <f ca="1">SUM('[59]Tariff 29'!$K$17:$P$17)</f>
        <v>-158746.83383420159</v>
      </c>
      <c r="D126" s="245">
        <f ca="1">D123</f>
        <v>5.3189E-2</v>
      </c>
      <c r="E126" s="197"/>
      <c r="F126" s="218">
        <f t="shared" ca="1" si="19"/>
        <v>-8444</v>
      </c>
      <c r="G126" s="245">
        <f ca="1">G123</f>
        <v>5.3838999999999998E-2</v>
      </c>
      <c r="H126" s="197"/>
      <c r="I126" s="218">
        <f t="shared" ca="1" si="20"/>
        <v>-8547</v>
      </c>
      <c r="J126" s="156"/>
      <c r="K126" s="185"/>
      <c r="L126" s="186"/>
      <c r="M126" s="186"/>
    </row>
    <row r="127" spans="1:15" x14ac:dyDescent="0.3">
      <c r="A127" s="168" t="s">
        <v>193</v>
      </c>
      <c r="B127" s="151"/>
      <c r="C127" s="212">
        <f ca="1">'[59]Tariff 29'!$D$16</f>
        <v>1521175.2230270188</v>
      </c>
      <c r="D127" s="245">
        <f ca="1">ROUND(SUM(E105,F118,F124:F126,F132,F134)/SUM(C124:C126),6)</f>
        <v>7.9413999999999998E-2</v>
      </c>
      <c r="E127" s="197"/>
      <c r="F127" s="218">
        <f t="shared" ca="1" si="19"/>
        <v>120803</v>
      </c>
      <c r="G127" s="245">
        <f ca="1">ROUND(SUM(H105,I118,I124:I126,I132,I134)/SUM(C124:C126),6)</f>
        <v>8.0385999999999999E-2</v>
      </c>
      <c r="H127" s="197"/>
      <c r="I127" s="218">
        <f t="shared" ca="1" si="20"/>
        <v>122281</v>
      </c>
      <c r="J127" s="162"/>
      <c r="K127" s="501" t="s">
        <v>189</v>
      </c>
      <c r="L127" s="501"/>
      <c r="M127" s="501"/>
    </row>
    <row r="128" spans="1:15" x14ac:dyDescent="0.3">
      <c r="A128" s="157" t="s">
        <v>210</v>
      </c>
      <c r="B128" s="151"/>
      <c r="C128" s="221">
        <f ca="1">SUM(C124:C127)</f>
        <v>14326829.389192818</v>
      </c>
      <c r="D128" s="197"/>
      <c r="E128" s="197"/>
      <c r="F128" s="160">
        <f ca="1">SUM(F124:F127)</f>
        <v>961424</v>
      </c>
      <c r="G128" s="197"/>
      <c r="H128" s="197"/>
      <c r="I128" s="160">
        <f ca="1">SUM(I124:I127)</f>
        <v>973179</v>
      </c>
      <c r="J128" s="162"/>
      <c r="K128" s="236"/>
      <c r="L128" s="186"/>
      <c r="M128" s="186"/>
    </row>
    <row r="129" spans="1:13" x14ac:dyDescent="0.3">
      <c r="A129" s="197" t="s">
        <v>194</v>
      </c>
      <c r="B129" s="151"/>
      <c r="C129" s="193"/>
      <c r="D129" s="222"/>
      <c r="E129" s="197"/>
      <c r="F129" s="218"/>
      <c r="G129" s="222"/>
      <c r="H129" s="197"/>
      <c r="I129" s="218"/>
      <c r="J129" s="218"/>
      <c r="K129" s="236"/>
      <c r="L129" s="307"/>
      <c r="M129" s="186"/>
    </row>
    <row r="130" spans="1:13" x14ac:dyDescent="0.3">
      <c r="A130" s="163" t="s">
        <v>358</v>
      </c>
      <c r="B130" s="151"/>
      <c r="C130" s="193">
        <f ca="1">'[59]Tariff 29'!D21</f>
        <v>1931</v>
      </c>
      <c r="D130" s="217">
        <f ca="1">'[58]Exhibit No.__(JAP-Tariff)'!E64</f>
        <v>8.83</v>
      </c>
      <c r="E130" s="197"/>
      <c r="F130" s="218">
        <f ca="1">ROUND(D130*$C130,0)</f>
        <v>17051</v>
      </c>
      <c r="G130" s="217">
        <f t="shared" ref="G130:G131" ca="1" si="21">ROUND(D130*(1+$I$138),2)</f>
        <v>8.94</v>
      </c>
      <c r="H130" s="197"/>
      <c r="I130" s="218">
        <f ca="1">ROUND(G130*$C130,0)</f>
        <v>17263</v>
      </c>
      <c r="J130" s="218"/>
      <c r="K130" s="501" t="s">
        <v>189</v>
      </c>
      <c r="L130" s="501"/>
      <c r="M130" s="501"/>
    </row>
    <row r="131" spans="1:13" x14ac:dyDescent="0.3">
      <c r="A131" s="163" t="s">
        <v>359</v>
      </c>
      <c r="B131" s="151"/>
      <c r="C131" s="193">
        <f ca="1">'[59]Tariff 29'!D22</f>
        <v>3438</v>
      </c>
      <c r="D131" s="217">
        <f ca="1">'[58]Exhibit No.__(JAP-Tariff)'!E65</f>
        <v>4.3499999999999996</v>
      </c>
      <c r="E131" s="197"/>
      <c r="F131" s="218">
        <f ca="1">ROUND(D131*$C131,0)</f>
        <v>14955</v>
      </c>
      <c r="G131" s="217">
        <f t="shared" ca="1" si="21"/>
        <v>4.4000000000000004</v>
      </c>
      <c r="H131" s="197"/>
      <c r="I131" s="218">
        <f ca="1">ROUND(G131*$C131,0)</f>
        <v>15127</v>
      </c>
      <c r="J131" s="218"/>
      <c r="K131" s="501" t="s">
        <v>189</v>
      </c>
      <c r="L131" s="501"/>
      <c r="M131" s="501"/>
    </row>
    <row r="132" spans="1:13" x14ac:dyDescent="0.3">
      <c r="A132" s="157" t="s">
        <v>210</v>
      </c>
      <c r="B132" s="151"/>
      <c r="C132" s="221">
        <f ca="1">SUM(C130:C131)</f>
        <v>5369</v>
      </c>
      <c r="D132" s="222"/>
      <c r="E132" s="197"/>
      <c r="F132" s="224">
        <f ca="1">SUM(F130:F131)</f>
        <v>32006</v>
      </c>
      <c r="G132" s="222"/>
      <c r="H132" s="197"/>
      <c r="I132" s="224">
        <f ca="1">SUM(I130:I131)</f>
        <v>32390</v>
      </c>
      <c r="J132" s="218"/>
      <c r="K132" s="236"/>
      <c r="L132" s="186"/>
      <c r="M132" s="186"/>
    </row>
    <row r="133" spans="1:13" x14ac:dyDescent="0.3">
      <c r="A133" s="151"/>
      <c r="B133" s="151"/>
      <c r="C133" s="212"/>
      <c r="D133" s="212"/>
      <c r="E133" s="197"/>
      <c r="F133" s="162"/>
      <c r="G133" s="212"/>
      <c r="H133" s="197"/>
      <c r="I133" s="162"/>
      <c r="J133" s="162"/>
      <c r="K133" s="236"/>
      <c r="L133" s="186"/>
      <c r="M133" s="186"/>
    </row>
    <row r="134" spans="1:13" x14ac:dyDescent="0.3">
      <c r="A134" s="151" t="s">
        <v>88</v>
      </c>
      <c r="B134" s="151"/>
      <c r="C134" s="193">
        <f ca="1">'[59]Tariff 29'!$D$25</f>
        <v>144115</v>
      </c>
      <c r="D134" s="246">
        <f ca="1">'[58]Exhibit No.__(JAP-Tariff)'!E67</f>
        <v>2.81E-3</v>
      </c>
      <c r="E134" s="197"/>
      <c r="F134" s="218">
        <f ca="1">ROUND(D134*$C134,0)</f>
        <v>405</v>
      </c>
      <c r="G134" s="325">
        <f ca="1">ROUND(D134*(1+$I$138),5)</f>
        <v>2.8400000000000001E-3</v>
      </c>
      <c r="H134" s="197"/>
      <c r="I134" s="218">
        <f ca="1">ROUND(G134*$C134,0)</f>
        <v>409</v>
      </c>
      <c r="J134" s="162"/>
      <c r="K134" s="501" t="s">
        <v>189</v>
      </c>
      <c r="L134" s="501"/>
      <c r="M134" s="501"/>
    </row>
    <row r="135" spans="1:13" x14ac:dyDescent="0.3">
      <c r="A135" s="151"/>
      <c r="B135" s="151"/>
      <c r="C135" s="212"/>
      <c r="D135" s="212"/>
      <c r="E135" s="197"/>
      <c r="F135" s="162"/>
      <c r="G135" s="212"/>
      <c r="H135" s="197"/>
      <c r="I135" s="162"/>
      <c r="J135" s="162"/>
      <c r="K135" s="306"/>
      <c r="L135" s="307"/>
      <c r="M135" s="186"/>
    </row>
    <row r="136" spans="1:13" ht="16.2" thickBot="1" x14ac:dyDescent="0.35">
      <c r="A136" s="151" t="s">
        <v>351</v>
      </c>
      <c r="B136" s="151"/>
      <c r="C136" s="212"/>
      <c r="D136" s="212"/>
      <c r="E136" s="197"/>
      <c r="F136" s="208">
        <f ca="1">SUM(F118,F128,F132,F134)</f>
        <v>1137746</v>
      </c>
      <c r="G136" s="212"/>
      <c r="H136" s="197"/>
      <c r="I136" s="208">
        <f ca="1">SUM(I118,I128,I132,I134)</f>
        <v>1151671</v>
      </c>
      <c r="J136" s="198"/>
      <c r="K136" s="236"/>
      <c r="L136" s="307"/>
      <c r="M136" s="186"/>
    </row>
    <row r="137" spans="1:13" ht="16.2" thickTop="1" x14ac:dyDescent="0.3">
      <c r="A137" s="151"/>
      <c r="B137" s="227"/>
      <c r="C137" s="212"/>
      <c r="D137" s="212"/>
      <c r="E137" s="151"/>
      <c r="F137" s="156"/>
      <c r="G137" s="212"/>
      <c r="H137" s="151"/>
      <c r="I137" s="156"/>
      <c r="J137" s="156"/>
      <c r="K137" s="306"/>
      <c r="L137" s="307"/>
      <c r="M137" s="186"/>
    </row>
    <row r="138" spans="1:13" x14ac:dyDescent="0.3">
      <c r="A138" s="181" t="s">
        <v>644</v>
      </c>
      <c r="I138" s="196">
        <f ca="1">M47</f>
        <v>1.2227951155924011E-2</v>
      </c>
      <c r="K138" s="306"/>
      <c r="L138" s="307"/>
      <c r="M138" s="186"/>
    </row>
    <row r="139" spans="1:13" x14ac:dyDescent="0.3">
      <c r="K139" s="306"/>
      <c r="L139" s="307"/>
      <c r="M139" s="186"/>
    </row>
    <row r="141" spans="1:13" x14ac:dyDescent="0.3">
      <c r="A141" s="234" t="s">
        <v>641</v>
      </c>
      <c r="C141" s="312"/>
      <c r="D141" s="309">
        <f ca="1">ROUND(SUM(F120,F122)/SUM($C$120,$C$122),6)</f>
        <v>6.5848000000000004E-2</v>
      </c>
      <c r="G141" s="309">
        <f ca="1">ROUND(SUM(I120,I122)/SUM($C$120,$C$122),6)</f>
        <v>6.6653000000000004E-2</v>
      </c>
    </row>
    <row r="142" spans="1:13" x14ac:dyDescent="0.3">
      <c r="A142" s="234" t="s">
        <v>645</v>
      </c>
      <c r="C142" s="312"/>
      <c r="D142" s="309">
        <f ca="1">ROUND(SUM(F121,F123)/SUM($C$121,$C$123),6)</f>
        <v>5.3920000000000003E-2</v>
      </c>
      <c r="G142" s="309">
        <f ca="1">ROUND(SUM(I121,I123)/SUM($C$121,$C$123),6)</f>
        <v>5.4579000000000003E-2</v>
      </c>
    </row>
    <row r="143" spans="1:13" x14ac:dyDescent="0.3">
      <c r="A143" s="234" t="s">
        <v>642</v>
      </c>
      <c r="C143" s="312"/>
      <c r="D143" s="315">
        <f ca="1">ROUND(SUM(F132)/SUM($C$132),2)</f>
        <v>5.96</v>
      </c>
      <c r="G143" s="315">
        <f ca="1">ROUND(SUM(I132)/SUM($C$132),2)</f>
        <v>6.03</v>
      </c>
    </row>
  </sheetData>
  <mergeCells count="49">
    <mergeCell ref="K134:M134"/>
    <mergeCell ref="K121:M121"/>
    <mergeCell ref="K122:M122"/>
    <mergeCell ref="K123:M123"/>
    <mergeCell ref="K127:M127"/>
    <mergeCell ref="K130:M130"/>
    <mergeCell ref="K131:M131"/>
    <mergeCell ref="K120:M120"/>
    <mergeCell ref="K89:M89"/>
    <mergeCell ref="K90:M90"/>
    <mergeCell ref="K96:M96"/>
    <mergeCell ref="K97:M97"/>
    <mergeCell ref="K98:M98"/>
    <mergeCell ref="K101:M101"/>
    <mergeCell ref="K102:M102"/>
    <mergeCell ref="K107:M107"/>
    <mergeCell ref="K116:M116"/>
    <mergeCell ref="K117:M117"/>
    <mergeCell ref="K118:M118"/>
    <mergeCell ref="K87:M87"/>
    <mergeCell ref="K38:M38"/>
    <mergeCell ref="K41:M41"/>
    <mergeCell ref="K42:M42"/>
    <mergeCell ref="K45:M45"/>
    <mergeCell ref="K65:M65"/>
    <mergeCell ref="K67:M67"/>
    <mergeCell ref="K70:M70"/>
    <mergeCell ref="K73:M73"/>
    <mergeCell ref="K74:M74"/>
    <mergeCell ref="K77:M77"/>
    <mergeCell ref="K85:M85"/>
    <mergeCell ref="K37:M37"/>
    <mergeCell ref="K15:M15"/>
    <mergeCell ref="K16:M16"/>
    <mergeCell ref="K19:M19"/>
    <mergeCell ref="K20:M20"/>
    <mergeCell ref="K22:M22"/>
    <mergeCell ref="K23:M23"/>
    <mergeCell ref="K24:M24"/>
    <mergeCell ref="K31:M31"/>
    <mergeCell ref="K33:M33"/>
    <mergeCell ref="K34:M34"/>
    <mergeCell ref="K35:M35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11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G84"/>
  <sheetViews>
    <sheetView zoomScaleNormal="100" zoomScaleSheetLayoutView="80" workbookViewId="0">
      <pane ySplit="10" topLeftCell="A50" activePane="bottomLeft" state="frozen"/>
      <selection activeCell="G14" sqref="G14:G15"/>
      <selection pane="bottomLeft" activeCell="O49" sqref="O49"/>
    </sheetView>
  </sheetViews>
  <sheetFormatPr defaultColWidth="11.6640625" defaultRowHeight="15.6" x14ac:dyDescent="0.3"/>
  <cols>
    <col min="1" max="1" width="35.88671875" style="135" bestFit="1" customWidth="1"/>
    <col min="2" max="2" width="1.5546875" style="135" bestFit="1" customWidth="1"/>
    <col min="3" max="3" width="15.109375" style="135" bestFit="1" customWidth="1"/>
    <col min="4" max="4" width="12.33203125" style="135" bestFit="1" customWidth="1"/>
    <col min="5" max="5" width="2.33203125" style="135" bestFit="1" customWidth="1"/>
    <col min="6" max="6" width="14.44140625" style="135" bestFit="1" customWidth="1"/>
    <col min="7" max="7" width="12.33203125" style="135" bestFit="1" customWidth="1"/>
    <col min="8" max="8" width="2.33203125" style="135" bestFit="1" customWidth="1"/>
    <col min="9" max="9" width="18.44140625" style="135" customWidth="1"/>
    <col min="10" max="10" width="1.88671875" style="135" customWidth="1"/>
    <col min="11" max="11" width="27.33203125" style="135" bestFit="1" customWidth="1"/>
    <col min="12" max="12" width="14.44140625" style="142" bestFit="1" customWidth="1"/>
    <col min="13" max="13" width="13.88671875" style="142" bestFit="1" customWidth="1"/>
    <col min="14" max="14" width="8.109375" style="142" bestFit="1" customWidth="1"/>
    <col min="15" max="15" width="8.109375" style="135" bestFit="1" customWidth="1"/>
    <col min="16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33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3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3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3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3" ht="15.75" x14ac:dyDescent="0.25">
      <c r="A5" s="139" t="s">
        <v>375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3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3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3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3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3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3" ht="15.75" x14ac:dyDescent="0.25">
      <c r="A11" s="37"/>
      <c r="B11" s="37"/>
      <c r="C11" s="326"/>
      <c r="D11" s="292" t="s">
        <v>235</v>
      </c>
      <c r="E11" s="326"/>
      <c r="F11" s="327"/>
      <c r="G11" s="151" t="s">
        <v>235</v>
      </c>
      <c r="H11" s="326"/>
      <c r="I11" s="156" t="s">
        <v>235</v>
      </c>
      <c r="J11" s="156"/>
      <c r="K11" s="287"/>
      <c r="L11" s="288"/>
      <c r="M11" s="288"/>
      <c r="N11" s="134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G11" s="179"/>
    </row>
    <row r="12" spans="1:33" ht="15.75" x14ac:dyDescent="0.25">
      <c r="A12" s="150" t="s">
        <v>376</v>
      </c>
      <c r="B12" s="151"/>
      <c r="C12" s="216"/>
      <c r="D12" s="156"/>
      <c r="E12" s="151"/>
      <c r="F12" s="151"/>
      <c r="G12" s="156"/>
      <c r="H12" s="151"/>
      <c r="I12" s="156" t="s">
        <v>235</v>
      </c>
      <c r="J12" s="156"/>
      <c r="K12" s="37"/>
      <c r="L12" s="37"/>
      <c r="M12" s="37"/>
      <c r="N12" s="13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33" ht="15.75" x14ac:dyDescent="0.25">
      <c r="A13" s="153" t="s">
        <v>377</v>
      </c>
      <c r="B13" s="151"/>
      <c r="C13" s="151" t="s">
        <v>235</v>
      </c>
      <c r="D13" s="156"/>
      <c r="E13" s="151"/>
      <c r="F13" s="151"/>
      <c r="G13" s="156"/>
      <c r="H13" s="151"/>
      <c r="I13" s="151"/>
      <c r="J13" s="151"/>
      <c r="K13" s="37"/>
      <c r="L13" s="37"/>
      <c r="M13" s="37"/>
      <c r="N13" s="13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33" ht="15.75" x14ac:dyDescent="0.25">
      <c r="A14" s="328"/>
      <c r="B14" s="151"/>
      <c r="C14" s="151"/>
      <c r="D14" s="156"/>
      <c r="E14" s="151"/>
      <c r="F14" s="151"/>
      <c r="G14" s="156"/>
      <c r="H14" s="151"/>
      <c r="I14" s="151"/>
      <c r="J14" s="151"/>
      <c r="K14" s="287"/>
      <c r="L14" s="288"/>
      <c r="M14" s="288"/>
      <c r="N14" s="134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33" ht="15.75" x14ac:dyDescent="0.25">
      <c r="A15" s="328" t="s">
        <v>21</v>
      </c>
      <c r="B15" s="151"/>
      <c r="C15" s="329">
        <f ca="1">'[59]Tariff 31'!$D$8</f>
        <v>5854</v>
      </c>
      <c r="D15" s="217">
        <f ca="1">'[58]Exhibit No.__(JAP-Tariff)'!E70</f>
        <v>339.51</v>
      </c>
      <c r="E15" s="328"/>
      <c r="F15" s="330">
        <f ca="1">ROUND(D15*$C15,0)</f>
        <v>1987492</v>
      </c>
      <c r="G15" s="217">
        <f ca="1">ROUND(D15*(1+$M$31),2)</f>
        <v>343.66</v>
      </c>
      <c r="H15" s="328"/>
      <c r="I15" s="330">
        <f ca="1">ROUND(G15*$C15,0)</f>
        <v>2011786</v>
      </c>
      <c r="J15" s="330"/>
      <c r="K15" s="508" t="s">
        <v>189</v>
      </c>
      <c r="L15" s="508"/>
      <c r="M15" s="508"/>
      <c r="N15" s="134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33" ht="15.75" x14ac:dyDescent="0.25">
      <c r="A16" s="328" t="s">
        <v>190</v>
      </c>
      <c r="B16" s="151"/>
      <c r="C16" s="329"/>
      <c r="D16" s="219"/>
      <c r="E16" s="330"/>
      <c r="F16" s="330"/>
      <c r="G16" s="219"/>
      <c r="H16" s="330"/>
      <c r="I16" s="330"/>
      <c r="J16" s="330"/>
      <c r="K16" s="287"/>
      <c r="L16" s="288"/>
      <c r="M16" s="288"/>
      <c r="N16" s="134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ht="15.75" x14ac:dyDescent="0.25">
      <c r="A17" s="163" t="s">
        <v>76</v>
      </c>
      <c r="B17" s="151"/>
      <c r="C17" s="329">
        <f ca="1">SUM('[59]Tariff 31'!$D$11:$D$12)</f>
        <v>1298591685</v>
      </c>
      <c r="D17" s="245">
        <f ca="1">'[58]Exhibit No.__(JAP-Tariff)'!E72</f>
        <v>5.4346999999999999E-2</v>
      </c>
      <c r="E17" s="330"/>
      <c r="F17" s="330">
        <f t="shared" ref="F17" ca="1" si="0">ROUND($C17*D17,0)</f>
        <v>70574562</v>
      </c>
      <c r="G17" s="165">
        <f ca="1">ROUND(D17*(1+$M$31),6)+L33</f>
        <v>5.5014E-2</v>
      </c>
      <c r="H17" s="330"/>
      <c r="I17" s="330">
        <f t="shared" ref="I17" ca="1" si="1">ROUND($C17*G17,0)</f>
        <v>71440723</v>
      </c>
      <c r="J17" s="330"/>
      <c r="K17" s="508" t="s">
        <v>200</v>
      </c>
      <c r="L17" s="508"/>
      <c r="M17" s="508"/>
      <c r="N17" s="134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ht="15.75" x14ac:dyDescent="0.25">
      <c r="A18" s="157" t="s">
        <v>210</v>
      </c>
      <c r="B18" s="151"/>
      <c r="C18" s="331">
        <f ca="1">SUM(C17:C17)</f>
        <v>1298591685</v>
      </c>
      <c r="D18" s="204"/>
      <c r="E18" s="328"/>
      <c r="F18" s="160">
        <f ca="1">SUM(F17:F17)</f>
        <v>70574562</v>
      </c>
      <c r="G18" s="204"/>
      <c r="H18" s="328"/>
      <c r="I18" s="160">
        <f ca="1">SUM(I17:I17)</f>
        <v>71440723</v>
      </c>
      <c r="J18" s="156"/>
      <c r="K18" s="287"/>
      <c r="L18" s="288"/>
      <c r="M18" s="288"/>
      <c r="N18" s="13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ht="15.75" x14ac:dyDescent="0.25">
      <c r="A19" s="163" t="s">
        <v>192</v>
      </c>
      <c r="B19" s="151"/>
      <c r="C19" s="329">
        <f ca="1">'[59]Tariff 31'!$D$14</f>
        <v>957232.70373482059</v>
      </c>
      <c r="D19" s="245">
        <f ca="1">D17</f>
        <v>5.4346999999999999E-2</v>
      </c>
      <c r="E19" s="328"/>
      <c r="F19" s="330">
        <f t="shared" ref="F19:F20" ca="1" si="2">ROUND($C19*D19,0)</f>
        <v>52023</v>
      </c>
      <c r="G19" s="245">
        <f ca="1">G17</f>
        <v>5.5014E-2</v>
      </c>
      <c r="H19" s="328"/>
      <c r="I19" s="330">
        <f t="shared" ref="I19:I20" ca="1" si="3">ROUND($C19*G19,0)</f>
        <v>52661</v>
      </c>
      <c r="J19" s="156"/>
      <c r="K19" s="247"/>
      <c r="L19" s="288"/>
      <c r="M19" s="288"/>
      <c r="N19" s="134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ht="15.75" x14ac:dyDescent="0.25">
      <c r="A20" s="168" t="s">
        <v>193</v>
      </c>
      <c r="B20" s="151"/>
      <c r="C20" s="296">
        <f ca="1">'[59]Tariff 31'!$D$13</f>
        <v>-15147343.245038178</v>
      </c>
      <c r="D20" s="245">
        <f ca="1">ROUND(SUM(F15,F18:F19,F25,F27)/SUM(C18:C19),6)</f>
        <v>8.0107999999999999E-2</v>
      </c>
      <c r="E20" s="292"/>
      <c r="F20" s="330">
        <f t="shared" ca="1" si="2"/>
        <v>-1213423</v>
      </c>
      <c r="G20" s="245">
        <f ca="1">ROUND(D20*(1+$M$31),6)</f>
        <v>8.1087999999999993E-2</v>
      </c>
      <c r="H20" s="292"/>
      <c r="I20" s="330">
        <f t="shared" ca="1" si="3"/>
        <v>-1228268</v>
      </c>
      <c r="J20" s="162"/>
      <c r="K20" s="508" t="s">
        <v>189</v>
      </c>
      <c r="L20" s="508"/>
      <c r="M20" s="508"/>
    </row>
    <row r="21" spans="1:26" ht="15.75" x14ac:dyDescent="0.25">
      <c r="A21" s="157" t="s">
        <v>210</v>
      </c>
      <c r="B21" s="151"/>
      <c r="C21" s="331">
        <f ca="1">SUM(C18:C20)</f>
        <v>1284401574.4586966</v>
      </c>
      <c r="D21" s="292"/>
      <c r="E21" s="292"/>
      <c r="F21" s="160">
        <f ca="1">SUM(F18:F20)</f>
        <v>69413162</v>
      </c>
      <c r="G21" s="292"/>
      <c r="H21" s="292"/>
      <c r="I21" s="160">
        <f ca="1">SUM(I18:I20)</f>
        <v>70265116</v>
      </c>
      <c r="J21" s="162"/>
      <c r="K21" s="247"/>
      <c r="L21" s="288"/>
      <c r="M21" s="288"/>
    </row>
    <row r="22" spans="1:26" ht="15.75" x14ac:dyDescent="0.25">
      <c r="A22" s="292" t="s">
        <v>194</v>
      </c>
      <c r="B22" s="151"/>
      <c r="C22" s="329"/>
      <c r="D22" s="222"/>
      <c r="E22" s="328"/>
      <c r="F22" s="330"/>
      <c r="G22" s="222"/>
      <c r="H22" s="328"/>
      <c r="I22" s="330"/>
      <c r="J22" s="330"/>
      <c r="K22" s="247"/>
      <c r="L22" s="332"/>
      <c r="M22" s="288"/>
    </row>
    <row r="23" spans="1:26" ht="15.75" x14ac:dyDescent="0.25">
      <c r="A23" s="163" t="s">
        <v>363</v>
      </c>
      <c r="B23" s="151"/>
      <c r="C23" s="329">
        <f ca="1">SUM('[59]Tariff 31'!$D$18:$D$19)</f>
        <v>1595334</v>
      </c>
      <c r="D23" s="217">
        <f ca="1">'[58]Exhibit No.__(JAP-Tariff)'!E74</f>
        <v>11.32</v>
      </c>
      <c r="E23" s="328"/>
      <c r="F23" s="330">
        <f ca="1">ROUND(D23*$C23,0)</f>
        <v>18059181</v>
      </c>
      <c r="G23" s="217">
        <f ca="1">ROUND(D23*(1+$M$31),2)</f>
        <v>11.46</v>
      </c>
      <c r="H23" s="328"/>
      <c r="I23" s="330">
        <f ca="1">ROUND(G23*$C23,0)</f>
        <v>18282528</v>
      </c>
      <c r="J23" s="330"/>
      <c r="K23" s="508" t="s">
        <v>189</v>
      </c>
      <c r="L23" s="508"/>
      <c r="M23" s="508"/>
      <c r="N23" s="135"/>
    </row>
    <row r="24" spans="1:26" ht="15.75" x14ac:dyDescent="0.25">
      <c r="A24" s="163" t="s">
        <v>364</v>
      </c>
      <c r="B24" s="151"/>
      <c r="C24" s="329">
        <f ca="1">SUM('[59]Tariff 31'!$D$20:$D$21)</f>
        <v>1682286</v>
      </c>
      <c r="D24" s="217">
        <f ca="1">'[58]Exhibit No.__(JAP-Tariff)'!E75</f>
        <v>7.55</v>
      </c>
      <c r="E24" s="328"/>
      <c r="F24" s="330">
        <f ca="1">ROUND(D24*$C24,0)</f>
        <v>12701259</v>
      </c>
      <c r="G24" s="217">
        <f ca="1">ROUND(D24*(1+$M$31),2)</f>
        <v>7.64</v>
      </c>
      <c r="H24" s="328"/>
      <c r="I24" s="330">
        <f ca="1">ROUND(G24*$C24,0)</f>
        <v>12852665</v>
      </c>
      <c r="J24" s="330"/>
      <c r="K24" s="508" t="s">
        <v>189</v>
      </c>
      <c r="L24" s="508"/>
      <c r="M24" s="508"/>
      <c r="N24" s="135"/>
    </row>
    <row r="25" spans="1:26" ht="15.75" x14ac:dyDescent="0.25">
      <c r="A25" s="157" t="s">
        <v>210</v>
      </c>
      <c r="B25" s="151"/>
      <c r="C25" s="331">
        <f ca="1">SUM(C23:C24)</f>
        <v>3277620</v>
      </c>
      <c r="D25" s="222"/>
      <c r="E25" s="328"/>
      <c r="F25" s="333">
        <f ca="1">SUM(F23:F24)</f>
        <v>30760440</v>
      </c>
      <c r="G25" s="222"/>
      <c r="H25" s="328"/>
      <c r="I25" s="333">
        <f ca="1">SUM(I23:I24)</f>
        <v>31135193</v>
      </c>
      <c r="J25" s="330"/>
      <c r="K25" s="247"/>
      <c r="L25" s="288"/>
      <c r="M25" s="288"/>
    </row>
    <row r="26" spans="1:26" ht="15.75" x14ac:dyDescent="0.25">
      <c r="A26" s="151"/>
      <c r="B26" s="151"/>
      <c r="C26" s="296"/>
      <c r="D26" s="296"/>
      <c r="E26" s="292"/>
      <c r="F26" s="162"/>
      <c r="G26" s="296"/>
      <c r="H26" s="292"/>
      <c r="I26" s="162"/>
      <c r="J26" s="162"/>
      <c r="K26" s="247"/>
      <c r="L26" s="288"/>
      <c r="M26" s="288"/>
    </row>
    <row r="27" spans="1:26" ht="15.75" x14ac:dyDescent="0.25">
      <c r="A27" s="151" t="s">
        <v>88</v>
      </c>
      <c r="B27" s="151"/>
      <c r="C27" s="329">
        <f ca="1">'[59]Tariff 31'!$D$26</f>
        <v>688319083</v>
      </c>
      <c r="D27" s="246">
        <f ca="1">'[58]Exhibit No.__(JAP-Tariff)'!E77</f>
        <v>1.06E-3</v>
      </c>
      <c r="E27" s="328"/>
      <c r="F27" s="330">
        <f ca="1">ROUND(D27*$C27,0)</f>
        <v>729618</v>
      </c>
      <c r="G27" s="246">
        <f ca="1">ROUND(D27*(1+$M$31),5)</f>
        <v>1.07E-3</v>
      </c>
      <c r="H27" s="328"/>
      <c r="I27" s="330">
        <f ca="1">ROUND(G27*$C27,0)</f>
        <v>736501</v>
      </c>
      <c r="J27" s="162"/>
      <c r="K27" s="508" t="s">
        <v>189</v>
      </c>
      <c r="L27" s="508"/>
      <c r="M27" s="508"/>
    </row>
    <row r="28" spans="1:26" ht="15.75" x14ac:dyDescent="0.25">
      <c r="A28" s="151"/>
      <c r="B28" s="151"/>
      <c r="C28" s="296"/>
      <c r="D28" s="296"/>
      <c r="E28" s="292"/>
      <c r="F28" s="162"/>
      <c r="G28" s="296"/>
      <c r="H28" s="292"/>
      <c r="I28" s="162"/>
      <c r="J28" s="162"/>
      <c r="K28" s="334"/>
      <c r="L28" s="332"/>
      <c r="M28" s="288"/>
    </row>
    <row r="29" spans="1:26" ht="16.5" thickBot="1" x14ac:dyDescent="0.3">
      <c r="A29" s="151" t="s">
        <v>351</v>
      </c>
      <c r="B29" s="151"/>
      <c r="C29" s="296"/>
      <c r="D29" s="296"/>
      <c r="E29" s="292"/>
      <c r="F29" s="335">
        <f ca="1">SUM(F15,F21,F25,F27)</f>
        <v>102890712</v>
      </c>
      <c r="G29" s="296"/>
      <c r="H29" s="292"/>
      <c r="I29" s="335">
        <f ca="1">SUM(I15,I21,I25,I27)</f>
        <v>104148596</v>
      </c>
      <c r="J29" s="336"/>
      <c r="K29" s="334"/>
      <c r="L29" s="332"/>
      <c r="M29" s="288"/>
    </row>
    <row r="30" spans="1:26" ht="16.5" thickTop="1" x14ac:dyDescent="0.25">
      <c r="A30" s="151"/>
      <c r="B30" s="337"/>
      <c r="C30" s="296"/>
      <c r="D30" s="296"/>
      <c r="E30" s="151"/>
      <c r="F30" s="156"/>
      <c r="G30" s="296"/>
      <c r="H30" s="151"/>
      <c r="I30" s="156"/>
      <c r="J30" s="156"/>
      <c r="K30" s="334"/>
      <c r="L30" s="332"/>
      <c r="M30" s="288"/>
    </row>
    <row r="31" spans="1:26" ht="15.75" x14ac:dyDescent="0.25">
      <c r="A31" s="234" t="s">
        <v>642</v>
      </c>
      <c r="B31" s="181"/>
      <c r="C31" s="312"/>
      <c r="D31" s="315">
        <f ca="1">ROUND(SUM(F25)/SUM($C$25),2)</f>
        <v>9.3800000000000008</v>
      </c>
      <c r="E31" s="181"/>
      <c r="F31" s="181"/>
      <c r="G31" s="315">
        <f ca="1">ROUND(SUM(I25)/SUM($C$25),2)</f>
        <v>9.5</v>
      </c>
      <c r="H31" s="37"/>
      <c r="I31" s="37"/>
      <c r="J31" s="37"/>
      <c r="K31" s="338" t="s">
        <v>646</v>
      </c>
      <c r="L31" s="339">
        <f ca="1">'[58]Exhibit No.__(JAP-Rate Spread)'!K17*1000</f>
        <v>104149050.85488769</v>
      </c>
      <c r="M31" s="295">
        <f ca="1">L31/SUM(F29)-1</f>
        <v>1.2229858559902773E-2</v>
      </c>
    </row>
    <row r="32" spans="1:26" ht="15.75" x14ac:dyDescent="0.25">
      <c r="A32" s="37"/>
      <c r="B32" s="151"/>
      <c r="C32" s="216"/>
      <c r="D32" s="156"/>
      <c r="E32" s="151"/>
      <c r="F32" s="151"/>
      <c r="G32" s="156"/>
      <c r="H32" s="151"/>
      <c r="I32" s="156" t="s">
        <v>235</v>
      </c>
      <c r="J32" s="156"/>
      <c r="K32" s="297" t="s">
        <v>46</v>
      </c>
      <c r="L32" s="340">
        <f ca="1">L31-I29</f>
        <v>454.85488769412041</v>
      </c>
      <c r="M32" s="308" t="s">
        <v>235</v>
      </c>
    </row>
    <row r="33" spans="1:13" ht="15.75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177" t="s">
        <v>643</v>
      </c>
      <c r="L33" s="305">
        <f ca="1">'[58]Exhibit No.__(JAP-PV RD)'!$L$33</f>
        <v>1.9999999999999999E-6</v>
      </c>
      <c r="M33" s="305">
        <f ca="1">L32/C17</f>
        <v>3.5026782702225635E-7</v>
      </c>
    </row>
    <row r="34" spans="1:13" ht="15.75" x14ac:dyDescent="0.25">
      <c r="A34" s="150" t="s">
        <v>378</v>
      </c>
      <c r="B34" s="151"/>
      <c r="C34" s="216"/>
      <c r="D34" s="156"/>
      <c r="E34" s="151"/>
      <c r="F34" s="151"/>
      <c r="G34" s="156"/>
      <c r="H34" s="151"/>
      <c r="I34" s="156" t="s">
        <v>235</v>
      </c>
      <c r="J34" s="156"/>
      <c r="K34" s="37"/>
      <c r="L34" s="37"/>
      <c r="M34" s="37"/>
    </row>
    <row r="35" spans="1:13" ht="15.75" x14ac:dyDescent="0.25">
      <c r="A35" s="153" t="s">
        <v>377</v>
      </c>
      <c r="B35" s="151"/>
      <c r="C35" s="151" t="s">
        <v>235</v>
      </c>
      <c r="D35" s="156"/>
      <c r="E35" s="151"/>
      <c r="F35" s="151"/>
      <c r="G35" s="156"/>
      <c r="H35" s="151"/>
      <c r="I35" s="151"/>
      <c r="J35" s="151"/>
      <c r="K35" s="37"/>
      <c r="L35" s="37"/>
      <c r="M35" s="37"/>
    </row>
    <row r="36" spans="1:13" ht="15.75" x14ac:dyDescent="0.25">
      <c r="A36" s="328"/>
      <c r="B36" s="151"/>
      <c r="C36" s="151"/>
      <c r="D36" s="156"/>
      <c r="E36" s="151"/>
      <c r="F36" s="151"/>
      <c r="G36" s="156"/>
      <c r="H36" s="151"/>
      <c r="I36" s="151"/>
      <c r="J36" s="151"/>
      <c r="K36" s="287"/>
      <c r="L36" s="288"/>
      <c r="M36" s="288"/>
    </row>
    <row r="37" spans="1:13" ht="15.75" x14ac:dyDescent="0.25">
      <c r="A37" s="328" t="s">
        <v>21</v>
      </c>
      <c r="B37" s="151"/>
      <c r="C37" s="329">
        <f ca="1">'[59]Tariff 35'!$D$6</f>
        <v>12</v>
      </c>
      <c r="D37" s="217">
        <f ca="1">'[58]Exhibit No.__(JAP-Tariff)'!E80</f>
        <v>339.51</v>
      </c>
      <c r="E37" s="328"/>
      <c r="F37" s="330">
        <f ca="1">ROUND(D37*$C37,0)</f>
        <v>4074</v>
      </c>
      <c r="G37" s="217">
        <f ca="1">G15</f>
        <v>343.66</v>
      </c>
      <c r="H37" s="328"/>
      <c r="I37" s="330">
        <f ca="1">ROUND(G37*$C37,0)</f>
        <v>4124</v>
      </c>
      <c r="J37" s="330"/>
      <c r="K37" s="508" t="s">
        <v>206</v>
      </c>
      <c r="L37" s="508"/>
      <c r="M37" s="508"/>
    </row>
    <row r="38" spans="1:13" ht="15.75" x14ac:dyDescent="0.25">
      <c r="A38" s="328" t="s">
        <v>190</v>
      </c>
      <c r="B38" s="151"/>
      <c r="C38" s="329"/>
      <c r="D38" s="219"/>
      <c r="E38" s="330"/>
      <c r="F38" s="330"/>
      <c r="G38" s="219"/>
      <c r="H38" s="330"/>
      <c r="I38" s="330"/>
      <c r="J38" s="330"/>
      <c r="K38" s="287"/>
      <c r="L38" s="288"/>
      <c r="M38" s="288"/>
    </row>
    <row r="39" spans="1:13" ht="15.75" x14ac:dyDescent="0.25">
      <c r="A39" s="163" t="s">
        <v>76</v>
      </c>
      <c r="B39" s="151"/>
      <c r="C39" s="329">
        <f ca="1">'[59]Tariff 35'!$D$9</f>
        <v>4443000</v>
      </c>
      <c r="D39" s="245">
        <f ca="1">'[58]Exhibit No.__(JAP-Tariff)'!E82</f>
        <v>4.8598000000000002E-2</v>
      </c>
      <c r="E39" s="330"/>
      <c r="F39" s="330">
        <f t="shared" ref="F39" ca="1" si="4">ROUND($C39*D39,0)</f>
        <v>215921</v>
      </c>
      <c r="G39" s="245">
        <f ca="1">ROUND(D39*(1+$M$54),6)+L56</f>
        <v>4.9973999999999998E-2</v>
      </c>
      <c r="H39" s="330"/>
      <c r="I39" s="330">
        <f t="shared" ref="I39" ca="1" si="5">ROUND($C39*G39,0)</f>
        <v>222034</v>
      </c>
      <c r="J39" s="330"/>
      <c r="K39" s="509" t="s">
        <v>647</v>
      </c>
      <c r="L39" s="508"/>
      <c r="M39" s="508"/>
    </row>
    <row r="40" spans="1:13" ht="15.75" x14ac:dyDescent="0.25">
      <c r="A40" s="157" t="s">
        <v>210</v>
      </c>
      <c r="B40" s="151"/>
      <c r="C40" s="331">
        <f ca="1">SUM(C39:C39)</f>
        <v>4443000</v>
      </c>
      <c r="D40" s="204"/>
      <c r="E40" s="328"/>
      <c r="F40" s="160">
        <f ca="1">SUM(F39:F39)</f>
        <v>215921</v>
      </c>
      <c r="G40" s="204"/>
      <c r="H40" s="328"/>
      <c r="I40" s="160">
        <f ca="1">SUM(I39:I39)</f>
        <v>222034</v>
      </c>
      <c r="J40" s="156"/>
      <c r="K40" s="287"/>
      <c r="L40" s="288"/>
      <c r="M40" s="288"/>
    </row>
    <row r="41" spans="1:13" ht="15.75" x14ac:dyDescent="0.25">
      <c r="A41" s="163" t="s">
        <v>192</v>
      </c>
      <c r="B41" s="151"/>
      <c r="C41" s="329">
        <f ca="1">'[59]Tariff 35'!$D$11</f>
        <v>0</v>
      </c>
      <c r="D41" s="245">
        <f ca="1">D39</f>
        <v>4.8598000000000002E-2</v>
      </c>
      <c r="E41" s="328"/>
      <c r="F41" s="330">
        <f t="shared" ref="F41:F42" ca="1" si="6">ROUND($C41*D41,0)</f>
        <v>0</v>
      </c>
      <c r="G41" s="245">
        <f ca="1">G39</f>
        <v>4.9973999999999998E-2</v>
      </c>
      <c r="H41" s="328"/>
      <c r="I41" s="330">
        <f t="shared" ref="I41:I42" ca="1" si="7">ROUND($C41*G41,0)</f>
        <v>0</v>
      </c>
      <c r="J41" s="156"/>
      <c r="K41" s="247"/>
      <c r="L41" s="288"/>
      <c r="M41" s="288"/>
    </row>
    <row r="42" spans="1:13" ht="15.75" x14ac:dyDescent="0.25">
      <c r="A42" s="168" t="s">
        <v>193</v>
      </c>
      <c r="B42" s="151"/>
      <c r="C42" s="296">
        <f ca="1">'[59]Tariff 35'!$D$10</f>
        <v>9600</v>
      </c>
      <c r="D42" s="245">
        <f ca="1">ROUND(SUM(F37,F40,F47,F49)/C40,6)</f>
        <v>5.5745999999999997E-2</v>
      </c>
      <c r="E42" s="292"/>
      <c r="F42" s="330">
        <f t="shared" ca="1" si="6"/>
        <v>535</v>
      </c>
      <c r="G42" s="245">
        <f ca="1">ROUND(D42*(1+$M$52),6)</f>
        <v>5.7319000000000002E-2</v>
      </c>
      <c r="H42" s="292"/>
      <c r="I42" s="330">
        <f t="shared" ca="1" si="7"/>
        <v>550</v>
      </c>
      <c r="J42" s="162"/>
      <c r="K42" s="509" t="s">
        <v>189</v>
      </c>
      <c r="L42" s="508"/>
      <c r="M42" s="508"/>
    </row>
    <row r="43" spans="1:13" ht="15.75" x14ac:dyDescent="0.25">
      <c r="A43" s="157" t="s">
        <v>210</v>
      </c>
      <c r="B43" s="151"/>
      <c r="C43" s="331">
        <f ca="1">SUM(C40:C42)</f>
        <v>4452600</v>
      </c>
      <c r="D43" s="292"/>
      <c r="E43" s="292"/>
      <c r="F43" s="160">
        <f ca="1">SUM(F40:F42)</f>
        <v>216456</v>
      </c>
      <c r="G43" s="292"/>
      <c r="H43" s="292"/>
      <c r="I43" s="160">
        <f ca="1">SUM(I40:I42)</f>
        <v>222584</v>
      </c>
      <c r="J43" s="162"/>
      <c r="K43" s="247"/>
      <c r="L43" s="288"/>
      <c r="M43" s="288"/>
    </row>
    <row r="44" spans="1:13" ht="15.75" x14ac:dyDescent="0.25">
      <c r="A44" s="292" t="s">
        <v>194</v>
      </c>
      <c r="B44" s="151"/>
      <c r="C44" s="329"/>
      <c r="D44" s="222"/>
      <c r="E44" s="328"/>
      <c r="F44" s="330"/>
      <c r="G44" s="222"/>
      <c r="H44" s="328"/>
      <c r="I44" s="330"/>
      <c r="J44" s="330"/>
      <c r="K44" s="247"/>
      <c r="L44" s="332"/>
      <c r="M44" s="288"/>
    </row>
    <row r="45" spans="1:13" ht="15.75" x14ac:dyDescent="0.25">
      <c r="A45" s="163" t="s">
        <v>363</v>
      </c>
      <c r="B45" s="151"/>
      <c r="C45" s="329">
        <f ca="1">'[59]Tariff 35'!$D$15</f>
        <v>204</v>
      </c>
      <c r="D45" s="217">
        <f ca="1">'[58]Exhibit No.__(JAP-Tariff)'!E84</f>
        <v>4.49</v>
      </c>
      <c r="E45" s="328"/>
      <c r="F45" s="330">
        <f ca="1">ROUND(D45*$C45,0)</f>
        <v>916</v>
      </c>
      <c r="G45" s="217">
        <f ca="1">ROUND(D45*(1+$M$54),2)</f>
        <v>4.62</v>
      </c>
      <c r="H45" s="328"/>
      <c r="I45" s="330">
        <f ca="1">ROUND(G45*$C45,0)</f>
        <v>942</v>
      </c>
      <c r="J45" s="330"/>
      <c r="K45" s="509" t="s">
        <v>647</v>
      </c>
      <c r="L45" s="508"/>
      <c r="M45" s="508"/>
    </row>
    <row r="46" spans="1:13" ht="15.75" x14ac:dyDescent="0.25">
      <c r="A46" s="163" t="s">
        <v>364</v>
      </c>
      <c r="B46" s="151"/>
      <c r="C46" s="329">
        <f ca="1">'[59]Tariff 35'!$D$16</f>
        <v>8102</v>
      </c>
      <c r="D46" s="217">
        <f ca="1">'[58]Exhibit No.__(JAP-Tariff)'!E85</f>
        <v>2.99</v>
      </c>
      <c r="E46" s="328"/>
      <c r="F46" s="330">
        <f ca="1">ROUND(D46*$C46,0)</f>
        <v>24225</v>
      </c>
      <c r="G46" s="217">
        <f ca="1">ROUND(D46*(1+$M$54),2)</f>
        <v>3.08</v>
      </c>
      <c r="H46" s="328"/>
      <c r="I46" s="330">
        <f ca="1">ROUND(G46*$C46,0)</f>
        <v>24954</v>
      </c>
      <c r="J46" s="330"/>
      <c r="K46" s="509" t="s">
        <v>647</v>
      </c>
      <c r="L46" s="508"/>
      <c r="M46" s="508"/>
    </row>
    <row r="47" spans="1:13" ht="15.75" x14ac:dyDescent="0.25">
      <c r="A47" s="157" t="s">
        <v>210</v>
      </c>
      <c r="B47" s="151"/>
      <c r="C47" s="331">
        <f ca="1">SUM(C45:C46)</f>
        <v>8306</v>
      </c>
      <c r="D47" s="222"/>
      <c r="E47" s="328"/>
      <c r="F47" s="333">
        <f ca="1">SUM(F45:F46)</f>
        <v>25141</v>
      </c>
      <c r="G47" s="222"/>
      <c r="H47" s="328"/>
      <c r="I47" s="333">
        <f ca="1">SUM(I45:I46)</f>
        <v>25896</v>
      </c>
      <c r="J47" s="330"/>
      <c r="K47" s="247"/>
      <c r="L47" s="288"/>
      <c r="M47" s="288"/>
    </row>
    <row r="48" spans="1:13" ht="15.75" x14ac:dyDescent="0.25">
      <c r="A48" s="151"/>
      <c r="B48" s="151"/>
      <c r="C48" s="296"/>
      <c r="D48" s="296"/>
      <c r="E48" s="292"/>
      <c r="F48" s="162"/>
      <c r="G48" s="296"/>
      <c r="H48" s="292"/>
      <c r="I48" s="162"/>
      <c r="J48" s="162"/>
      <c r="K48" s="247"/>
      <c r="L48" s="288"/>
      <c r="M48" s="288"/>
    </row>
    <row r="49" spans="1:13" ht="15.75" x14ac:dyDescent="0.25">
      <c r="A49" s="151" t="s">
        <v>88</v>
      </c>
      <c r="B49" s="151"/>
      <c r="C49" s="329">
        <f ca="1">'[59]Tariff 35'!$D$19</f>
        <v>2355612</v>
      </c>
      <c r="D49" s="246">
        <f ca="1">'[58]Exhibit No.__(JAP-Tariff)'!E87</f>
        <v>1.08E-3</v>
      </c>
      <c r="E49" s="328"/>
      <c r="F49" s="330">
        <f ca="1">ROUND(D49*$C49,0)</f>
        <v>2544</v>
      </c>
      <c r="G49" s="246">
        <f ca="1">ROUND(D49*(1+$M$54),5)</f>
        <v>1.1100000000000001E-3</v>
      </c>
      <c r="H49" s="328"/>
      <c r="I49" s="330">
        <f ca="1">ROUND(G49*$C49,0)</f>
        <v>2615</v>
      </c>
      <c r="J49" s="162"/>
      <c r="K49" s="509" t="s">
        <v>647</v>
      </c>
      <c r="L49" s="508"/>
      <c r="M49" s="508"/>
    </row>
    <row r="50" spans="1:13" ht="15.75" x14ac:dyDescent="0.25">
      <c r="A50" s="151"/>
      <c r="B50" s="151"/>
      <c r="C50" s="296"/>
      <c r="D50" s="296"/>
      <c r="E50" s="292"/>
      <c r="F50" s="162"/>
      <c r="G50" s="296"/>
      <c r="H50" s="292"/>
      <c r="I50" s="162"/>
      <c r="J50" s="162"/>
      <c r="K50" s="334"/>
      <c r="L50" s="332"/>
      <c r="M50" s="288"/>
    </row>
    <row r="51" spans="1:13" ht="16.5" thickBot="1" x14ac:dyDescent="0.3">
      <c r="A51" s="151" t="s">
        <v>351</v>
      </c>
      <c r="B51" s="151"/>
      <c r="C51" s="296"/>
      <c r="D51" s="296"/>
      <c r="E51" s="292"/>
      <c r="F51" s="335">
        <f ca="1">SUM(F37,F43,F47,F49)</f>
        <v>248215</v>
      </c>
      <c r="G51" s="296"/>
      <c r="H51" s="292"/>
      <c r="I51" s="335">
        <f ca="1">SUM(I37,I43,I47,I49)</f>
        <v>255219</v>
      </c>
      <c r="J51" s="336"/>
      <c r="K51" s="37"/>
      <c r="L51" s="341"/>
      <c r="M51" s="341"/>
    </row>
    <row r="52" spans="1:13" ht="16.5" thickTop="1" x14ac:dyDescent="0.25">
      <c r="A52" s="151"/>
      <c r="B52" s="337"/>
      <c r="C52" s="296"/>
      <c r="D52" s="296"/>
      <c r="E52" s="151"/>
      <c r="F52" s="156"/>
      <c r="G52" s="296"/>
      <c r="H52" s="151"/>
      <c r="I52" s="156"/>
      <c r="J52" s="156"/>
      <c r="K52" s="338" t="s">
        <v>648</v>
      </c>
      <c r="L52" s="339">
        <f ca="1">'[58]Exhibit No.__(JAP-Rate Spread)'!M18</f>
        <v>7005.3100210298608</v>
      </c>
      <c r="M52" s="295">
        <f ca="1">L52/F51</f>
        <v>2.822275052285261E-2</v>
      </c>
    </row>
    <row r="53" spans="1:13" ht="15.75" x14ac:dyDescent="0.25">
      <c r="A53" s="151"/>
      <c r="B53" s="337"/>
      <c r="C53" s="296"/>
      <c r="D53" s="296"/>
      <c r="E53" s="151"/>
      <c r="F53" s="156"/>
      <c r="G53" s="296"/>
      <c r="H53" s="151"/>
      <c r="I53" s="156"/>
      <c r="J53" s="156"/>
      <c r="K53" s="342" t="s">
        <v>649</v>
      </c>
      <c r="L53" s="343">
        <f ca="1">-(I37-F37)</f>
        <v>-50</v>
      </c>
      <c r="M53" s="344"/>
    </row>
    <row r="54" spans="1:13" ht="15.75" x14ac:dyDescent="0.25">
      <c r="A54" s="151"/>
      <c r="B54" s="337"/>
      <c r="C54" s="296"/>
      <c r="D54" s="296"/>
      <c r="E54" s="151"/>
      <c r="F54" s="156"/>
      <c r="G54" s="296"/>
      <c r="H54" s="151"/>
      <c r="I54" s="156"/>
      <c r="J54" s="156"/>
      <c r="K54" s="342" t="s">
        <v>650</v>
      </c>
      <c r="L54" s="343">
        <f ca="1">SUM(L52:L53)</f>
        <v>6955.3100210298608</v>
      </c>
      <c r="M54" s="345">
        <f ca="1">L54/(F51-F37)</f>
        <v>2.8488906087178561E-2</v>
      </c>
    </row>
    <row r="55" spans="1:13" ht="15.75" x14ac:dyDescent="0.25">
      <c r="A55" s="151"/>
      <c r="B55" s="337"/>
      <c r="C55" s="296"/>
      <c r="D55" s="296"/>
      <c r="E55" s="151"/>
      <c r="F55" s="156"/>
      <c r="G55" s="296"/>
      <c r="H55" s="151"/>
      <c r="I55" s="156"/>
      <c r="J55" s="156"/>
      <c r="K55" s="346" t="s">
        <v>46</v>
      </c>
      <c r="L55" s="340">
        <f ca="1">L52-(I51-F51)</f>
        <v>1.3100210298607635</v>
      </c>
      <c r="M55" s="308" t="s">
        <v>235</v>
      </c>
    </row>
    <row r="56" spans="1:13" ht="15.75" x14ac:dyDescent="0.25">
      <c r="A56" s="151"/>
      <c r="B56" s="337"/>
      <c r="C56" s="296"/>
      <c r="D56" s="296"/>
      <c r="E56" s="151"/>
      <c r="F56" s="156"/>
      <c r="G56" s="296"/>
      <c r="H56" s="151"/>
      <c r="I56" s="156"/>
      <c r="J56" s="156"/>
      <c r="K56" s="177" t="s">
        <v>643</v>
      </c>
      <c r="L56" s="305">
        <f ca="1">'[58]Exhibit No.__(JAP-PV RD)'!$L$56</f>
        <v>-9.0000000000000002E-6</v>
      </c>
      <c r="M56" s="305">
        <f ca="1">L55/C39</f>
        <v>2.9485055815007056E-7</v>
      </c>
    </row>
    <row r="57" spans="1:13" ht="15.75" x14ac:dyDescent="0.25">
      <c r="A57" s="150" t="s">
        <v>379</v>
      </c>
      <c r="B57" s="151"/>
      <c r="C57" s="216"/>
      <c r="D57" s="156"/>
      <c r="E57" s="151"/>
      <c r="F57" s="151"/>
      <c r="G57" s="156"/>
      <c r="H57" s="151"/>
      <c r="I57" s="156" t="s">
        <v>235</v>
      </c>
      <c r="J57" s="156"/>
      <c r="K57" s="37"/>
      <c r="L57" s="37"/>
      <c r="M57" s="37"/>
    </row>
    <row r="58" spans="1:13" ht="15.75" x14ac:dyDescent="0.25">
      <c r="A58" s="153" t="s">
        <v>380</v>
      </c>
      <c r="B58" s="151"/>
      <c r="C58" s="151" t="s">
        <v>235</v>
      </c>
      <c r="D58" s="156"/>
      <c r="E58" s="151"/>
      <c r="F58" s="151"/>
      <c r="G58" s="156"/>
      <c r="H58" s="151"/>
      <c r="I58" s="151"/>
      <c r="J58" s="151"/>
      <c r="K58" s="37"/>
      <c r="L58" s="37"/>
      <c r="M58" s="37"/>
    </row>
    <row r="59" spans="1:13" ht="15.75" x14ac:dyDescent="0.25">
      <c r="A59" s="328"/>
      <c r="B59" s="151"/>
      <c r="C59" s="151"/>
      <c r="D59" s="156"/>
      <c r="E59" s="151"/>
      <c r="F59" s="151"/>
      <c r="G59" s="156"/>
      <c r="H59" s="151"/>
      <c r="I59" s="151"/>
      <c r="J59" s="151"/>
      <c r="K59" s="287"/>
      <c r="L59" s="288"/>
      <c r="M59" s="288"/>
    </row>
    <row r="60" spans="1:13" ht="15.75" x14ac:dyDescent="0.25">
      <c r="A60" s="328" t="s">
        <v>21</v>
      </c>
      <c r="B60" s="151"/>
      <c r="C60" s="329">
        <f ca="1">'[59]Tariff 43'!$D$6</f>
        <v>1904</v>
      </c>
      <c r="D60" s="217">
        <f ca="1">'[58]Exhibit No.__(JAP-Tariff)'!E90</f>
        <v>339.51</v>
      </c>
      <c r="E60" s="328"/>
      <c r="F60" s="330">
        <f ca="1">ROUND(D60*$C60,0)</f>
        <v>646427</v>
      </c>
      <c r="G60" s="217">
        <f ca="1">G15</f>
        <v>343.66</v>
      </c>
      <c r="H60" s="328"/>
      <c r="I60" s="330">
        <f ca="1">ROUND(G60*$C60,0)</f>
        <v>654329</v>
      </c>
      <c r="J60" s="330"/>
      <c r="K60" s="508" t="s">
        <v>206</v>
      </c>
      <c r="L60" s="508"/>
      <c r="M60" s="508"/>
    </row>
    <row r="61" spans="1:13" ht="15.75" x14ac:dyDescent="0.25">
      <c r="A61" s="328" t="s">
        <v>190</v>
      </c>
      <c r="B61" s="151"/>
      <c r="C61" s="329"/>
      <c r="D61" s="219"/>
      <c r="E61" s="330"/>
      <c r="F61" s="330"/>
      <c r="G61" s="219"/>
      <c r="H61" s="330"/>
      <c r="I61" s="330"/>
      <c r="J61" s="330"/>
      <c r="K61" s="287"/>
      <c r="L61" s="288"/>
      <c r="M61" s="288"/>
    </row>
    <row r="62" spans="1:13" ht="15.75" x14ac:dyDescent="0.25">
      <c r="A62" s="163" t="s">
        <v>76</v>
      </c>
      <c r="B62" s="151"/>
      <c r="C62" s="329">
        <f ca="1">'[59]Tariff 43'!$D$9</f>
        <v>116386804</v>
      </c>
      <c r="D62" s="245">
        <f ca="1">'[58]Exhibit No.__(JAP-Tariff)'!E92</f>
        <v>5.5893999999999999E-2</v>
      </c>
      <c r="E62" s="330"/>
      <c r="F62" s="330">
        <f t="shared" ref="F62" ca="1" si="8">ROUND($C62*D62,0)</f>
        <v>6505324</v>
      </c>
      <c r="G62" s="165">
        <f ca="1">ROUND((L77-I60-I65-I68-I73)/SUM(C63:C64),6)</f>
        <v>5.7135999999999999E-2</v>
      </c>
      <c r="H62" s="330"/>
      <c r="I62" s="330">
        <f t="shared" ref="I62" ca="1" si="9">ROUND($C62*G62,0)</f>
        <v>6649876</v>
      </c>
      <c r="J62" s="330"/>
      <c r="K62" s="508" t="s">
        <v>207</v>
      </c>
      <c r="L62" s="508"/>
      <c r="M62" s="508"/>
    </row>
    <row r="63" spans="1:13" ht="15.75" x14ac:dyDescent="0.25">
      <c r="A63" s="157" t="s">
        <v>210</v>
      </c>
      <c r="B63" s="151"/>
      <c r="C63" s="331">
        <f ca="1">SUM(C62:C62)</f>
        <v>116386804</v>
      </c>
      <c r="D63" s="204"/>
      <c r="E63" s="328"/>
      <c r="F63" s="160">
        <f ca="1">SUM(F62:F62)</f>
        <v>6505324</v>
      </c>
      <c r="G63" s="204"/>
      <c r="H63" s="328"/>
      <c r="I63" s="160">
        <f ca="1">SUM(I62:I62)</f>
        <v>6649876</v>
      </c>
      <c r="J63" s="156"/>
      <c r="K63" s="248"/>
      <c r="L63" s="288"/>
      <c r="M63" s="288"/>
    </row>
    <row r="64" spans="1:13" ht="15.75" x14ac:dyDescent="0.25">
      <c r="A64" s="163" t="s">
        <v>192</v>
      </c>
      <c r="B64" s="151"/>
      <c r="C64" s="329">
        <f ca="1">'[59]Tariff 43'!$D$11</f>
        <v>3836119.7974334164</v>
      </c>
      <c r="D64" s="245">
        <f ca="1">D62</f>
        <v>5.5893999999999999E-2</v>
      </c>
      <c r="E64" s="328"/>
      <c r="F64" s="330">
        <f t="shared" ref="F64:F65" ca="1" si="10">ROUND($C64*D64,0)</f>
        <v>214416</v>
      </c>
      <c r="G64" s="245">
        <f ca="1">G62</f>
        <v>5.7135999999999999E-2</v>
      </c>
      <c r="H64" s="328"/>
      <c r="I64" s="330">
        <f t="shared" ref="I64:I65" ca="1" si="11">ROUND($C64*G64,0)</f>
        <v>219181</v>
      </c>
      <c r="J64" s="156"/>
      <c r="K64" s="249"/>
      <c r="L64" s="288"/>
      <c r="M64" s="288"/>
    </row>
    <row r="65" spans="1:13" ht="15.75" x14ac:dyDescent="0.25">
      <c r="A65" s="168" t="s">
        <v>193</v>
      </c>
      <c r="B65" s="151"/>
      <c r="C65" s="296">
        <f ca="1">'[59]Tariff 43'!$D$10</f>
        <v>-562522.33265664149</v>
      </c>
      <c r="D65" s="245">
        <f ca="1">ROUND(SUM(F60,F63:F64,F69,F73)/SUM(C63:C64),6)</f>
        <v>8.6392999999999998E-2</v>
      </c>
      <c r="E65" s="292"/>
      <c r="F65" s="330">
        <f t="shared" ca="1" si="10"/>
        <v>-48598</v>
      </c>
      <c r="G65" s="245">
        <f ca="1">ROUND(D65*(1+$M$77),6)</f>
        <v>8.8017999999999999E-2</v>
      </c>
      <c r="H65" s="292"/>
      <c r="I65" s="330">
        <f t="shared" ca="1" si="11"/>
        <v>-49512</v>
      </c>
      <c r="J65" s="162"/>
      <c r="K65" s="508" t="s">
        <v>189</v>
      </c>
      <c r="L65" s="508"/>
      <c r="M65" s="508"/>
    </row>
    <row r="66" spans="1:13" ht="15.75" x14ac:dyDescent="0.25">
      <c r="A66" s="157" t="s">
        <v>210</v>
      </c>
      <c r="B66" s="151"/>
      <c r="C66" s="331">
        <f ca="1">SUM(C63:C65)</f>
        <v>119660401.46477678</v>
      </c>
      <c r="D66" s="292"/>
      <c r="E66" s="292"/>
      <c r="F66" s="160">
        <f ca="1">SUM(F63:F65)</f>
        <v>6671142</v>
      </c>
      <c r="G66" s="292"/>
      <c r="H66" s="292"/>
      <c r="I66" s="160">
        <f ca="1">SUM(I63:I65)</f>
        <v>6819545</v>
      </c>
      <c r="J66" s="162"/>
      <c r="K66" s="247"/>
      <c r="L66" s="288"/>
      <c r="M66" s="288"/>
    </row>
    <row r="67" spans="1:13" ht="15.75" x14ac:dyDescent="0.25">
      <c r="A67" s="292" t="s">
        <v>194</v>
      </c>
      <c r="B67" s="151"/>
      <c r="C67" s="329"/>
      <c r="D67" s="222"/>
      <c r="E67" s="328"/>
      <c r="F67" s="330"/>
      <c r="G67" s="222"/>
      <c r="H67" s="328"/>
      <c r="I67" s="330"/>
      <c r="J67" s="330"/>
      <c r="K67" s="247"/>
      <c r="L67" s="332"/>
      <c r="M67" s="288"/>
    </row>
    <row r="68" spans="1:13" ht="15.75" x14ac:dyDescent="0.25">
      <c r="A68" s="163" t="s">
        <v>381</v>
      </c>
      <c r="B68" s="151"/>
      <c r="C68" s="329">
        <f ca="1">'[59]Tariff 43'!$D$14</f>
        <v>604733</v>
      </c>
      <c r="D68" s="217">
        <f ca="1">'[58]Exhibit No.__(JAP-Tariff)'!E94</f>
        <v>4.75</v>
      </c>
      <c r="E68" s="328"/>
      <c r="F68" s="330">
        <f ca="1">ROUND(D68*$C68,0)</f>
        <v>2872482</v>
      </c>
      <c r="G68" s="217">
        <f ca="1">ROUND(D68*(1+$M$31),2)</f>
        <v>4.8099999999999996</v>
      </c>
      <c r="H68" s="328"/>
      <c r="I68" s="330">
        <f ca="1">ROUND(G68*$C68,0)</f>
        <v>2908766</v>
      </c>
      <c r="J68" s="330"/>
      <c r="K68" s="508" t="s">
        <v>189</v>
      </c>
      <c r="L68" s="508"/>
      <c r="M68" s="508"/>
    </row>
    <row r="69" spans="1:13" ht="15.75" x14ac:dyDescent="0.25">
      <c r="A69" s="157" t="s">
        <v>210</v>
      </c>
      <c r="B69" s="151"/>
      <c r="C69" s="331">
        <f ca="1">SUM(C68:C68)</f>
        <v>604733</v>
      </c>
      <c r="D69" s="222"/>
      <c r="E69" s="328"/>
      <c r="F69" s="333">
        <f ca="1">SUM(F68:F68)</f>
        <v>2872482</v>
      </c>
      <c r="G69" s="222"/>
      <c r="H69" s="328"/>
      <c r="I69" s="333">
        <f ca="1">SUM(I68:I68)</f>
        <v>2908766</v>
      </c>
      <c r="J69" s="330"/>
      <c r="K69" s="247"/>
      <c r="L69" s="288"/>
      <c r="M69" s="288"/>
    </row>
    <row r="70" spans="1:13" ht="15.75" x14ac:dyDescent="0.25">
      <c r="A70" s="151"/>
      <c r="B70" s="151"/>
      <c r="C70" s="296"/>
      <c r="D70" s="296"/>
      <c r="E70" s="292"/>
      <c r="F70" s="162"/>
      <c r="G70" s="296"/>
      <c r="H70" s="292"/>
      <c r="I70" s="162"/>
      <c r="J70" s="162"/>
      <c r="K70" s="247"/>
      <c r="L70" s="288"/>
      <c r="M70" s="288"/>
    </row>
    <row r="71" spans="1:13" ht="15.75" x14ac:dyDescent="0.25">
      <c r="A71" s="37" t="s">
        <v>382</v>
      </c>
      <c r="B71" s="151"/>
      <c r="C71" s="329">
        <v>0</v>
      </c>
      <c r="D71" s="347">
        <f ca="1">ROUND(D23-D68,2)</f>
        <v>6.57</v>
      </c>
      <c r="E71" s="292"/>
      <c r="F71" s="330">
        <f ca="1">ROUND(D71*$C71,0)</f>
        <v>0</v>
      </c>
      <c r="G71" s="347">
        <f ca="1">ROUND(G23-G68,2)</f>
        <v>6.65</v>
      </c>
      <c r="H71" s="292"/>
      <c r="I71" s="330">
        <f ca="1">ROUND(G71*$C71,0)</f>
        <v>0</v>
      </c>
      <c r="J71" s="162"/>
      <c r="K71" s="508" t="s">
        <v>383</v>
      </c>
      <c r="L71" s="508"/>
      <c r="M71" s="508"/>
    </row>
    <row r="72" spans="1:13" ht="15.75" x14ac:dyDescent="0.25">
      <c r="A72" s="151"/>
      <c r="B72" s="151"/>
      <c r="C72" s="296"/>
      <c r="D72" s="296"/>
      <c r="E72" s="292"/>
      <c r="F72" s="162"/>
      <c r="G72" s="296"/>
      <c r="H72" s="292"/>
      <c r="I72" s="162"/>
      <c r="J72" s="162"/>
      <c r="K72" s="247"/>
      <c r="L72" s="288"/>
      <c r="M72" s="288"/>
    </row>
    <row r="73" spans="1:13" ht="15.75" x14ac:dyDescent="0.25">
      <c r="A73" s="151" t="s">
        <v>88</v>
      </c>
      <c r="B73" s="151"/>
      <c r="C73" s="329">
        <f ca="1">'[59]Tariff 43'!$D$16</f>
        <v>49257775</v>
      </c>
      <c r="D73" s="246">
        <f ca="1">'[58]Exhibit No.__(JAP-Tariff)'!E98</f>
        <v>3.0000000000000001E-3</v>
      </c>
      <c r="E73" s="328"/>
      <c r="F73" s="330">
        <f ca="1">ROUND(D73*$C73,0)</f>
        <v>147773</v>
      </c>
      <c r="G73" s="246">
        <f ca="1">ROUND(D73*(1+$M$31),5)</f>
        <v>3.0400000000000002E-3</v>
      </c>
      <c r="H73" s="328"/>
      <c r="I73" s="330">
        <f ca="1">ROUND(G73*$C73,0)</f>
        <v>149744</v>
      </c>
      <c r="J73" s="162"/>
      <c r="K73" s="508" t="s">
        <v>189</v>
      </c>
      <c r="L73" s="508"/>
      <c r="M73" s="508"/>
    </row>
    <row r="74" spans="1:13" ht="15.75" x14ac:dyDescent="0.25">
      <c r="A74" s="151"/>
      <c r="B74" s="151"/>
      <c r="C74" s="296"/>
      <c r="D74" s="296"/>
      <c r="E74" s="292"/>
      <c r="F74" s="162"/>
      <c r="G74" s="296"/>
      <c r="H74" s="292"/>
      <c r="I74" s="162"/>
      <c r="J74" s="162"/>
      <c r="K74" s="334"/>
      <c r="L74" s="332"/>
      <c r="M74" s="288"/>
    </row>
    <row r="75" spans="1:13" ht="16.5" thickBot="1" x14ac:dyDescent="0.3">
      <c r="A75" s="151" t="s">
        <v>351</v>
      </c>
      <c r="B75" s="151"/>
      <c r="C75" s="296"/>
      <c r="D75" s="296"/>
      <c r="E75" s="292"/>
      <c r="F75" s="335">
        <f ca="1">SUM(F60,F66,F69,F73)</f>
        <v>10337824</v>
      </c>
      <c r="G75" s="296"/>
      <c r="H75" s="292"/>
      <c r="I75" s="335">
        <f ca="1">SUM(I60,I66,I69,I73)</f>
        <v>10532384</v>
      </c>
      <c r="J75" s="336"/>
      <c r="K75" s="334"/>
      <c r="L75" s="332"/>
      <c r="M75" s="288"/>
    </row>
    <row r="76" spans="1:13" ht="16.5" thickTop="1" x14ac:dyDescent="0.25">
      <c r="A76" s="151"/>
      <c r="B76" s="337"/>
      <c r="C76" s="296"/>
      <c r="D76" s="296"/>
      <c r="E76" s="151"/>
      <c r="F76" s="156"/>
      <c r="G76" s="296"/>
      <c r="H76" s="151"/>
      <c r="I76" s="156"/>
      <c r="J76" s="156"/>
      <c r="K76" s="334"/>
      <c r="L76" s="332"/>
      <c r="M76" s="288"/>
    </row>
    <row r="77" spans="1:13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38" t="s">
        <v>384</v>
      </c>
      <c r="L77" s="339">
        <f ca="1">'[58]Exhibit No.__(JAP-Rate Spread)'!K19*1000</f>
        <v>10532331.885134107</v>
      </c>
      <c r="M77" s="295">
        <f ca="1">L77/SUM(F75)-1</f>
        <v>1.8815167015235224E-2</v>
      </c>
    </row>
    <row r="78" spans="1:13" x14ac:dyDescent="0.3">
      <c r="A78" s="37"/>
      <c r="B78" s="151"/>
      <c r="C78" s="216"/>
      <c r="D78" s="156"/>
      <c r="E78" s="151"/>
      <c r="F78" s="151"/>
      <c r="G78" s="156"/>
      <c r="H78" s="151"/>
      <c r="I78" s="156" t="s">
        <v>235</v>
      </c>
      <c r="J78" s="156"/>
      <c r="K78" s="297" t="s">
        <v>46</v>
      </c>
      <c r="L78" s="340">
        <f ca="1">L77-I75-I97</f>
        <v>-52.114865893498063</v>
      </c>
      <c r="M78" s="308" t="s">
        <v>235</v>
      </c>
    </row>
    <row r="79" spans="1:13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41"/>
      <c r="M79" s="341"/>
    </row>
    <row r="80" spans="1:13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41"/>
      <c r="M80" s="341"/>
    </row>
    <row r="81" spans="1:13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41"/>
      <c r="M81" s="341"/>
    </row>
    <row r="82" spans="1:13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41"/>
      <c r="M82" s="341"/>
    </row>
    <row r="83" spans="1:13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41"/>
      <c r="M83" s="341"/>
    </row>
    <row r="84" spans="1:13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41"/>
      <c r="M84" s="341"/>
    </row>
  </sheetData>
  <mergeCells count="24">
    <mergeCell ref="K73:M73"/>
    <mergeCell ref="K37:M37"/>
    <mergeCell ref="K39:M39"/>
    <mergeCell ref="K42:M42"/>
    <mergeCell ref="K45:M45"/>
    <mergeCell ref="K46:M46"/>
    <mergeCell ref="K49:M49"/>
    <mergeCell ref="K60:M60"/>
    <mergeCell ref="K62:M62"/>
    <mergeCell ref="K65:M65"/>
    <mergeCell ref="K68:M68"/>
    <mergeCell ref="K71:M71"/>
    <mergeCell ref="K27:M27"/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</mergeCells>
  <printOptions horizontalCentered="1"/>
  <pageMargins left="0.7" right="0.7" top="0.75" bottom="0.71" header="0.3" footer="0.3"/>
  <pageSetup scale="65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3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H83"/>
  <sheetViews>
    <sheetView zoomScale="75" zoomScaleNormal="75" zoomScaleSheetLayoutView="80" workbookViewId="0">
      <pane ySplit="10" topLeftCell="A11" activePane="bottomLeft" state="frozen"/>
      <selection activeCell="G14" sqref="G14:G15"/>
      <selection pane="bottomLeft" activeCell="C31" sqref="C31"/>
    </sheetView>
  </sheetViews>
  <sheetFormatPr defaultColWidth="11.6640625" defaultRowHeight="15.6" x14ac:dyDescent="0.3"/>
  <cols>
    <col min="1" max="1" width="45.44140625" style="135" bestFit="1" customWidth="1"/>
    <col min="2" max="2" width="1.5546875" style="135" bestFit="1" customWidth="1"/>
    <col min="3" max="4" width="21.5546875" style="135" bestFit="1" customWidth="1"/>
    <col min="5" max="5" width="20.109375" style="135" bestFit="1" customWidth="1"/>
    <col min="6" max="6" width="2.33203125" style="135" bestFit="1" customWidth="1"/>
    <col min="7" max="7" width="16.44140625" style="135" bestFit="1" customWidth="1"/>
    <col min="8" max="8" width="15.6640625" style="135" customWidth="1"/>
    <col min="9" max="9" width="2.33203125" style="135" bestFit="1" customWidth="1"/>
    <col min="10" max="10" width="15.6640625" style="135" customWidth="1"/>
    <col min="11" max="11" width="2.5546875" style="135" customWidth="1"/>
    <col min="12" max="12" width="11.109375" style="135" customWidth="1"/>
    <col min="13" max="13" width="13.33203125" style="142" bestFit="1" customWidth="1"/>
    <col min="14" max="14" width="23.109375" style="142" customWidth="1"/>
    <col min="15" max="15" width="8.5546875" style="142" bestFit="1" customWidth="1"/>
    <col min="16" max="16" width="8.109375" style="135" bestFit="1" customWidth="1"/>
    <col min="17" max="18" width="1.5546875" style="135" bestFit="1" customWidth="1"/>
    <col min="19" max="19" width="16.109375" style="135" bestFit="1" customWidth="1"/>
    <col min="20" max="20" width="1.5546875" style="135" bestFit="1" customWidth="1"/>
    <col min="21" max="21" width="15.109375" style="135" bestFit="1" customWidth="1"/>
    <col min="22" max="22" width="14.88671875" style="135" bestFit="1" customWidth="1"/>
    <col min="23" max="23" width="14" style="135" bestFit="1" customWidth="1"/>
    <col min="24" max="24" width="6.33203125" style="135" bestFit="1" customWidth="1"/>
    <col min="25" max="25" width="1.5546875" style="135" bestFit="1" customWidth="1"/>
    <col min="26" max="26" width="11.6640625" style="135" customWidth="1"/>
    <col min="27" max="27" width="13.88671875" style="135" customWidth="1"/>
    <col min="28" max="16384" width="11.6640625" style="135"/>
  </cols>
  <sheetData>
    <row r="1" spans="1:34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136"/>
      <c r="L1" s="287"/>
      <c r="M1" s="288"/>
      <c r="N1" s="288"/>
      <c r="O1" s="134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4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492"/>
      <c r="K2" s="136"/>
      <c r="L2" s="287"/>
      <c r="M2" s="288"/>
      <c r="N2" s="288"/>
      <c r="O2" s="134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4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493"/>
      <c r="K3" s="137"/>
      <c r="L3" s="287"/>
      <c r="M3" s="288"/>
      <c r="N3" s="288"/>
      <c r="O3" s="134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4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494"/>
      <c r="K4" s="138"/>
      <c r="L4" s="287"/>
      <c r="M4" s="288"/>
      <c r="N4" s="288"/>
      <c r="O4" s="134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1:34" ht="15.75" x14ac:dyDescent="0.25">
      <c r="A5" s="139" t="s">
        <v>385</v>
      </c>
      <c r="B5" s="140"/>
      <c r="C5" s="140"/>
      <c r="D5" s="140"/>
      <c r="E5" s="141"/>
      <c r="F5" s="141"/>
      <c r="G5" s="140"/>
      <c r="H5" s="141"/>
      <c r="I5" s="140"/>
      <c r="J5" s="140"/>
      <c r="K5" s="140"/>
      <c r="L5" s="287"/>
      <c r="M5" s="288"/>
      <c r="N5" s="288"/>
      <c r="O5" s="134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</row>
    <row r="6" spans="1:34" ht="15.75" x14ac:dyDescent="0.25">
      <c r="A6" s="139"/>
      <c r="B6" s="140"/>
      <c r="C6" s="140"/>
      <c r="D6" s="140"/>
      <c r="E6" s="141"/>
      <c r="F6" s="141"/>
      <c r="G6" s="140"/>
      <c r="H6" s="141"/>
      <c r="I6" s="140"/>
      <c r="J6" s="140"/>
      <c r="K6" s="140"/>
      <c r="L6" s="287"/>
      <c r="M6" s="288"/>
      <c r="N6" s="288"/>
      <c r="O6" s="134"/>
      <c r="P6" s="134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4" ht="15.75" x14ac:dyDescent="0.25">
      <c r="A7" s="140"/>
      <c r="B7" s="140"/>
      <c r="C7" s="140"/>
      <c r="D7" s="140"/>
      <c r="E7" s="141"/>
      <c r="F7" s="141"/>
      <c r="G7" s="140"/>
      <c r="H7" s="141"/>
      <c r="I7" s="140"/>
      <c r="J7" s="140"/>
      <c r="K7" s="140"/>
      <c r="L7" s="287"/>
      <c r="M7" s="288"/>
      <c r="N7" s="288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</row>
    <row r="8" spans="1:34" ht="15.75" x14ac:dyDescent="0.25">
      <c r="A8" s="143"/>
      <c r="B8" s="143"/>
      <c r="C8" s="144"/>
      <c r="D8" s="144"/>
      <c r="E8" s="145"/>
      <c r="F8" s="145"/>
      <c r="G8" s="37"/>
      <c r="H8" s="145"/>
      <c r="I8" s="146"/>
      <c r="J8" s="146"/>
      <c r="K8" s="146"/>
      <c r="L8" s="287"/>
      <c r="M8" s="288"/>
      <c r="N8" s="288"/>
      <c r="O8" s="134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</row>
    <row r="9" spans="1:34" ht="15.75" x14ac:dyDescent="0.25">
      <c r="A9" s="143"/>
      <c r="B9" s="143"/>
      <c r="C9" s="144" t="s">
        <v>318</v>
      </c>
      <c r="D9" s="144" t="s">
        <v>318</v>
      </c>
      <c r="E9" s="495" t="s">
        <v>320</v>
      </c>
      <c r="F9" s="496"/>
      <c r="G9" s="497"/>
      <c r="H9" s="498" t="str">
        <f ca="1">'[58]Exhibit No.__(JAP-Res RD)'!$G$9</f>
        <v>Proposed Effective December 2017</v>
      </c>
      <c r="I9" s="510"/>
      <c r="J9" s="511"/>
      <c r="K9" s="146"/>
      <c r="L9" s="287"/>
      <c r="M9" s="288"/>
      <c r="N9" s="288"/>
      <c r="O9" s="134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</row>
    <row r="10" spans="1:34" ht="15.75" x14ac:dyDescent="0.25">
      <c r="A10" s="143"/>
      <c r="B10" s="143"/>
      <c r="C10" s="147" t="s">
        <v>335</v>
      </c>
      <c r="D10" s="147" t="s">
        <v>39</v>
      </c>
      <c r="E10" s="148" t="s">
        <v>336</v>
      </c>
      <c r="F10" s="149"/>
      <c r="G10" s="146" t="s">
        <v>337</v>
      </c>
      <c r="H10" s="148" t="s">
        <v>336</v>
      </c>
      <c r="I10" s="148"/>
      <c r="J10" s="148" t="s">
        <v>337</v>
      </c>
      <c r="K10" s="148"/>
      <c r="L10" s="287"/>
      <c r="M10" s="288"/>
      <c r="N10" s="288"/>
      <c r="O10" s="134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</row>
    <row r="11" spans="1:34" ht="15.75" x14ac:dyDescent="0.25">
      <c r="A11" s="37"/>
      <c r="B11" s="37"/>
      <c r="C11" s="326"/>
      <c r="D11" s="326"/>
      <c r="E11" s="292" t="s">
        <v>235</v>
      </c>
      <c r="F11" s="326"/>
      <c r="G11" s="327"/>
      <c r="H11" s="151" t="s">
        <v>235</v>
      </c>
      <c r="I11" s="326"/>
      <c r="J11" s="156" t="s">
        <v>235</v>
      </c>
      <c r="K11" s="156"/>
      <c r="L11" s="287"/>
      <c r="M11" s="288"/>
      <c r="N11" s="288"/>
      <c r="O11" s="134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H11" s="179"/>
    </row>
    <row r="12" spans="1:34" ht="15.75" x14ac:dyDescent="0.25">
      <c r="A12" s="150" t="s">
        <v>386</v>
      </c>
      <c r="B12" s="151"/>
      <c r="C12" s="216"/>
      <c r="D12" s="216"/>
      <c r="E12" s="156"/>
      <c r="F12" s="151"/>
      <c r="G12" s="151"/>
      <c r="H12" s="156"/>
      <c r="I12" s="151"/>
      <c r="J12" s="156" t="s">
        <v>235</v>
      </c>
      <c r="K12" s="156"/>
      <c r="L12" s="37"/>
      <c r="M12" s="37"/>
      <c r="N12" s="37"/>
      <c r="O12" s="134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</row>
    <row r="13" spans="1:34" ht="15.75" x14ac:dyDescent="0.25">
      <c r="A13" s="153" t="s">
        <v>387</v>
      </c>
      <c r="B13" s="151"/>
      <c r="C13" s="151" t="s">
        <v>235</v>
      </c>
      <c r="D13" s="151"/>
      <c r="E13" s="156"/>
      <c r="F13" s="151"/>
      <c r="G13" s="151"/>
      <c r="H13" s="156"/>
      <c r="I13" s="151"/>
      <c r="J13" s="151"/>
      <c r="K13" s="151"/>
      <c r="L13" s="37"/>
      <c r="M13" s="37"/>
      <c r="N13" s="37"/>
      <c r="O13" s="134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34" ht="15.75" x14ac:dyDescent="0.25">
      <c r="A14" s="328" t="s">
        <v>188</v>
      </c>
      <c r="B14" s="151"/>
      <c r="C14" s="151"/>
      <c r="D14" s="151"/>
      <c r="E14" s="156"/>
      <c r="F14" s="151"/>
      <c r="G14" s="151"/>
      <c r="H14" s="156"/>
      <c r="I14" s="151"/>
      <c r="J14" s="151"/>
      <c r="K14" s="151"/>
      <c r="L14" s="37"/>
      <c r="M14" s="37"/>
      <c r="N14" s="37"/>
      <c r="O14" s="134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34" ht="15.75" x14ac:dyDescent="0.25">
      <c r="A15" s="163" t="s">
        <v>388</v>
      </c>
      <c r="B15" s="151"/>
      <c r="C15" s="329">
        <f ca="1">SUM('[59]Tariff 40'!D6,'[59]Tariff 40'!D9)</f>
        <v>495</v>
      </c>
      <c r="D15" s="329"/>
      <c r="E15" s="217">
        <f ca="1">'[58]Exhibit No.__(JAP-Tariff)'!E103</f>
        <v>51.67</v>
      </c>
      <c r="F15" s="328"/>
      <c r="G15" s="330">
        <f t="shared" ref="G15:G17" ca="1" si="0">ROUND(E15*$C15,0)</f>
        <v>25577</v>
      </c>
      <c r="H15" s="217">
        <f ca="1">'[58]Exhibit No.__(JAP-SV RD)'!G31</f>
        <v>52.3</v>
      </c>
      <c r="I15" s="328"/>
      <c r="J15" s="330">
        <f t="shared" ref="J15:J17" ca="1" si="1">ROUND(H15*$C15,0)</f>
        <v>25889</v>
      </c>
      <c r="K15" s="330"/>
      <c r="L15" s="508" t="s">
        <v>389</v>
      </c>
      <c r="M15" s="508"/>
      <c r="N15" s="508"/>
      <c r="O15" s="134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</row>
    <row r="16" spans="1:34" ht="15.75" x14ac:dyDescent="0.25">
      <c r="A16" s="163" t="s">
        <v>390</v>
      </c>
      <c r="B16" s="151"/>
      <c r="C16" s="329">
        <f ca="1">SUM('[59]Tariff 40'!D7,'[59]Tariff 40'!D10)</f>
        <v>825</v>
      </c>
      <c r="D16" s="329"/>
      <c r="E16" s="217">
        <f ca="1">'[58]Exhibit No.__(JAP-Tariff)'!E104</f>
        <v>104.46</v>
      </c>
      <c r="F16" s="328"/>
      <c r="G16" s="330">
        <f t="shared" ca="1" si="0"/>
        <v>86180</v>
      </c>
      <c r="H16" s="217">
        <f ca="1">'[58]Exhibit No.__(JAP-SV RD)'!G65</f>
        <v>105.74</v>
      </c>
      <c r="I16" s="328"/>
      <c r="J16" s="330">
        <f t="shared" ca="1" si="1"/>
        <v>87236</v>
      </c>
      <c r="K16" s="330"/>
      <c r="L16" s="508" t="s">
        <v>391</v>
      </c>
      <c r="M16" s="508"/>
      <c r="N16" s="508"/>
      <c r="O16" s="134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</row>
    <row r="17" spans="1:27" ht="15.75" x14ac:dyDescent="0.25">
      <c r="A17" s="163" t="s">
        <v>52</v>
      </c>
      <c r="B17" s="151"/>
      <c r="C17" s="329">
        <f ca="1">SUM('[59]Tariff 40'!D8,'[59]Tariff 40'!D11)</f>
        <v>387</v>
      </c>
      <c r="D17" s="329"/>
      <c r="E17" s="217">
        <f ca="1">'[58]Exhibit No.__(JAP-Tariff)'!E105</f>
        <v>339.51</v>
      </c>
      <c r="F17" s="328"/>
      <c r="G17" s="330">
        <f t="shared" ca="1" si="0"/>
        <v>131390</v>
      </c>
      <c r="H17" s="217">
        <f ca="1">'[58]Exhibit No.__(JAP-PV RD)'!G15</f>
        <v>343.66</v>
      </c>
      <c r="I17" s="328"/>
      <c r="J17" s="330">
        <f t="shared" ca="1" si="1"/>
        <v>132996</v>
      </c>
      <c r="K17" s="330"/>
      <c r="L17" s="508" t="s">
        <v>392</v>
      </c>
      <c r="M17" s="508"/>
      <c r="N17" s="508"/>
      <c r="O17" s="134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</row>
    <row r="18" spans="1:27" ht="15.75" x14ac:dyDescent="0.25">
      <c r="A18" s="157" t="s">
        <v>210</v>
      </c>
      <c r="B18" s="151"/>
      <c r="C18" s="329">
        <f ca="1">SUM(C15:C17)</f>
        <v>1707</v>
      </c>
      <c r="D18" s="329"/>
      <c r="E18" s="217"/>
      <c r="F18" s="328"/>
      <c r="G18" s="160">
        <f ca="1">SUM(G15:G17)</f>
        <v>243147</v>
      </c>
      <c r="H18" s="217"/>
      <c r="I18" s="328"/>
      <c r="J18" s="160">
        <f ca="1">SUM(J15:J17)</f>
        <v>246121</v>
      </c>
      <c r="K18" s="330"/>
      <c r="L18" s="247"/>
      <c r="M18" s="288"/>
      <c r="N18" s="288"/>
      <c r="O18" s="134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ht="15.75" x14ac:dyDescent="0.25">
      <c r="A19" s="328"/>
      <c r="B19" s="151"/>
      <c r="C19" s="329"/>
      <c r="D19" s="329"/>
      <c r="E19" s="217"/>
      <c r="F19" s="328"/>
      <c r="G19" s="330"/>
      <c r="H19" s="217"/>
      <c r="I19" s="328"/>
      <c r="J19" s="330"/>
      <c r="K19" s="330"/>
      <c r="L19" s="247"/>
      <c r="M19" s="288"/>
      <c r="N19" s="288"/>
      <c r="O19" s="134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ht="15.75" x14ac:dyDescent="0.25">
      <c r="A20" s="328" t="s">
        <v>190</v>
      </c>
      <c r="B20" s="151"/>
      <c r="C20" s="329"/>
      <c r="D20" s="329"/>
      <c r="E20" s="219"/>
      <c r="F20" s="330"/>
      <c r="G20" s="330"/>
      <c r="H20" s="219"/>
      <c r="I20" s="330"/>
      <c r="J20" s="330"/>
      <c r="K20" s="330"/>
      <c r="L20" s="287"/>
      <c r="M20" s="288"/>
      <c r="N20" s="288"/>
      <c r="O20" s="134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ht="15.75" x14ac:dyDescent="0.25">
      <c r="A21" s="163" t="s">
        <v>49</v>
      </c>
      <c r="B21" s="151"/>
      <c r="C21" s="329">
        <f ca="1">SUM('[59]Tariff 40'!D15,'[59]Tariff 40'!D17)</f>
        <v>286202830</v>
      </c>
      <c r="D21" s="329"/>
      <c r="E21" s="245">
        <f ca="1">'[58]Exhibit No.__(JAP-Tariff)'!E108</f>
        <v>5.6638000000000001E-2</v>
      </c>
      <c r="F21" s="330"/>
      <c r="G21" s="330">
        <f t="shared" ref="G21:G22" ca="1" si="2">ROUND($C21*E21,0)</f>
        <v>16209956</v>
      </c>
      <c r="H21" s="245">
        <f ca="1">G61</f>
        <v>5.3848E-2</v>
      </c>
      <c r="I21" s="330"/>
      <c r="J21" s="330">
        <f t="shared" ref="J21:J22" ca="1" si="3">ROUND($C21*H21,0)</f>
        <v>15411450</v>
      </c>
      <c r="K21" s="330"/>
      <c r="L21" s="508" t="s">
        <v>393</v>
      </c>
      <c r="M21" s="508"/>
      <c r="N21" s="508"/>
      <c r="O21" s="134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ht="15.75" x14ac:dyDescent="0.25">
      <c r="A22" s="163" t="s">
        <v>52</v>
      </c>
      <c r="B22" s="151"/>
      <c r="C22" s="329">
        <f ca="1">SUM('[59]Tariff 40'!D16,'[59]Tariff 40'!D18)</f>
        <v>343241100</v>
      </c>
      <c r="D22" s="329"/>
      <c r="E22" s="245">
        <f ca="1">'[58]Exhibit No.__(JAP-Tariff)'!E110</f>
        <v>5.5190999999999997E-2</v>
      </c>
      <c r="F22" s="330"/>
      <c r="G22" s="330">
        <f t="shared" ca="1" si="2"/>
        <v>18943820</v>
      </c>
      <c r="H22" s="245">
        <f ca="1">G60</f>
        <v>5.1728999999999997E-2</v>
      </c>
      <c r="I22" s="330"/>
      <c r="J22" s="330">
        <f t="shared" ca="1" si="3"/>
        <v>17755519</v>
      </c>
      <c r="K22" s="330"/>
      <c r="L22" s="508" t="s">
        <v>393</v>
      </c>
      <c r="M22" s="508"/>
      <c r="N22" s="508"/>
      <c r="O22" s="134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</row>
    <row r="23" spans="1:27" ht="15.75" x14ac:dyDescent="0.25">
      <c r="A23" s="157" t="s">
        <v>210</v>
      </c>
      <c r="B23" s="151"/>
      <c r="C23" s="331">
        <f ca="1">SUM(C21:C22)</f>
        <v>629443930</v>
      </c>
      <c r="D23" s="296"/>
      <c r="E23" s="204"/>
      <c r="F23" s="328"/>
      <c r="G23" s="160">
        <f ca="1">SUM(G21:G22)</f>
        <v>35153776</v>
      </c>
      <c r="H23" s="204"/>
      <c r="I23" s="328"/>
      <c r="J23" s="160">
        <f ca="1">SUM(J21:J22)</f>
        <v>33166969</v>
      </c>
      <c r="K23" s="156"/>
      <c r="L23" s="348"/>
      <c r="M23" s="348"/>
      <c r="N23" s="348"/>
      <c r="O23" s="134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</row>
    <row r="24" spans="1:27" ht="15.75" x14ac:dyDescent="0.25">
      <c r="A24" s="163" t="s">
        <v>394</v>
      </c>
      <c r="B24" s="151"/>
      <c r="C24" s="329">
        <f ca="1">'[59]Tariff 40'!$D$20</f>
        <v>423503.04529972037</v>
      </c>
      <c r="D24" s="329"/>
      <c r="E24" s="245">
        <f ca="1">E21</f>
        <v>5.6638000000000001E-2</v>
      </c>
      <c r="F24" s="328"/>
      <c r="G24" s="330">
        <f t="shared" ref="G24:G25" ca="1" si="4">ROUND($C24*E24,0)</f>
        <v>23986</v>
      </c>
      <c r="H24" s="245">
        <f ca="1">H21</f>
        <v>5.3848E-2</v>
      </c>
      <c r="I24" s="328"/>
      <c r="J24" s="330">
        <f t="shared" ref="J24:J26" ca="1" si="5">ROUND($C24*H24,0)</f>
        <v>22805</v>
      </c>
      <c r="K24" s="156"/>
      <c r="L24" s="508" t="s">
        <v>393</v>
      </c>
      <c r="M24" s="508"/>
      <c r="N24" s="508"/>
      <c r="O24" s="134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</row>
    <row r="25" spans="1:27" ht="15.75" x14ac:dyDescent="0.25">
      <c r="A25" s="163" t="s">
        <v>395</v>
      </c>
      <c r="B25" s="151"/>
      <c r="C25" s="329">
        <f ca="1">'[59]Tariff 40'!$D$21</f>
        <v>-30131.256685476576</v>
      </c>
      <c r="D25" s="329"/>
      <c r="E25" s="245">
        <f ca="1">E22</f>
        <v>5.5190999999999997E-2</v>
      </c>
      <c r="F25" s="328"/>
      <c r="G25" s="330">
        <f t="shared" ca="1" si="4"/>
        <v>-1663</v>
      </c>
      <c r="H25" s="245">
        <f ca="1">H22</f>
        <v>5.1728999999999997E-2</v>
      </c>
      <c r="I25" s="328"/>
      <c r="J25" s="330">
        <f t="shared" ca="1" si="5"/>
        <v>-1559</v>
      </c>
      <c r="K25" s="156"/>
      <c r="L25" s="508" t="s">
        <v>393</v>
      </c>
      <c r="M25" s="508"/>
      <c r="N25" s="508"/>
      <c r="O25" s="134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15.75" x14ac:dyDescent="0.25">
      <c r="A26" s="168" t="s">
        <v>193</v>
      </c>
      <c r="B26" s="151"/>
      <c r="C26" s="296">
        <f ca="1">'[59]Tariff 40'!$D$19</f>
        <v>-8158575.4494833089</v>
      </c>
      <c r="D26" s="296"/>
      <c r="E26" s="245">
        <f ca="1">ROUND(G26/C26,6)</f>
        <v>6.2047999999999999E-2</v>
      </c>
      <c r="F26" s="292"/>
      <c r="G26" s="330">
        <f ca="1">SUM('[59]Tariff 40'!$D$84:$D$85)</f>
        <v>-506225</v>
      </c>
      <c r="H26" s="245">
        <f ca="1">ROUND(SUM(J18,J23:J25,J32,J37,J39)/SUM(C23:C25),6)</f>
        <v>7.2567000000000006E-2</v>
      </c>
      <c r="I26" s="292"/>
      <c r="J26" s="330">
        <f t="shared" ca="1" si="5"/>
        <v>-592043</v>
      </c>
      <c r="K26" s="162"/>
      <c r="L26" s="508" t="s">
        <v>396</v>
      </c>
      <c r="M26" s="508"/>
      <c r="N26" s="508"/>
    </row>
    <row r="27" spans="1:27" ht="15.75" x14ac:dyDescent="0.25">
      <c r="A27" s="157" t="s">
        <v>210</v>
      </c>
      <c r="B27" s="151"/>
      <c r="C27" s="331">
        <f ca="1">SUM(C23:C26)</f>
        <v>621678726.339131</v>
      </c>
      <c r="D27" s="296"/>
      <c r="E27" s="292"/>
      <c r="F27" s="292"/>
      <c r="G27" s="160">
        <f ca="1">SUM(G23:G26)</f>
        <v>34669874</v>
      </c>
      <c r="H27" s="292"/>
      <c r="I27" s="292"/>
      <c r="J27" s="160">
        <f ca="1">SUM(J23:J26)</f>
        <v>32596172</v>
      </c>
      <c r="K27" s="162"/>
      <c r="L27" s="348"/>
      <c r="M27" s="348"/>
      <c r="N27" s="348"/>
    </row>
    <row r="28" spans="1:27" ht="15.75" x14ac:dyDescent="0.25">
      <c r="A28" s="157"/>
      <c r="B28" s="151"/>
      <c r="C28" s="296"/>
      <c r="D28" s="296"/>
      <c r="E28" s="292"/>
      <c r="F28" s="292"/>
      <c r="G28" s="162"/>
      <c r="H28" s="292"/>
      <c r="I28" s="292"/>
      <c r="J28" s="162"/>
      <c r="K28" s="162"/>
      <c r="L28" s="348"/>
      <c r="M28" s="348"/>
      <c r="N28" s="348"/>
    </row>
    <row r="29" spans="1:27" ht="15.75" x14ac:dyDescent="0.25">
      <c r="A29" s="292" t="s">
        <v>194</v>
      </c>
      <c r="B29" s="151"/>
      <c r="C29" s="329"/>
      <c r="D29" s="329"/>
      <c r="E29" s="222"/>
      <c r="F29" s="328"/>
      <c r="G29" s="330"/>
      <c r="H29" s="222"/>
      <c r="I29" s="328"/>
      <c r="J29" s="330"/>
      <c r="K29" s="330"/>
      <c r="L29" s="348"/>
      <c r="M29" s="348"/>
      <c r="N29" s="348"/>
    </row>
    <row r="30" spans="1:27" ht="15.75" x14ac:dyDescent="0.25">
      <c r="A30" s="163" t="s">
        <v>397</v>
      </c>
      <c r="B30" s="151"/>
      <c r="C30" s="329">
        <f ca="1">'[60]Customer Demand'!$G$34</f>
        <v>578556</v>
      </c>
      <c r="D30" s="329">
        <f ca="1">'[60]Customer Demand'!$D$34</f>
        <v>570788</v>
      </c>
      <c r="E30" s="217">
        <f ca="1">'[58]Exhibit No.__(JAP-Tariff)'!E114</f>
        <v>4.2</v>
      </c>
      <c r="F30" s="328"/>
      <c r="G30" s="330">
        <f t="shared" ref="G30:G31" ca="1" si="6">ROUND(E30*$C30,0)</f>
        <v>2429935</v>
      </c>
      <c r="H30" s="217">
        <f ca="1">G57</f>
        <v>6.13</v>
      </c>
      <c r="I30" s="328"/>
      <c r="J30" s="330">
        <f ca="1">ROUND($D30*H30,0)</f>
        <v>3498930</v>
      </c>
      <c r="K30" s="330"/>
      <c r="L30" s="508" t="s">
        <v>398</v>
      </c>
      <c r="M30" s="508"/>
      <c r="N30" s="508"/>
      <c r="O30" s="135"/>
    </row>
    <row r="31" spans="1:27" ht="15.75" x14ac:dyDescent="0.25">
      <c r="A31" s="163" t="s">
        <v>399</v>
      </c>
      <c r="B31" s="151"/>
      <c r="C31" s="329">
        <f ca="1">'[60]Customer Demand'!$G$35</f>
        <v>628883</v>
      </c>
      <c r="D31" s="329">
        <f ca="1">'[60]Customer Demand'!$D$35</f>
        <v>627620</v>
      </c>
      <c r="E31" s="217">
        <f ca="1">'[58]Exhibit No.__(JAP-Tariff)'!E115</f>
        <v>4.1100000000000003</v>
      </c>
      <c r="F31" s="328"/>
      <c r="G31" s="330">
        <f t="shared" ca="1" si="6"/>
        <v>2584709</v>
      </c>
      <c r="H31" s="217">
        <f ca="1">G56</f>
        <v>5.88</v>
      </c>
      <c r="I31" s="328"/>
      <c r="J31" s="330">
        <f ca="1">ROUND($D31*H31,0)</f>
        <v>3690406</v>
      </c>
      <c r="K31" s="330"/>
      <c r="L31" s="508" t="s">
        <v>398</v>
      </c>
      <c r="M31" s="508"/>
      <c r="N31" s="508"/>
      <c r="O31" s="135"/>
    </row>
    <row r="32" spans="1:27" ht="15.75" x14ac:dyDescent="0.25">
      <c r="A32" s="157" t="s">
        <v>210</v>
      </c>
      <c r="B32" s="151"/>
      <c r="C32" s="331">
        <f ca="1">SUM(C30:C31)</f>
        <v>1207439</v>
      </c>
      <c r="D32" s="331">
        <f ca="1">SUM(D30:D31)</f>
        <v>1198408</v>
      </c>
      <c r="E32" s="222"/>
      <c r="F32" s="328"/>
      <c r="G32" s="333">
        <f ca="1">SUM(G30:G31)</f>
        <v>5014644</v>
      </c>
      <c r="H32" s="222"/>
      <c r="I32" s="328"/>
      <c r="J32" s="333">
        <f ca="1">SUM(J30:J31)</f>
        <v>7189336</v>
      </c>
      <c r="K32" s="330"/>
      <c r="L32" s="247"/>
      <c r="M32" s="288"/>
      <c r="N32" s="288"/>
    </row>
    <row r="33" spans="1:14" ht="15.75" x14ac:dyDescent="0.25">
      <c r="A33" s="151"/>
      <c r="B33" s="151"/>
      <c r="C33" s="296"/>
      <c r="D33" s="296"/>
      <c r="E33" s="296"/>
      <c r="F33" s="292"/>
      <c r="G33" s="162"/>
      <c r="H33" s="296"/>
      <c r="I33" s="292"/>
      <c r="J33" s="162"/>
      <c r="K33" s="162"/>
      <c r="L33" s="247"/>
      <c r="M33" s="288"/>
      <c r="N33" s="288"/>
    </row>
    <row r="34" spans="1:14" ht="15.75" x14ac:dyDescent="0.25">
      <c r="A34" s="153" t="s">
        <v>400</v>
      </c>
      <c r="B34" s="151"/>
      <c r="C34" s="296"/>
      <c r="D34" s="296"/>
      <c r="E34" s="296"/>
      <c r="F34" s="292"/>
      <c r="G34" s="162"/>
      <c r="H34" s="296"/>
      <c r="I34" s="292"/>
      <c r="J34" s="162"/>
      <c r="K34" s="162"/>
      <c r="L34" s="247"/>
      <c r="M34" s="288"/>
      <c r="N34" s="288"/>
    </row>
    <row r="35" spans="1:14" ht="15.75" x14ac:dyDescent="0.25">
      <c r="A35" s="163" t="s">
        <v>49</v>
      </c>
      <c r="B35" s="151"/>
      <c r="C35" s="296">
        <f ca="1">SUM('[59]Tariff 40'!D36,'[59]Tariff 40'!D38)</f>
        <v>61195990</v>
      </c>
      <c r="D35" s="296"/>
      <c r="E35" s="246">
        <v>1.24E-3</v>
      </c>
      <c r="F35" s="292"/>
      <c r="G35" s="330">
        <f t="shared" ref="G35:G36" ca="1" si="7">ROUND(E35*$C35,0)</f>
        <v>75883</v>
      </c>
      <c r="H35" s="246">
        <f ca="1">'[58]Exhibit No.__(JAP-SV RD)'!G77</f>
        <v>1.2600000000000001E-3</v>
      </c>
      <c r="I35" s="292"/>
      <c r="J35" s="330">
        <f ca="1">ROUND($C35*H35,0)</f>
        <v>77107</v>
      </c>
      <c r="K35" s="162"/>
      <c r="L35" s="508" t="s">
        <v>391</v>
      </c>
      <c r="M35" s="508"/>
      <c r="N35" s="508"/>
    </row>
    <row r="36" spans="1:14" ht="15.75" x14ac:dyDescent="0.25">
      <c r="A36" s="163" t="s">
        <v>52</v>
      </c>
      <c r="B36" s="151"/>
      <c r="C36" s="296">
        <f ca="1">SUM('[59]Tariff 40'!D37,'[59]Tariff 40'!D39)</f>
        <v>98712577</v>
      </c>
      <c r="D36" s="296"/>
      <c r="E36" s="246">
        <f ca="1">'[58]Exhibit No.__(JAP-Tariff)'!E120</f>
        <v>1.08E-3</v>
      </c>
      <c r="F36" s="292"/>
      <c r="G36" s="330">
        <f t="shared" ca="1" si="7"/>
        <v>106610</v>
      </c>
      <c r="H36" s="246">
        <f ca="1">'[58]Exhibit No.__(JAP-PV RD)'!G27</f>
        <v>1.07E-3</v>
      </c>
      <c r="I36" s="292"/>
      <c r="J36" s="330">
        <f ca="1">ROUND($C36*H36,0)</f>
        <v>105622</v>
      </c>
      <c r="K36" s="162"/>
      <c r="L36" s="508" t="s">
        <v>392</v>
      </c>
      <c r="M36" s="508"/>
      <c r="N36" s="508"/>
    </row>
    <row r="37" spans="1:14" ht="15.75" x14ac:dyDescent="0.25">
      <c r="A37" s="157" t="s">
        <v>210</v>
      </c>
      <c r="B37" s="151"/>
      <c r="C37" s="331">
        <f ca="1">SUM(C33:C36)</f>
        <v>159908567</v>
      </c>
      <c r="D37" s="296"/>
      <c r="E37" s="246"/>
      <c r="F37" s="328"/>
      <c r="G37" s="333">
        <f ca="1">SUM(G35:G36)</f>
        <v>182493</v>
      </c>
      <c r="H37" s="246"/>
      <c r="I37" s="328"/>
      <c r="J37" s="333">
        <f ca="1">SUM(J35:J36)</f>
        <v>182729</v>
      </c>
      <c r="K37" s="162"/>
      <c r="L37" s="247"/>
      <c r="M37" s="288"/>
      <c r="N37" s="288"/>
    </row>
    <row r="38" spans="1:14" ht="15.75" x14ac:dyDescent="0.25">
      <c r="A38" s="151"/>
      <c r="B38" s="151"/>
      <c r="C38" s="329"/>
      <c r="D38" s="329"/>
      <c r="E38" s="246"/>
      <c r="F38" s="328"/>
      <c r="G38" s="330"/>
      <c r="H38" s="246"/>
      <c r="I38" s="328"/>
      <c r="J38" s="330"/>
      <c r="K38" s="162"/>
      <c r="L38" s="247"/>
      <c r="M38" s="288"/>
      <c r="N38" s="288"/>
    </row>
    <row r="39" spans="1:14" ht="15.75" x14ac:dyDescent="0.25">
      <c r="A39" s="151" t="s">
        <v>401</v>
      </c>
      <c r="B39" s="151"/>
      <c r="C39" s="329"/>
      <c r="D39" s="329"/>
      <c r="E39" s="246"/>
      <c r="F39" s="328"/>
      <c r="G39" s="333">
        <f ca="1">'[59]Tariff 40'!$D$111</f>
        <v>3441161.8012620001</v>
      </c>
      <c r="H39" s="246"/>
      <c r="I39" s="328"/>
      <c r="J39" s="333">
        <f ca="1">'[61]Distribution Revenue'!$H$30</f>
        <v>4898827.5</v>
      </c>
      <c r="K39" s="162"/>
      <c r="L39" s="508" t="s">
        <v>402</v>
      </c>
      <c r="M39" s="508"/>
      <c r="N39" s="508"/>
    </row>
    <row r="40" spans="1:14" ht="15.75" x14ac:dyDescent="0.25">
      <c r="A40" s="151"/>
      <c r="B40" s="151"/>
      <c r="C40" s="296"/>
      <c r="D40" s="296"/>
      <c r="E40" s="296"/>
      <c r="F40" s="292"/>
      <c r="G40" s="162"/>
      <c r="H40" s="246"/>
      <c r="I40" s="292"/>
      <c r="J40" s="162"/>
      <c r="K40" s="162"/>
      <c r="L40" s="334"/>
      <c r="M40" s="332"/>
      <c r="N40" s="288"/>
    </row>
    <row r="41" spans="1:14" ht="16.5" thickBot="1" x14ac:dyDescent="0.3">
      <c r="A41" s="151" t="s">
        <v>351</v>
      </c>
      <c r="B41" s="151"/>
      <c r="C41" s="296"/>
      <c r="D41" s="296"/>
      <c r="E41" s="296"/>
      <c r="F41" s="292"/>
      <c r="G41" s="335">
        <f ca="1">SUM(G39,G37,G32,G27,G18)</f>
        <v>43551319.801261999</v>
      </c>
      <c r="H41" s="296"/>
      <c r="I41" s="292"/>
      <c r="J41" s="335">
        <f ca="1">SUM(J39,J37,J32,J27,J18)</f>
        <v>45113185.5</v>
      </c>
      <c r="K41" s="336"/>
      <c r="L41" s="334"/>
      <c r="M41" s="332"/>
      <c r="N41" s="288"/>
    </row>
    <row r="42" spans="1:14" ht="16.5" thickTop="1" x14ac:dyDescent="0.25">
      <c r="A42" s="151"/>
      <c r="B42" s="337"/>
      <c r="C42" s="296"/>
      <c r="D42" s="296"/>
      <c r="E42" s="296"/>
      <c r="F42" s="151"/>
      <c r="G42" s="156"/>
      <c r="H42" s="296"/>
      <c r="I42" s="151"/>
      <c r="J42" s="156"/>
      <c r="K42" s="156"/>
      <c r="L42" s="334"/>
      <c r="M42" s="332"/>
      <c r="N42" s="288"/>
    </row>
    <row r="43" spans="1:14" ht="15.7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49">
        <f ca="1">'[58]Exhibit No.__(JAP-Rate Spread)'!K22*1000</f>
        <v>45113185.500063345</v>
      </c>
      <c r="K43" s="350"/>
      <c r="L43" s="512" t="s">
        <v>403</v>
      </c>
      <c r="M43" s="512"/>
      <c r="N43" s="513"/>
    </row>
    <row r="44" spans="1:14" ht="15.75" customHeight="1" x14ac:dyDescent="0.25">
      <c r="A44" s="37"/>
      <c r="B44" s="151"/>
      <c r="C44" s="216"/>
      <c r="D44" s="216"/>
      <c r="E44" s="156"/>
      <c r="F44" s="151"/>
      <c r="G44" s="151"/>
      <c r="H44" s="156"/>
      <c r="I44" s="151"/>
      <c r="J44" s="351">
        <f ca="1">J43-J41-J62</f>
        <v>6.3344836235046387E-5</v>
      </c>
      <c r="K44" s="162"/>
      <c r="L44" s="514" t="s">
        <v>404</v>
      </c>
      <c r="M44" s="515"/>
      <c r="N44" s="516" t="s">
        <v>235</v>
      </c>
    </row>
    <row r="45" spans="1:14" ht="15.75" x14ac:dyDescent="0.25">
      <c r="A45" s="37"/>
      <c r="B45" s="151"/>
      <c r="C45" s="216"/>
      <c r="D45" s="216"/>
      <c r="E45" s="156"/>
      <c r="F45" s="151"/>
      <c r="G45" s="151"/>
      <c r="H45" s="156"/>
      <c r="I45" s="151"/>
      <c r="J45" s="352">
        <f ca="1">J43/SUM(G59,G41)-1</f>
        <v>3.5862647868537323E-2</v>
      </c>
      <c r="K45" s="250"/>
      <c r="L45" s="353"/>
      <c r="M45" s="354"/>
      <c r="N45" s="308"/>
    </row>
    <row r="46" spans="1:14" ht="15.75" x14ac:dyDescent="0.25">
      <c r="A46" s="37" t="s">
        <v>405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41"/>
      <c r="N46" s="341"/>
    </row>
    <row r="47" spans="1:14" x14ac:dyDescent="0.3">
      <c r="A47" s="163" t="s">
        <v>406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41"/>
      <c r="N47" s="341"/>
    </row>
    <row r="48" spans="1:14" x14ac:dyDescent="0.3">
      <c r="A48" s="251" t="s">
        <v>407</v>
      </c>
      <c r="B48" s="37"/>
      <c r="C48" s="355">
        <f ca="1">ROUND('[61]2017 FCR Rates'!$H$7,2)</f>
        <v>0.95</v>
      </c>
      <c r="D48" s="356"/>
      <c r="E48" s="37"/>
      <c r="F48" s="37"/>
      <c r="G48" s="37"/>
      <c r="H48" s="37"/>
      <c r="I48" s="37"/>
      <c r="J48" s="37"/>
      <c r="K48" s="37"/>
      <c r="L48" s="37"/>
      <c r="M48" s="341"/>
      <c r="N48" s="341"/>
    </row>
    <row r="49" spans="1:14" x14ac:dyDescent="0.3">
      <c r="A49" s="163" t="s">
        <v>408</v>
      </c>
      <c r="B49" s="37"/>
      <c r="C49" s="248"/>
      <c r="D49" s="248"/>
      <c r="E49" s="248"/>
      <c r="F49" s="37"/>
      <c r="G49" s="37"/>
      <c r="H49" s="37"/>
      <c r="I49" s="37"/>
      <c r="J49" s="37"/>
      <c r="K49" s="37"/>
      <c r="L49" s="37"/>
      <c r="M49" s="341"/>
      <c r="N49" s="341"/>
    </row>
    <row r="50" spans="1:14" x14ac:dyDescent="0.3">
      <c r="A50" s="252" t="s">
        <v>409</v>
      </c>
      <c r="B50" s="37"/>
      <c r="C50" s="356">
        <f ca="1">'[61]2017 FCR Rates'!$G$10</f>
        <v>1.7552976600949292E-2</v>
      </c>
      <c r="D50" s="356"/>
      <c r="E50" s="356"/>
      <c r="F50" s="37"/>
      <c r="G50" s="37"/>
      <c r="H50" s="37"/>
      <c r="I50" s="37"/>
      <c r="J50" s="37"/>
      <c r="K50" s="37"/>
      <c r="L50" s="37"/>
      <c r="M50" s="341"/>
      <c r="N50" s="341"/>
    </row>
    <row r="51" spans="1:14" x14ac:dyDescent="0.3">
      <c r="A51" s="252" t="s">
        <v>19</v>
      </c>
      <c r="B51" s="37"/>
      <c r="C51" s="356">
        <f ca="1">'[61]2017 FCR Rates'!$G$11</f>
        <v>3.7069728960821585E-2</v>
      </c>
      <c r="D51" s="356">
        <f ca="1">+C51-C50</f>
        <v>1.9516752359872293E-2</v>
      </c>
      <c r="E51" s="37"/>
      <c r="F51" s="37"/>
      <c r="G51" s="37"/>
      <c r="H51" s="37"/>
      <c r="I51" s="37"/>
      <c r="J51" s="37"/>
      <c r="K51" s="37"/>
      <c r="L51" s="37"/>
      <c r="M51" s="341"/>
      <c r="N51" s="341"/>
    </row>
    <row r="52" spans="1:14" x14ac:dyDescent="0.3">
      <c r="A52" s="252" t="s">
        <v>410</v>
      </c>
      <c r="B52" s="37"/>
      <c r="C52" s="356">
        <f ca="1">'[61]2017 FCR Rates'!$G$12</f>
        <v>7.8836606634277315E-2</v>
      </c>
      <c r="D52" s="356">
        <f ca="1">+C52-C50</f>
        <v>6.1283630033328026E-2</v>
      </c>
      <c r="E52" s="37"/>
      <c r="F52" s="37"/>
      <c r="G52" s="37"/>
      <c r="H52" s="37"/>
      <c r="I52" s="37"/>
      <c r="J52" s="37"/>
      <c r="K52" s="37"/>
      <c r="L52" s="37"/>
      <c r="M52" s="341"/>
      <c r="N52" s="341"/>
    </row>
    <row r="53" spans="1:14" x14ac:dyDescent="0.3">
      <c r="A53" s="253"/>
      <c r="B53" s="254"/>
      <c r="C53" s="254"/>
      <c r="D53" s="357"/>
      <c r="E53" s="37"/>
      <c r="F53" s="37"/>
      <c r="G53" s="37"/>
      <c r="H53" s="37"/>
      <c r="I53" s="37"/>
      <c r="J53" s="37"/>
      <c r="K53" s="37"/>
      <c r="L53" s="37"/>
      <c r="M53" s="341"/>
      <c r="N53" s="341"/>
    </row>
    <row r="54" spans="1:14" x14ac:dyDescent="0.3">
      <c r="A54" s="163" t="s">
        <v>208</v>
      </c>
      <c r="B54" s="254"/>
      <c r="C54" s="255" t="s">
        <v>411</v>
      </c>
      <c r="D54" s="255" t="s">
        <v>412</v>
      </c>
      <c r="E54" s="256" t="s">
        <v>413</v>
      </c>
      <c r="F54" s="256"/>
      <c r="G54" s="257" t="s">
        <v>414</v>
      </c>
      <c r="H54" s="37"/>
      <c r="I54" s="37"/>
      <c r="J54" s="37"/>
      <c r="K54" s="37"/>
      <c r="L54" s="37"/>
      <c r="M54" s="341"/>
      <c r="N54" s="341"/>
    </row>
    <row r="55" spans="1:14" x14ac:dyDescent="0.3">
      <c r="A55" s="258" t="s">
        <v>415</v>
      </c>
      <c r="B55" s="37"/>
      <c r="C55" s="358">
        <f ca="1">'[58]Exhibit No.__(JAP-Tariff)'!E116</f>
        <v>4.0199999999999996</v>
      </c>
      <c r="D55" s="358">
        <f ca="1">ROUND(C55*$C$48,2)</f>
        <v>3.82</v>
      </c>
      <c r="E55" s="358">
        <f ca="1">'[58]Exhibit No.__(JAP-HV RD)'!G35</f>
        <v>5.48</v>
      </c>
      <c r="F55" s="37"/>
      <c r="G55" s="37">
        <f ca="1">ROUND(E55/$C$48,2)</f>
        <v>5.77</v>
      </c>
      <c r="H55" s="37"/>
      <c r="I55" s="37"/>
      <c r="J55" s="37"/>
      <c r="K55" s="37"/>
      <c r="L55" s="37"/>
      <c r="M55" s="341"/>
      <c r="N55" s="341"/>
    </row>
    <row r="56" spans="1:14" x14ac:dyDescent="0.3">
      <c r="A56" s="258" t="s">
        <v>416</v>
      </c>
      <c r="B56" s="37"/>
      <c r="C56" s="358">
        <f ca="1">'[58]Exhibit No.__(JAP-Tariff)'!E115</f>
        <v>4.1100000000000003</v>
      </c>
      <c r="D56" s="358">
        <f ca="1">ROUND(C56*$C$48,2)</f>
        <v>3.9</v>
      </c>
      <c r="E56" s="358">
        <f ca="1">ROUND(+E55*(1+D51),2)</f>
        <v>5.59</v>
      </c>
      <c r="F56" s="37"/>
      <c r="G56" s="37">
        <f ca="1">ROUND(E56/$C$48,2)</f>
        <v>5.88</v>
      </c>
      <c r="H56" s="37"/>
      <c r="I56" s="37"/>
      <c r="J56" s="37"/>
      <c r="K56" s="37"/>
      <c r="L56" s="37"/>
      <c r="M56" s="341"/>
      <c r="N56" s="341"/>
    </row>
    <row r="57" spans="1:14" x14ac:dyDescent="0.3">
      <c r="A57" s="258" t="s">
        <v>417</v>
      </c>
      <c r="B57" s="37"/>
      <c r="C57" s="358">
        <f ca="1">'[58]Exhibit No.__(JAP-Tariff)'!E114</f>
        <v>4.2</v>
      </c>
      <c r="D57" s="358">
        <f ca="1">ROUND(C57*$C$48,2)</f>
        <v>3.99</v>
      </c>
      <c r="E57" s="358">
        <f ca="1">ROUND(+E55*(1+D52),2)</f>
        <v>5.82</v>
      </c>
      <c r="F57" s="37"/>
      <c r="G57" s="37">
        <f ca="1">ROUND(E57/$C$48,2)</f>
        <v>6.13</v>
      </c>
      <c r="H57" s="37"/>
      <c r="I57" s="37"/>
      <c r="J57" s="37"/>
      <c r="K57" s="37"/>
      <c r="L57" s="37"/>
      <c r="M57" s="341"/>
      <c r="N57" s="341"/>
    </row>
    <row r="58" spans="1:14" x14ac:dyDescent="0.3">
      <c r="A58" s="163" t="s">
        <v>209</v>
      </c>
      <c r="B58" s="254"/>
      <c r="C58" s="254"/>
      <c r="D58" s="357"/>
      <c r="E58" s="37" t="s">
        <v>413</v>
      </c>
      <c r="F58" s="37"/>
      <c r="G58" s="359" t="s">
        <v>414</v>
      </c>
      <c r="H58" s="37"/>
      <c r="I58" s="37"/>
      <c r="J58" s="37"/>
      <c r="K58" s="37"/>
      <c r="L58" s="37"/>
      <c r="M58" s="341"/>
      <c r="N58" s="341"/>
    </row>
    <row r="59" spans="1:14" x14ac:dyDescent="0.3">
      <c r="A59" s="258" t="s">
        <v>415</v>
      </c>
      <c r="B59" s="37"/>
      <c r="C59" s="245">
        <f ca="1">'[58]Exhibit No.__(JAP-Tariff)'!E111</f>
        <v>5.4413000000000003E-2</v>
      </c>
      <c r="D59" s="360"/>
      <c r="E59" s="361">
        <f ca="1">ROUND('[58]Exhibit No.__(JAP-HV RD)'!G31,6)</f>
        <v>5.0738999999999999E-2</v>
      </c>
      <c r="F59" s="360"/>
      <c r="G59" s="360">
        <f ca="1">E59</f>
        <v>5.0738999999999999E-2</v>
      </c>
      <c r="H59" s="37"/>
      <c r="I59" s="37"/>
      <c r="J59" s="37"/>
      <c r="K59" s="37"/>
      <c r="L59" s="37"/>
      <c r="M59" s="341"/>
      <c r="N59" s="341"/>
    </row>
    <row r="60" spans="1:14" x14ac:dyDescent="0.3">
      <c r="A60" s="258" t="s">
        <v>416</v>
      </c>
      <c r="B60" s="37"/>
      <c r="C60" s="245">
        <f ca="1">'[58]Exhibit No.__(JAP-Tariff)'!E110</f>
        <v>5.5190999999999997E-2</v>
      </c>
      <c r="D60" s="360"/>
      <c r="E60" s="37"/>
      <c r="F60" s="360"/>
      <c r="G60" s="360">
        <f ca="1">ROUND(+E59*(1+D51),6)</f>
        <v>5.1728999999999997E-2</v>
      </c>
      <c r="H60" s="37"/>
      <c r="I60" s="37"/>
      <c r="J60" s="37"/>
      <c r="K60" s="37"/>
      <c r="L60" s="37"/>
      <c r="M60" s="341"/>
      <c r="N60" s="341"/>
    </row>
    <row r="61" spans="1:14" x14ac:dyDescent="0.3">
      <c r="A61" s="258" t="s">
        <v>417</v>
      </c>
      <c r="B61" s="37"/>
      <c r="C61" s="245">
        <f ca="1">'[58]Exhibit No.__(JAP-Tariff)'!E109</f>
        <v>5.6638000000000001E-2</v>
      </c>
      <c r="D61" s="360"/>
      <c r="E61" s="37"/>
      <c r="F61" s="360"/>
      <c r="G61" s="360">
        <f ca="1">ROUND(+E59*(1+D52),6)</f>
        <v>5.3848E-2</v>
      </c>
      <c r="H61" s="37"/>
      <c r="I61" s="37"/>
      <c r="J61" s="37"/>
      <c r="K61" s="37"/>
      <c r="L61" s="37"/>
      <c r="M61" s="341"/>
      <c r="N61" s="341"/>
    </row>
    <row r="62" spans="1:14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41"/>
      <c r="N62" s="341"/>
    </row>
    <row r="63" spans="1:14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41"/>
      <c r="N63" s="341"/>
    </row>
    <row r="64" spans="1:14" ht="16.2" thickBot="1" x14ac:dyDescent="0.3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41"/>
      <c r="N64" s="341"/>
    </row>
    <row r="65" spans="1:15" s="265" customFormat="1" ht="56.4" thickBot="1" x14ac:dyDescent="0.35">
      <c r="A65" s="259" t="s">
        <v>418</v>
      </c>
      <c r="B65" s="260"/>
      <c r="C65" s="261" t="s">
        <v>419</v>
      </c>
      <c r="D65" s="261" t="s">
        <v>420</v>
      </c>
      <c r="E65" s="261" t="s">
        <v>421</v>
      </c>
      <c r="F65" s="261"/>
      <c r="G65" s="262" t="s">
        <v>422</v>
      </c>
      <c r="H65" s="262" t="s">
        <v>423</v>
      </c>
      <c r="I65" s="261"/>
      <c r="J65" s="262" t="s">
        <v>424</v>
      </c>
      <c r="K65" s="362"/>
      <c r="L65" s="262" t="s">
        <v>425</v>
      </c>
      <c r="M65" s="263" t="s">
        <v>426</v>
      </c>
      <c r="N65" s="363"/>
      <c r="O65" s="264"/>
    </row>
    <row r="66" spans="1:15" x14ac:dyDescent="0.3">
      <c r="A66" s="364" t="str">
        <f ca="1">'[59]Tariff 40'!B47</f>
        <v>kW - Cust 1</v>
      </c>
      <c r="B66" s="365"/>
      <c r="C66" s="366">
        <f ca="1">ROUND($E$31*G66,2)</f>
        <v>3.66</v>
      </c>
      <c r="D66" s="366">
        <f ca="1">ROUND($E$30*G66,2)</f>
        <v>3.74</v>
      </c>
      <c r="E66" s="366">
        <f ca="1">ROUND(H66*G66,2)</f>
        <v>3.81</v>
      </c>
      <c r="F66" s="365"/>
      <c r="G66" s="367">
        <f ca="1">'[61]Tariff Summary'!I30</f>
        <v>0.88980000000000004</v>
      </c>
      <c r="H66" s="366">
        <f ca="1">SUM(J66,L66,M66)</f>
        <v>4.2799999999999994</v>
      </c>
      <c r="I66" s="366"/>
      <c r="J66" s="366">
        <f ca="1">+'[61]Tariff Summary'!$F$30</f>
        <v>0.4</v>
      </c>
      <c r="K66" s="366"/>
      <c r="L66" s="366">
        <f ca="1">+'[61]Tariff Summary'!$G$30</f>
        <v>1.06</v>
      </c>
      <c r="M66" s="368">
        <f ca="1">+'[61]Tariff Summary'!$H$30</f>
        <v>2.82</v>
      </c>
      <c r="N66" s="369"/>
      <c r="O66" s="266"/>
    </row>
    <row r="67" spans="1:15" x14ac:dyDescent="0.3">
      <c r="A67" s="370" t="str">
        <f ca="1">'[59]Tariff 40'!B53</f>
        <v>kW - Cust 2</v>
      </c>
      <c r="B67" s="287"/>
      <c r="C67" s="371">
        <f t="shared" ref="C67:C77" ca="1" si="8">ROUND($E$31*G67,2)</f>
        <v>3.69</v>
      </c>
      <c r="D67" s="371">
        <f t="shared" ref="D67:D77" ca="1" si="9">ROUND($E$30*G67,2)</f>
        <v>3.77</v>
      </c>
      <c r="E67" s="371">
        <f t="shared" ref="E67:E77" ca="1" si="10">ROUND(H67*G67,2)</f>
        <v>6.52</v>
      </c>
      <c r="F67" s="287"/>
      <c r="G67" s="372">
        <f ca="1">'[61]Tariff Summary'!I31</f>
        <v>0.89859999999999995</v>
      </c>
      <c r="H67" s="371">
        <f t="shared" ref="H67:H77" ca="1" si="11">SUM(J67,L67,M67)</f>
        <v>7.26</v>
      </c>
      <c r="I67" s="371"/>
      <c r="J67" s="371">
        <f ca="1">+'[61]Tariff Summary'!$F$31</f>
        <v>0.66</v>
      </c>
      <c r="K67" s="371"/>
      <c r="L67" s="371">
        <f ca="1">+'[61]Tariff Summary'!$G$31</f>
        <v>2.4</v>
      </c>
      <c r="M67" s="373">
        <f ca="1">+'[61]Tariff Summary'!$H$31</f>
        <v>4.2</v>
      </c>
      <c r="N67" s="369"/>
      <c r="O67" s="266"/>
    </row>
    <row r="68" spans="1:15" x14ac:dyDescent="0.3">
      <c r="A68" s="370" t="str">
        <f ca="1">'[59]Tariff 40'!B49</f>
        <v>kW - Cust 3</v>
      </c>
      <c r="B68" s="287"/>
      <c r="C68" s="371">
        <f t="shared" ca="1" si="8"/>
        <v>4.1100000000000003</v>
      </c>
      <c r="D68" s="371">
        <f t="shared" ca="1" si="9"/>
        <v>4.2</v>
      </c>
      <c r="E68" s="371">
        <f t="shared" ca="1" si="10"/>
        <v>1.56</v>
      </c>
      <c r="F68" s="287"/>
      <c r="G68" s="372">
        <f ca="1">'[61]Tariff Summary'!I32</f>
        <v>1</v>
      </c>
      <c r="H68" s="371">
        <f t="shared" ca="1" si="11"/>
        <v>1.56</v>
      </c>
      <c r="I68" s="371"/>
      <c r="J68" s="371">
        <f ca="1">+'[61]Tariff Summary'!$F$32</f>
        <v>0</v>
      </c>
      <c r="K68" s="371"/>
      <c r="L68" s="371">
        <f ca="1">+'[61]Tariff Summary'!$G$32</f>
        <v>0.56999999999999995</v>
      </c>
      <c r="M68" s="373">
        <f ca="1">+'[61]Tariff Summary'!$H$32</f>
        <v>0.99</v>
      </c>
      <c r="N68" s="369"/>
      <c r="O68" s="266"/>
    </row>
    <row r="69" spans="1:15" x14ac:dyDescent="0.3">
      <c r="A69" s="370" t="str">
        <f ca="1">'[59]Tariff 40'!B44</f>
        <v>kW - Cust 4</v>
      </c>
      <c r="B69" s="287"/>
      <c r="C69" s="371">
        <f t="shared" ca="1" si="8"/>
        <v>4.1100000000000003</v>
      </c>
      <c r="D69" s="371">
        <f t="shared" ca="1" si="9"/>
        <v>4.2</v>
      </c>
      <c r="E69" s="371">
        <f t="shared" ca="1" si="10"/>
        <v>0.6</v>
      </c>
      <c r="F69" s="287"/>
      <c r="G69" s="372">
        <f ca="1">'[61]Tariff Summary'!I33</f>
        <v>1</v>
      </c>
      <c r="H69" s="371">
        <f t="shared" ca="1" si="11"/>
        <v>0.6</v>
      </c>
      <c r="I69" s="371"/>
      <c r="J69" s="371">
        <f ca="1">+'[61]Tariff Summary'!$F$33</f>
        <v>0</v>
      </c>
      <c r="K69" s="371"/>
      <c r="L69" s="371">
        <f ca="1">+'[61]Tariff Summary'!$G$33</f>
        <v>0.21</v>
      </c>
      <c r="M69" s="373">
        <f ca="1">+'[61]Tariff Summary'!$H$33</f>
        <v>0.39</v>
      </c>
      <c r="N69" s="369"/>
      <c r="O69" s="266"/>
    </row>
    <row r="70" spans="1:15" x14ac:dyDescent="0.3">
      <c r="A70" s="370" t="str">
        <f ca="1">'[59]Tariff 40'!B52</f>
        <v>kW - Cust 5</v>
      </c>
      <c r="B70" s="287"/>
      <c r="C70" s="371">
        <f t="shared" ca="1" si="8"/>
        <v>4.0599999999999996</v>
      </c>
      <c r="D70" s="371">
        <f t="shared" ca="1" si="9"/>
        <v>4.1399999999999997</v>
      </c>
      <c r="E70" s="371">
        <f t="shared" ca="1" si="10"/>
        <v>2.73</v>
      </c>
      <c r="F70" s="287"/>
      <c r="G70" s="372">
        <f ca="1">'[61]Tariff Summary'!I34</f>
        <v>0.98680000000000001</v>
      </c>
      <c r="H70" s="371">
        <f t="shared" ca="1" si="11"/>
        <v>2.77</v>
      </c>
      <c r="I70" s="371"/>
      <c r="J70" s="371">
        <f ca="1">+'[61]Tariff Summary'!$F$34</f>
        <v>0.08</v>
      </c>
      <c r="K70" s="371"/>
      <c r="L70" s="371">
        <f ca="1">+'[61]Tariff Summary'!$G$34</f>
        <v>1.89</v>
      </c>
      <c r="M70" s="373">
        <f ca="1">+'[61]Tariff Summary'!$H$34</f>
        <v>0.8</v>
      </c>
      <c r="N70" s="369"/>
      <c r="O70" s="266"/>
    </row>
    <row r="71" spans="1:15" x14ac:dyDescent="0.3">
      <c r="A71" s="370" t="str">
        <f ca="1">'[59]Tariff 40'!B45</f>
        <v xml:space="preserve">kW - Cust 6 </v>
      </c>
      <c r="B71" s="287"/>
      <c r="C71" s="371">
        <f t="shared" ca="1" si="8"/>
        <v>4.1100000000000003</v>
      </c>
      <c r="D71" s="371">
        <f t="shared" ca="1" si="9"/>
        <v>4.2</v>
      </c>
      <c r="E71" s="371">
        <f t="shared" ca="1" si="10"/>
        <v>0.46</v>
      </c>
      <c r="F71" s="287"/>
      <c r="G71" s="372">
        <f ca="1">'[61]Tariff Summary'!I35</f>
        <v>1</v>
      </c>
      <c r="H71" s="371">
        <f t="shared" ca="1" si="11"/>
        <v>0.45999999999999996</v>
      </c>
      <c r="I71" s="371"/>
      <c r="J71" s="371">
        <f ca="1">+'[61]Tariff Summary'!$F$35</f>
        <v>0</v>
      </c>
      <c r="K71" s="371"/>
      <c r="L71" s="371">
        <f ca="1">+'[61]Tariff Summary'!$G$35</f>
        <v>0.24</v>
      </c>
      <c r="M71" s="373">
        <f ca="1">+'[61]Tariff Summary'!$H$35</f>
        <v>0.22</v>
      </c>
      <c r="N71" s="369"/>
      <c r="O71" s="266"/>
    </row>
    <row r="72" spans="1:15" x14ac:dyDescent="0.3">
      <c r="A72" s="370" t="str">
        <f ca="1">'[59]Tariff 40'!B50</f>
        <v>kW - Cust 7</v>
      </c>
      <c r="B72" s="287"/>
      <c r="C72" s="371">
        <f t="shared" ca="1" si="8"/>
        <v>4.1100000000000003</v>
      </c>
      <c r="D72" s="371">
        <f t="shared" ca="1" si="9"/>
        <v>4.2</v>
      </c>
      <c r="E72" s="371">
        <f t="shared" ca="1" si="10"/>
        <v>2.1800000000000002</v>
      </c>
      <c r="F72" s="287"/>
      <c r="G72" s="372">
        <f ca="1">'[61]Tariff Summary'!I36</f>
        <v>1</v>
      </c>
      <c r="H72" s="371">
        <f t="shared" ca="1" si="11"/>
        <v>2.1800000000000002</v>
      </c>
      <c r="I72" s="371"/>
      <c r="J72" s="371">
        <f ca="1">+'[61]Tariff Summary'!$F$36</f>
        <v>0</v>
      </c>
      <c r="K72" s="371"/>
      <c r="L72" s="371">
        <f ca="1">+'[61]Tariff Summary'!$G$36</f>
        <v>0.64</v>
      </c>
      <c r="M72" s="373">
        <f ca="1">+'[61]Tariff Summary'!$H$36</f>
        <v>1.54</v>
      </c>
      <c r="N72" s="369"/>
      <c r="O72" s="266"/>
    </row>
    <row r="73" spans="1:15" x14ac:dyDescent="0.3">
      <c r="A73" s="370" t="str">
        <f ca="1">'[59]Tariff 40'!B48</f>
        <v>kW - Cust 8</v>
      </c>
      <c r="B73" s="287"/>
      <c r="C73" s="371">
        <f t="shared" ca="1" si="8"/>
        <v>4.0999999999999996</v>
      </c>
      <c r="D73" s="371">
        <f t="shared" ca="1" si="9"/>
        <v>4.1900000000000004</v>
      </c>
      <c r="E73" s="371">
        <f t="shared" ca="1" si="10"/>
        <v>2.61</v>
      </c>
      <c r="F73" s="287"/>
      <c r="G73" s="372">
        <f ca="1">'[61]Tariff Summary'!I37</f>
        <v>0.99770000000000003</v>
      </c>
      <c r="H73" s="371">
        <f t="shared" ca="1" si="11"/>
        <v>2.62</v>
      </c>
      <c r="I73" s="371"/>
      <c r="J73" s="371">
        <f ca="1">+'[61]Tariff Summary'!$F$37</f>
        <v>0.03</v>
      </c>
      <c r="K73" s="371"/>
      <c r="L73" s="371">
        <f ca="1">+'[61]Tariff Summary'!$G$37</f>
        <v>1.33</v>
      </c>
      <c r="M73" s="373">
        <f ca="1">+'[61]Tariff Summary'!$H$37</f>
        <v>1.26</v>
      </c>
      <c r="N73" s="369"/>
      <c r="O73" s="266"/>
    </row>
    <row r="74" spans="1:15" x14ac:dyDescent="0.3">
      <c r="A74" s="370" t="str">
        <f ca="1">'[59]Tariff 40'!B54</f>
        <v>kW - Cust 9</v>
      </c>
      <c r="B74" s="287"/>
      <c r="C74" s="371">
        <f t="shared" ca="1" si="8"/>
        <v>3.77</v>
      </c>
      <c r="D74" s="371">
        <f t="shared" ca="1" si="9"/>
        <v>3.85</v>
      </c>
      <c r="E74" s="371">
        <f t="shared" ca="1" si="10"/>
        <v>5.49</v>
      </c>
      <c r="F74" s="287"/>
      <c r="G74" s="372">
        <f ca="1">'[61]Tariff Summary'!I38</f>
        <v>0.91700000000000004</v>
      </c>
      <c r="H74" s="371">
        <f t="shared" ca="1" si="11"/>
        <v>5.99</v>
      </c>
      <c r="I74" s="371"/>
      <c r="J74" s="371">
        <f ca="1">+'[61]Tariff Summary'!$F$38</f>
        <v>0.82</v>
      </c>
      <c r="K74" s="371"/>
      <c r="L74" s="371">
        <f ca="1">+'[61]Tariff Summary'!$G$38</f>
        <v>2.36</v>
      </c>
      <c r="M74" s="373">
        <f ca="1">+'[61]Tariff Summary'!$H$38</f>
        <v>2.81</v>
      </c>
      <c r="N74" s="369"/>
      <c r="O74" s="266"/>
    </row>
    <row r="75" spans="1:15" x14ac:dyDescent="0.3">
      <c r="A75" s="370" t="str">
        <f ca="1">'[59]Tariff 40'!B46</f>
        <v>kW - Cust 10</v>
      </c>
      <c r="B75" s="287"/>
      <c r="C75" s="371">
        <f t="shared" ca="1" si="8"/>
        <v>3.94</v>
      </c>
      <c r="D75" s="371">
        <f t="shared" ca="1" si="9"/>
        <v>4.03</v>
      </c>
      <c r="E75" s="371">
        <f t="shared" ca="1" si="10"/>
        <v>1.5</v>
      </c>
      <c r="F75" s="287"/>
      <c r="G75" s="372">
        <f ca="1">'[61]Tariff Summary'!I39</f>
        <v>0.95850000000000002</v>
      </c>
      <c r="H75" s="371">
        <f t="shared" ca="1" si="11"/>
        <v>1.57</v>
      </c>
      <c r="I75" s="371"/>
      <c r="J75" s="371">
        <f ca="1">+'[61]Tariff Summary'!$F$39</f>
        <v>0.59</v>
      </c>
      <c r="K75" s="371"/>
      <c r="L75" s="371">
        <f ca="1">+'[61]Tariff Summary'!$G$39</f>
        <v>0.42</v>
      </c>
      <c r="M75" s="373">
        <f ca="1">+'[61]Tariff Summary'!$H$39</f>
        <v>0.56000000000000005</v>
      </c>
      <c r="N75" s="369"/>
      <c r="O75" s="266"/>
    </row>
    <row r="76" spans="1:15" x14ac:dyDescent="0.3">
      <c r="A76" s="370" t="str">
        <f ca="1">'[59]Tariff 40'!B51</f>
        <v>kW - Cust 11</v>
      </c>
      <c r="B76" s="287"/>
      <c r="C76" s="371">
        <f t="shared" ca="1" si="8"/>
        <v>3.9</v>
      </c>
      <c r="D76" s="371">
        <f t="shared" ca="1" si="9"/>
        <v>3.99</v>
      </c>
      <c r="E76" s="371">
        <f t="shared" ca="1" si="10"/>
        <v>1.98</v>
      </c>
      <c r="F76" s="287"/>
      <c r="G76" s="372">
        <f ca="1">'[61]Tariff Summary'!I40</f>
        <v>0.94930000000000003</v>
      </c>
      <c r="H76" s="371">
        <f t="shared" ca="1" si="11"/>
        <v>2.09</v>
      </c>
      <c r="I76" s="371"/>
      <c r="J76" s="371">
        <f ca="1">+'[61]Tariff Summary'!$F$40</f>
        <v>0.71</v>
      </c>
      <c r="K76" s="371"/>
      <c r="L76" s="371">
        <f ca="1">+'[61]Tariff Summary'!$G$40</f>
        <v>0.52</v>
      </c>
      <c r="M76" s="373">
        <f ca="1">+'[61]Tariff Summary'!$H$40</f>
        <v>0.86</v>
      </c>
      <c r="N76" s="369"/>
      <c r="O76" s="266"/>
    </row>
    <row r="77" spans="1:15" x14ac:dyDescent="0.3">
      <c r="A77" s="370" t="str">
        <f ca="1">'[59]Tariff 40'!B43</f>
        <v>kW - Cust 12</v>
      </c>
      <c r="B77" s="287"/>
      <c r="C77" s="371">
        <f t="shared" ca="1" si="8"/>
        <v>4</v>
      </c>
      <c r="D77" s="371">
        <f t="shared" ca="1" si="9"/>
        <v>4.09</v>
      </c>
      <c r="E77" s="371">
        <f t="shared" ca="1" si="10"/>
        <v>0.82</v>
      </c>
      <c r="F77" s="287"/>
      <c r="G77" s="372">
        <f ca="1">'[61]Tariff Summary'!I41</f>
        <v>0.97319999999999995</v>
      </c>
      <c r="H77" s="371">
        <f t="shared" ca="1" si="11"/>
        <v>0.84</v>
      </c>
      <c r="I77" s="371"/>
      <c r="J77" s="371">
        <f ca="1">+'[61]Tariff Summary'!$F$41</f>
        <v>0.22</v>
      </c>
      <c r="K77" s="371"/>
      <c r="L77" s="371">
        <f ca="1">+'[61]Tariff Summary'!$G$41</f>
        <v>0.27</v>
      </c>
      <c r="M77" s="373">
        <f ca="1">+'[61]Tariff Summary'!$H$41</f>
        <v>0.35</v>
      </c>
      <c r="N77" s="369"/>
      <c r="O77" s="266"/>
    </row>
    <row r="78" spans="1:15" x14ac:dyDescent="0.3">
      <c r="A78" s="374"/>
      <c r="B78" s="287"/>
      <c r="C78" s="371"/>
      <c r="D78" s="371"/>
      <c r="E78" s="371"/>
      <c r="F78" s="287"/>
      <c r="G78" s="372"/>
      <c r="H78" s="371"/>
      <c r="I78" s="371"/>
      <c r="J78" s="371"/>
      <c r="K78" s="371"/>
      <c r="L78" s="371"/>
      <c r="M78" s="373"/>
      <c r="N78" s="369"/>
      <c r="O78" s="266"/>
    </row>
    <row r="79" spans="1:15" x14ac:dyDescent="0.3">
      <c r="A79" s="374"/>
      <c r="B79" s="287"/>
      <c r="C79" s="371"/>
      <c r="D79" s="371"/>
      <c r="E79" s="371"/>
      <c r="F79" s="287"/>
      <c r="G79" s="372"/>
      <c r="H79" s="371"/>
      <c r="I79" s="371"/>
      <c r="J79" s="371"/>
      <c r="K79" s="371"/>
      <c r="L79" s="371"/>
      <c r="M79" s="373"/>
      <c r="N79" s="369"/>
      <c r="O79" s="266"/>
    </row>
    <row r="80" spans="1:15" x14ac:dyDescent="0.3">
      <c r="A80" s="370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375"/>
      <c r="N80" s="341"/>
    </row>
    <row r="81" spans="1:14" ht="16.2" thickBot="1" x14ac:dyDescent="0.35">
      <c r="A81" s="376" t="s">
        <v>651</v>
      </c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8"/>
      <c r="N81" s="341"/>
    </row>
    <row r="82" spans="1:14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41"/>
      <c r="N82" s="341"/>
    </row>
    <row r="83" spans="1:14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41"/>
      <c r="N83" s="341"/>
    </row>
  </sheetData>
  <mergeCells count="21">
    <mergeCell ref="L39:N39"/>
    <mergeCell ref="L43:N43"/>
    <mergeCell ref="L44:N44"/>
    <mergeCell ref="L25:N25"/>
    <mergeCell ref="L26:N26"/>
    <mergeCell ref="L30:N30"/>
    <mergeCell ref="L31:N31"/>
    <mergeCell ref="L35:N35"/>
    <mergeCell ref="L36:N36"/>
    <mergeCell ref="L24:N2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</mergeCells>
  <printOptions horizontalCentered="1"/>
  <pageMargins left="0.7" right="0.7" top="0.75" bottom="0.71" header="0.3" footer="0.3"/>
  <pageSetup scale="61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45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47"/>
  <sheetViews>
    <sheetView zoomScale="90" zoomScaleNormal="90" zoomScaleSheetLayoutView="80" workbookViewId="0">
      <pane ySplit="10" topLeftCell="A11" activePane="bottomLeft" state="frozen"/>
      <selection activeCell="G14" sqref="G14:G15"/>
      <selection pane="bottomLeft" activeCell="T33" sqref="T33"/>
    </sheetView>
  </sheetViews>
  <sheetFormatPr defaultColWidth="11.6640625" defaultRowHeight="15.6" x14ac:dyDescent="0.3"/>
  <cols>
    <col min="1" max="1" width="32.6640625" style="135" bestFit="1" customWidth="1"/>
    <col min="2" max="2" width="1.5546875" style="135" bestFit="1" customWidth="1"/>
    <col min="3" max="3" width="13.33203125" style="135" bestFit="1" customWidth="1"/>
    <col min="4" max="4" width="12.33203125" style="135" bestFit="1" customWidth="1"/>
    <col min="5" max="5" width="6.109375" style="135" bestFit="1" customWidth="1"/>
    <col min="6" max="6" width="13.33203125" style="135" bestFit="1" customWidth="1"/>
    <col min="7" max="7" width="14.6640625" style="135" customWidth="1"/>
    <col min="8" max="8" width="2.33203125" style="135" bestFit="1" customWidth="1"/>
    <col min="9" max="9" width="16.88671875" style="135" customWidth="1"/>
    <col min="10" max="10" width="1.88671875" style="135" customWidth="1"/>
    <col min="11" max="11" width="25" style="135" bestFit="1" customWidth="1"/>
    <col min="12" max="12" width="14.109375" style="142" bestFit="1" customWidth="1"/>
    <col min="13" max="13" width="11.6640625" style="142" bestFit="1" customWidth="1"/>
    <col min="14" max="14" width="8.109375" style="142" bestFit="1" customWidth="1"/>
    <col min="15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40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136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40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40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40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40" ht="15.75" x14ac:dyDescent="0.25">
      <c r="A5" s="139" t="s">
        <v>427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40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40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40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40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40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40" ht="15.75" x14ac:dyDescent="0.25">
      <c r="A11" s="37"/>
      <c r="B11" s="37"/>
      <c r="C11" s="326"/>
      <c r="D11" s="292" t="s">
        <v>235</v>
      </c>
      <c r="E11" s="326"/>
      <c r="F11" s="327"/>
      <c r="G11" s="151" t="s">
        <v>235</v>
      </c>
      <c r="H11" s="326"/>
      <c r="I11" s="156" t="s">
        <v>235</v>
      </c>
      <c r="J11" s="156"/>
      <c r="K11" s="287"/>
      <c r="L11" s="288"/>
      <c r="M11" s="288"/>
      <c r="N11" s="134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G11" s="179"/>
    </row>
    <row r="12" spans="1:40" ht="15.75" x14ac:dyDescent="0.25">
      <c r="A12" s="150" t="s">
        <v>428</v>
      </c>
      <c r="B12" s="151"/>
      <c r="C12" s="151" t="s">
        <v>235</v>
      </c>
      <c r="D12" s="156"/>
      <c r="E12" s="151"/>
      <c r="F12" s="151"/>
      <c r="G12" s="156"/>
      <c r="H12" s="151"/>
      <c r="I12" s="151"/>
      <c r="J12" s="151"/>
      <c r="K12" s="287"/>
      <c r="L12" s="288"/>
      <c r="M12" s="288"/>
      <c r="N12" s="13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G12" s="179"/>
    </row>
    <row r="13" spans="1:40" ht="15.75" x14ac:dyDescent="0.25">
      <c r="A13" s="153" t="s">
        <v>429</v>
      </c>
      <c r="B13" s="151"/>
      <c r="C13" s="151"/>
      <c r="D13" s="156"/>
      <c r="E13" s="151"/>
      <c r="F13" s="151"/>
      <c r="G13" s="156"/>
      <c r="H13" s="151"/>
      <c r="I13" s="151"/>
      <c r="J13" s="151"/>
      <c r="K13" s="287"/>
      <c r="L13" s="288"/>
      <c r="M13" s="288"/>
      <c r="N13" s="13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G13" s="179"/>
    </row>
    <row r="14" spans="1:40" ht="15.75" x14ac:dyDescent="0.25">
      <c r="A14" s="153" t="s">
        <v>430</v>
      </c>
      <c r="B14" s="151"/>
      <c r="C14" s="329">
        <v>60</v>
      </c>
      <c r="D14" s="164"/>
      <c r="E14" s="328"/>
      <c r="F14" s="156"/>
      <c r="G14" s="164"/>
      <c r="H14" s="328"/>
      <c r="I14" s="156"/>
      <c r="J14" s="151"/>
      <c r="K14" s="37"/>
      <c r="L14" s="341"/>
      <c r="M14" s="379"/>
      <c r="N14" s="267"/>
      <c r="P14" s="179"/>
      <c r="Q14" s="195"/>
      <c r="R14" s="179"/>
      <c r="S14" s="195"/>
      <c r="T14" s="179"/>
      <c r="U14" s="179"/>
      <c r="V14" s="195"/>
      <c r="W14" s="196"/>
      <c r="X14" s="179"/>
      <c r="Y14" s="179"/>
      <c r="AG14" s="133"/>
      <c r="AH14" s="133"/>
      <c r="AI14" s="133"/>
      <c r="AJ14" s="133"/>
      <c r="AK14" s="133"/>
      <c r="AL14" s="133"/>
      <c r="AN14" s="179"/>
    </row>
    <row r="15" spans="1:40" ht="15.75" x14ac:dyDescent="0.25">
      <c r="A15" s="151" t="s">
        <v>319</v>
      </c>
      <c r="B15" s="151"/>
      <c r="C15" s="329"/>
      <c r="D15" s="164"/>
      <c r="E15" s="328"/>
      <c r="F15" s="156"/>
      <c r="G15" s="164"/>
      <c r="H15" s="328"/>
      <c r="I15" s="156"/>
      <c r="J15" s="151"/>
      <c r="K15" s="37"/>
      <c r="L15" s="341"/>
      <c r="M15" s="379"/>
      <c r="N15" s="267"/>
      <c r="P15" s="179"/>
      <c r="Q15" s="195"/>
      <c r="R15" s="179"/>
      <c r="S15" s="195"/>
      <c r="T15" s="179"/>
      <c r="U15" s="179"/>
      <c r="V15" s="195"/>
      <c r="W15" s="196"/>
      <c r="X15" s="179"/>
      <c r="Y15" s="179"/>
      <c r="AG15" s="133"/>
      <c r="AH15" s="133"/>
      <c r="AI15" s="133"/>
      <c r="AJ15" s="133"/>
      <c r="AK15" s="133"/>
      <c r="AL15" s="133"/>
      <c r="AN15" s="179"/>
    </row>
    <row r="16" spans="1:40" ht="15.75" x14ac:dyDescent="0.25">
      <c r="A16" s="163" t="s">
        <v>76</v>
      </c>
      <c r="B16" s="151"/>
      <c r="C16" s="329">
        <f ca="1">SUM('[59]Tariff 46'!$D$7:$D$9)</f>
        <v>63736317.697999991</v>
      </c>
      <c r="D16" s="164">
        <f ca="1">'[58]Exhibit No.__(JAP-Tariff)'!E154</f>
        <v>5.4413000000000003E-2</v>
      </c>
      <c r="E16" s="328"/>
      <c r="F16" s="156">
        <f t="shared" ref="F16:F17" ca="1" si="0">ROUND(D16*$C16,0)</f>
        <v>3468084</v>
      </c>
      <c r="G16" s="164">
        <f ca="1">G31</f>
        <v>5.0738999999999999E-2</v>
      </c>
      <c r="H16" s="328"/>
      <c r="I16" s="156">
        <f t="shared" ref="I16:I17" ca="1" si="1">ROUND(G16*$C16,0)</f>
        <v>3233917</v>
      </c>
      <c r="J16" s="336"/>
      <c r="K16" s="508" t="s">
        <v>431</v>
      </c>
      <c r="L16" s="508"/>
      <c r="M16" s="508"/>
      <c r="N16" s="267"/>
      <c r="O16" s="142"/>
      <c r="X16" s="133"/>
      <c r="Y16" s="133"/>
      <c r="Z16" s="133"/>
      <c r="AA16" s="133"/>
      <c r="AB16" s="133"/>
      <c r="AC16" s="133"/>
      <c r="AD16" s="133"/>
      <c r="AE16" s="133"/>
      <c r="AG16" s="179"/>
    </row>
    <row r="17" spans="1:33" ht="15.75" x14ac:dyDescent="0.25">
      <c r="A17" s="168" t="s">
        <v>193</v>
      </c>
      <c r="B17" s="300"/>
      <c r="C17" s="380">
        <f ca="1">'[59]Tariff 46'!$D$10</f>
        <v>539040</v>
      </c>
      <c r="D17" s="164">
        <f ca="1">ROUND(SUM(F16:F16,F20)/SUM(C16:C16),6)</f>
        <v>6.5379999999999994E-2</v>
      </c>
      <c r="E17" s="292"/>
      <c r="F17" s="250">
        <f t="shared" ca="1" si="0"/>
        <v>35242</v>
      </c>
      <c r="G17" s="268">
        <f ca="1">ROUND(+D17*(1+$M$37),6)</f>
        <v>6.6180000000000003E-2</v>
      </c>
      <c r="H17" s="292"/>
      <c r="I17" s="250">
        <f t="shared" ca="1" si="1"/>
        <v>35674</v>
      </c>
      <c r="J17" s="162"/>
      <c r="K17" s="508" t="s">
        <v>189</v>
      </c>
      <c r="L17" s="508"/>
      <c r="M17" s="508"/>
      <c r="N17" s="196"/>
      <c r="X17" s="133"/>
      <c r="Y17" s="133"/>
      <c r="Z17" s="133"/>
      <c r="AA17" s="133"/>
      <c r="AB17" s="133"/>
      <c r="AC17" s="133"/>
      <c r="AD17" s="133"/>
      <c r="AE17" s="133"/>
      <c r="AG17" s="179"/>
    </row>
    <row r="18" spans="1:33" ht="15.75" x14ac:dyDescent="0.25">
      <c r="A18" s="157" t="s">
        <v>210</v>
      </c>
      <c r="B18" s="300"/>
      <c r="C18" s="296">
        <f ca="1">SUM(C16:C17)</f>
        <v>64275357.697999991</v>
      </c>
      <c r="D18" s="164"/>
      <c r="E18" s="292"/>
      <c r="F18" s="156">
        <f ca="1">SUM(F16:F17)</f>
        <v>3503326</v>
      </c>
      <c r="G18" s="164"/>
      <c r="H18" s="292"/>
      <c r="I18" s="156">
        <f ca="1">SUM(I16:I17)</f>
        <v>3269591</v>
      </c>
      <c r="J18" s="162"/>
      <c r="K18" s="37"/>
      <c r="L18" s="341"/>
      <c r="M18" s="381"/>
      <c r="N18" s="196"/>
      <c r="X18" s="133"/>
      <c r="Y18" s="133"/>
      <c r="Z18" s="133"/>
      <c r="AA18" s="133"/>
      <c r="AB18" s="133"/>
      <c r="AC18" s="133"/>
      <c r="AD18" s="133"/>
      <c r="AE18" s="133"/>
      <c r="AG18" s="179"/>
    </row>
    <row r="19" spans="1:33" ht="15.75" x14ac:dyDescent="0.25">
      <c r="A19" s="157"/>
      <c r="B19" s="300"/>
      <c r="C19" s="296"/>
      <c r="D19" s="164"/>
      <c r="E19" s="292"/>
      <c r="F19" s="156"/>
      <c r="G19" s="164"/>
      <c r="H19" s="292"/>
      <c r="I19" s="156"/>
      <c r="J19" s="162"/>
      <c r="K19" s="37"/>
      <c r="L19" s="341"/>
      <c r="M19" s="381"/>
      <c r="N19" s="196"/>
      <c r="X19" s="133"/>
      <c r="Y19" s="133"/>
      <c r="Z19" s="133"/>
      <c r="AA19" s="133"/>
      <c r="AB19" s="133"/>
      <c r="AC19" s="133"/>
      <c r="AD19" s="133"/>
      <c r="AE19" s="133"/>
      <c r="AG19" s="179"/>
    </row>
    <row r="20" spans="1:33" ht="15.75" x14ac:dyDescent="0.25">
      <c r="A20" s="153" t="s">
        <v>432</v>
      </c>
      <c r="B20" s="151"/>
      <c r="C20" s="329">
        <f ca="1">'[59]Tariff 46'!$D$14</f>
        <v>334461</v>
      </c>
      <c r="D20" s="155">
        <f ca="1">'[58]Exhibit No.__(JAP-Tariff)'!E156</f>
        <v>2.09</v>
      </c>
      <c r="E20" s="328"/>
      <c r="F20" s="156">
        <f t="shared" ref="F20" ca="1" si="2">ROUND(D20*$C20,0)</f>
        <v>699023</v>
      </c>
      <c r="G20" s="269">
        <v>2.95</v>
      </c>
      <c r="H20" s="328"/>
      <c r="I20" s="156">
        <f t="shared" ref="I20" ca="1" si="3">ROUND(G20*$C20,0)</f>
        <v>986660</v>
      </c>
      <c r="J20" s="336"/>
      <c r="K20" s="508" t="s">
        <v>652</v>
      </c>
      <c r="L20" s="508"/>
      <c r="M20" s="508"/>
      <c r="N20" s="267"/>
      <c r="O20" s="142"/>
      <c r="X20" s="133"/>
      <c r="Y20" s="133"/>
      <c r="Z20" s="133"/>
      <c r="AA20" s="133"/>
      <c r="AB20" s="133"/>
      <c r="AC20" s="133"/>
      <c r="AD20" s="133"/>
      <c r="AE20" s="133"/>
      <c r="AG20" s="179"/>
    </row>
    <row r="21" spans="1:33" ht="15.75" x14ac:dyDescent="0.25">
      <c r="A21" s="168"/>
      <c r="B21" s="300"/>
      <c r="C21" s="296"/>
      <c r="D21" s="164"/>
      <c r="E21" s="292"/>
      <c r="F21" s="156"/>
      <c r="G21" s="164"/>
      <c r="H21" s="292"/>
      <c r="I21" s="156"/>
      <c r="J21" s="162"/>
      <c r="K21" s="37"/>
      <c r="L21" s="341"/>
      <c r="M21" s="381"/>
      <c r="N21" s="196"/>
      <c r="X21" s="133"/>
      <c r="Y21" s="133"/>
      <c r="Z21" s="133"/>
      <c r="AA21" s="133"/>
      <c r="AB21" s="133"/>
      <c r="AC21" s="133"/>
      <c r="AD21" s="133"/>
      <c r="AE21" s="133"/>
      <c r="AG21" s="179"/>
    </row>
    <row r="22" spans="1:33" ht="16.5" thickBot="1" x14ac:dyDescent="0.3">
      <c r="A22" s="151" t="s">
        <v>351</v>
      </c>
      <c r="B22" s="151"/>
      <c r="C22" s="296"/>
      <c r="D22" s="382"/>
      <c r="E22" s="207"/>
      <c r="F22" s="172">
        <f ca="1">SUM(F20,F18)</f>
        <v>4202349</v>
      </c>
      <c r="G22" s="382"/>
      <c r="H22" s="207"/>
      <c r="I22" s="172">
        <f ca="1">SUM(I20,I18)</f>
        <v>4256251</v>
      </c>
      <c r="J22" s="335"/>
      <c r="K22" s="508" t="s">
        <v>189</v>
      </c>
      <c r="L22" s="508"/>
      <c r="M22" s="508"/>
      <c r="N22" s="211"/>
      <c r="O22" s="199" t="s">
        <v>235</v>
      </c>
      <c r="X22" s="133"/>
      <c r="Y22" s="133"/>
      <c r="Z22" s="133"/>
      <c r="AA22" s="133"/>
      <c r="AB22" s="133"/>
      <c r="AC22" s="133"/>
      <c r="AD22" s="133"/>
      <c r="AE22" s="133"/>
      <c r="AG22" s="179"/>
    </row>
    <row r="23" spans="1:33" ht="16.5" thickTop="1" x14ac:dyDescent="0.25">
      <c r="A23" s="151"/>
      <c r="B23" s="151"/>
      <c r="C23" s="296"/>
      <c r="D23" s="382"/>
      <c r="E23" s="207"/>
      <c r="F23" s="336"/>
      <c r="G23" s="302"/>
      <c r="H23" s="207"/>
      <c r="I23" s="336"/>
      <c r="J23" s="336"/>
      <c r="K23" s="37"/>
      <c r="L23" s="341"/>
      <c r="M23" s="381"/>
      <c r="N23" s="211"/>
      <c r="O23" s="199"/>
      <c r="X23" s="133"/>
      <c r="Y23" s="133"/>
      <c r="Z23" s="133"/>
      <c r="AA23" s="133"/>
      <c r="AB23" s="133"/>
      <c r="AC23" s="133"/>
      <c r="AD23" s="133"/>
      <c r="AE23" s="133"/>
      <c r="AG23" s="179"/>
    </row>
    <row r="24" spans="1:33" ht="15.75" x14ac:dyDescent="0.25">
      <c r="A24" s="153" t="s">
        <v>433</v>
      </c>
      <c r="B24" s="37"/>
      <c r="C24" s="270">
        <v>0.9</v>
      </c>
      <c r="D24" s="164">
        <f ca="1">+D16*C24</f>
        <v>4.8971700000000007E-2</v>
      </c>
      <c r="E24" s="383">
        <f>+E12*C24</f>
        <v>0</v>
      </c>
      <c r="F24" s="336"/>
      <c r="G24" s="164">
        <f ca="1">ROUND(+G16*C24,6)</f>
        <v>4.5664999999999997E-2</v>
      </c>
      <c r="H24" s="207"/>
      <c r="I24" s="336"/>
      <c r="J24" s="336"/>
      <c r="K24" s="384">
        <f ca="1">F22*M37</f>
        <v>51394.133889349789</v>
      </c>
      <c r="L24" s="519" t="s">
        <v>653</v>
      </c>
      <c r="M24" s="520"/>
      <c r="N24" s="211"/>
      <c r="O24" s="199"/>
      <c r="X24" s="133"/>
      <c r="Y24" s="133"/>
      <c r="Z24" s="133"/>
      <c r="AA24" s="133"/>
      <c r="AB24" s="133"/>
      <c r="AC24" s="133"/>
      <c r="AD24" s="133"/>
      <c r="AE24" s="133"/>
      <c r="AG24" s="179"/>
    </row>
    <row r="25" spans="1:33" ht="15.75" x14ac:dyDescent="0.25">
      <c r="A25" s="153" t="s">
        <v>434</v>
      </c>
      <c r="B25" s="37"/>
      <c r="C25" s="248">
        <v>12</v>
      </c>
      <c r="D25" s="155">
        <f ca="1">+C25*D20</f>
        <v>25.08</v>
      </c>
      <c r="E25" s="271">
        <f>+C25*E14</f>
        <v>0</v>
      </c>
      <c r="F25" s="156"/>
      <c r="G25" s="155">
        <f>ROUND(+C25*G20,2)</f>
        <v>35.4</v>
      </c>
      <c r="H25" s="151"/>
      <c r="I25" s="37"/>
      <c r="J25" s="37"/>
      <c r="K25" s="385">
        <f ca="1">K24+F22</f>
        <v>4253743.1338893501</v>
      </c>
      <c r="L25" s="517" t="s">
        <v>654</v>
      </c>
      <c r="M25" s="518"/>
      <c r="X25" s="133"/>
      <c r="Y25" s="133"/>
      <c r="Z25" s="133"/>
      <c r="AA25" s="133"/>
      <c r="AB25" s="133"/>
      <c r="AC25" s="133"/>
      <c r="AD25" s="133"/>
      <c r="AE25" s="133"/>
      <c r="AG25" s="179"/>
    </row>
    <row r="26" spans="1:33" ht="15.75" x14ac:dyDescent="0.25">
      <c r="A26" s="151"/>
      <c r="B26" s="151"/>
      <c r="C26" s="152"/>
      <c r="D26" s="272" t="s">
        <v>235</v>
      </c>
      <c r="E26" s="151"/>
      <c r="F26" s="156"/>
      <c r="G26" s="273" t="s">
        <v>235</v>
      </c>
      <c r="H26" s="151"/>
      <c r="I26" s="156" t="s">
        <v>235</v>
      </c>
      <c r="J26" s="156"/>
      <c r="K26" s="386">
        <f ca="1">K25-I22</f>
        <v>-2507.8661106498912</v>
      </c>
      <c r="L26" s="521" t="s">
        <v>655</v>
      </c>
      <c r="M26" s="522"/>
      <c r="N26" s="134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</row>
    <row r="27" spans="1:33" ht="15.75" x14ac:dyDescent="0.25">
      <c r="A27" s="150" t="s">
        <v>435</v>
      </c>
      <c r="B27" s="151"/>
      <c r="C27" s="151" t="s">
        <v>235</v>
      </c>
      <c r="D27" s="156"/>
      <c r="E27" s="151"/>
      <c r="F27" s="151"/>
      <c r="G27" s="156"/>
      <c r="H27" s="151"/>
      <c r="I27" s="151"/>
      <c r="J27" s="151"/>
      <c r="K27" s="287"/>
      <c r="L27" s="288"/>
      <c r="M27" s="288"/>
      <c r="N27" s="13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3" ht="15.75" x14ac:dyDescent="0.25">
      <c r="A28" s="153" t="s">
        <v>436</v>
      </c>
      <c r="B28" s="151"/>
      <c r="C28" s="151"/>
      <c r="D28" s="156"/>
      <c r="E28" s="151"/>
      <c r="F28" s="151"/>
      <c r="G28" s="156"/>
      <c r="H28" s="151"/>
      <c r="I28" s="151"/>
      <c r="J28" s="151"/>
      <c r="K28" s="287"/>
      <c r="L28" s="288"/>
      <c r="M28" s="288"/>
      <c r="N28" s="134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</row>
    <row r="29" spans="1:33" ht="15.75" x14ac:dyDescent="0.25">
      <c r="A29" s="153" t="s">
        <v>430</v>
      </c>
      <c r="B29" s="151"/>
      <c r="C29" s="329">
        <v>240</v>
      </c>
      <c r="D29" s="164"/>
      <c r="E29" s="328"/>
      <c r="F29" s="156"/>
      <c r="G29" s="164"/>
      <c r="H29" s="328"/>
      <c r="I29" s="156"/>
      <c r="J29" s="151"/>
      <c r="K29" s="37"/>
      <c r="L29" s="341"/>
      <c r="M29" s="288"/>
      <c r="N29" s="134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pans="1:33" ht="15.75" x14ac:dyDescent="0.25">
      <c r="A30" s="151" t="s">
        <v>319</v>
      </c>
      <c r="B30" s="151"/>
      <c r="C30" s="329"/>
      <c r="D30" s="164"/>
      <c r="E30" s="328"/>
      <c r="F30" s="156"/>
      <c r="G30" s="164"/>
      <c r="H30" s="328"/>
      <c r="I30" s="156"/>
      <c r="J30" s="151"/>
      <c r="K30" s="37"/>
      <c r="L30" s="341"/>
      <c r="M30" s="288"/>
      <c r="N30" s="134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</row>
    <row r="31" spans="1:33" ht="15.75" x14ac:dyDescent="0.25">
      <c r="A31" s="163" t="s">
        <v>76</v>
      </c>
      <c r="B31" s="151"/>
      <c r="C31" s="329">
        <f ca="1">SUM('[59]Tariff 49'!$D$7)</f>
        <v>565213426</v>
      </c>
      <c r="D31" s="164">
        <f ca="1">'[58]Exhibit No.__(JAP-Tariff)'!E162</f>
        <v>5.4413000000000003E-2</v>
      </c>
      <c r="E31" s="328"/>
      <c r="F31" s="156">
        <f t="shared" ref="F31:F32" ca="1" si="4">ROUND(D31*$C31,0)</f>
        <v>30754958</v>
      </c>
      <c r="G31" s="165">
        <f ca="1">ROUND(D31*(1+$M$41),6)+L44</f>
        <v>5.0738999999999999E-2</v>
      </c>
      <c r="H31" s="328"/>
      <c r="I31" s="156">
        <f t="shared" ref="I31" ca="1" si="5">ROUND(G31*$C31,0)</f>
        <v>28678364</v>
      </c>
      <c r="J31" s="336"/>
      <c r="K31" s="509" t="s">
        <v>656</v>
      </c>
      <c r="L31" s="508"/>
      <c r="M31" s="508"/>
      <c r="N31" s="134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pans="1:33" ht="15.75" x14ac:dyDescent="0.25">
      <c r="A32" s="168" t="s">
        <v>193</v>
      </c>
      <c r="B32" s="300"/>
      <c r="C32" s="380">
        <f ca="1">'[59]Tariff 49'!$D$8</f>
        <v>2770433</v>
      </c>
      <c r="D32" s="164">
        <f ca="1">ROUND(SUM(F31:F31,F35)/SUM(C31:C31),6)</f>
        <v>6.3659999999999994E-2</v>
      </c>
      <c r="E32" s="292"/>
      <c r="F32" s="250">
        <f t="shared" ca="1" si="4"/>
        <v>176366</v>
      </c>
      <c r="G32" s="268">
        <f ca="1">ROUND(+D32*(1+$M$37),6)</f>
        <v>6.4438999999999996E-2</v>
      </c>
      <c r="H32" s="292"/>
      <c r="I32" s="250">
        <f ca="1">ROUND(G32*$C32,0)</f>
        <v>178524</v>
      </c>
      <c r="J32" s="162"/>
      <c r="K32" s="508" t="s">
        <v>189</v>
      </c>
      <c r="L32" s="508"/>
      <c r="M32" s="508"/>
      <c r="N32" s="134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</row>
    <row r="33" spans="1:31" ht="15.75" x14ac:dyDescent="0.25">
      <c r="A33" s="157" t="s">
        <v>210</v>
      </c>
      <c r="B33" s="300"/>
      <c r="C33" s="296">
        <f ca="1">SUM(C31:C32)</f>
        <v>567983859</v>
      </c>
      <c r="D33" s="164"/>
      <c r="E33" s="292"/>
      <c r="F33" s="156">
        <f ca="1">SUM(F31:F32)</f>
        <v>30931324</v>
      </c>
      <c r="G33" s="164"/>
      <c r="H33" s="292"/>
      <c r="I33" s="156">
        <f ca="1">SUM(I31:I32)</f>
        <v>28856888</v>
      </c>
      <c r="J33" s="162"/>
      <c r="K33" s="508"/>
      <c r="L33" s="508"/>
      <c r="M33" s="508"/>
      <c r="N33" s="134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</row>
    <row r="34" spans="1:31" ht="15.75" x14ac:dyDescent="0.25">
      <c r="A34" s="157"/>
      <c r="B34" s="300"/>
      <c r="C34" s="296"/>
      <c r="D34" s="164"/>
      <c r="E34" s="292"/>
      <c r="F34" s="156"/>
      <c r="G34" s="164"/>
      <c r="H34" s="292"/>
      <c r="I34" s="156"/>
      <c r="J34" s="162"/>
      <c r="K34" s="37"/>
      <c r="L34" s="341"/>
      <c r="M34" s="288"/>
      <c r="N34" s="13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</row>
    <row r="35" spans="1:31" ht="15.75" x14ac:dyDescent="0.25">
      <c r="A35" s="153" t="s">
        <v>432</v>
      </c>
      <c r="B35" s="151"/>
      <c r="C35" s="329">
        <f ca="1">'[59]Tariff 49'!$D$12</f>
        <v>1412545</v>
      </c>
      <c r="D35" s="155">
        <f ca="1">'[58]Exhibit No.__(JAP-Tariff)'!E164</f>
        <v>3.7</v>
      </c>
      <c r="E35" s="328"/>
      <c r="F35" s="156">
        <f t="shared" ref="F35" ca="1" si="6">ROUND(D35*$C35,0)</f>
        <v>5226417</v>
      </c>
      <c r="G35" s="155">
        <f ca="1">ROUND(D35*(1+0.48),2)</f>
        <v>5.48</v>
      </c>
      <c r="H35" s="328"/>
      <c r="I35" s="156">
        <f ca="1">ROUND(G35*$C35,0)</f>
        <v>7740747</v>
      </c>
      <c r="J35" s="336"/>
      <c r="K35" s="509" t="s">
        <v>657</v>
      </c>
      <c r="L35" s="508"/>
      <c r="M35" s="508"/>
      <c r="N35" s="134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</row>
    <row r="36" spans="1:31" ht="15.75" x14ac:dyDescent="0.25">
      <c r="A36" s="168"/>
      <c r="B36" s="300"/>
      <c r="C36" s="296"/>
      <c r="D36" s="164"/>
      <c r="E36" s="292"/>
      <c r="F36" s="156"/>
      <c r="G36" s="164"/>
      <c r="H36" s="292"/>
      <c r="I36" s="156"/>
      <c r="J36" s="162"/>
      <c r="K36" s="37"/>
      <c r="L36" s="341"/>
      <c r="M36" s="288"/>
      <c r="N36" s="134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</row>
    <row r="37" spans="1:31" ht="16.5" thickBot="1" x14ac:dyDescent="0.3">
      <c r="A37" s="151" t="s">
        <v>351</v>
      </c>
      <c r="B37" s="151"/>
      <c r="C37" s="296"/>
      <c r="D37" s="382"/>
      <c r="E37" s="207"/>
      <c r="F37" s="172">
        <f ca="1">SUM(F35,F33)</f>
        <v>36157741</v>
      </c>
      <c r="G37" s="382"/>
      <c r="H37" s="207"/>
      <c r="I37" s="172">
        <f ca="1">SUM(I35,I33)</f>
        <v>36597635</v>
      </c>
      <c r="J37" s="335"/>
      <c r="K37" s="293" t="s">
        <v>345</v>
      </c>
      <c r="L37" s="339">
        <f ca="1">'[58]Exhibit No.__(JAP-Rate Spread)'!K24*1000</f>
        <v>40853688.192164958</v>
      </c>
      <c r="M37" s="295">
        <f ca="1">L37/SUM(F22,F37)-1</f>
        <v>1.2229858559902995E-2</v>
      </c>
      <c r="N37" s="134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</row>
    <row r="38" spans="1:31" ht="16.5" thickTop="1" x14ac:dyDescent="0.25">
      <c r="A38" s="292"/>
      <c r="B38" s="151"/>
      <c r="C38" s="329"/>
      <c r="D38" s="222"/>
      <c r="E38" s="328"/>
      <c r="F38" s="330"/>
      <c r="G38" s="222"/>
      <c r="H38" s="328"/>
      <c r="I38" s="330"/>
      <c r="J38" s="330"/>
      <c r="K38" s="387" t="s">
        <v>658</v>
      </c>
      <c r="L38" s="343">
        <f ca="1">-SUM(I35,I20)</f>
        <v>-8727407</v>
      </c>
      <c r="M38" s="344"/>
      <c r="N38" s="134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</row>
    <row r="39" spans="1:31" ht="15.75" x14ac:dyDescent="0.25">
      <c r="A39" s="163"/>
      <c r="B39" s="151"/>
      <c r="C39" s="329"/>
      <c r="D39" s="217"/>
      <c r="E39" s="328"/>
      <c r="F39" s="330"/>
      <c r="G39" s="217"/>
      <c r="H39" s="328"/>
      <c r="I39" s="330"/>
      <c r="J39" s="330"/>
      <c r="K39" s="387" t="s">
        <v>659</v>
      </c>
      <c r="L39" s="343">
        <f ca="1">-F31-F16</f>
        <v>-34223042</v>
      </c>
      <c r="M39" s="344"/>
      <c r="N39" s="134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 ht="15.75" x14ac:dyDescent="0.25">
      <c r="A40" s="163"/>
      <c r="B40" s="151"/>
      <c r="C40" s="329"/>
      <c r="D40" s="217"/>
      <c r="E40" s="328"/>
      <c r="F40" s="330"/>
      <c r="G40" s="217"/>
      <c r="H40" s="328"/>
      <c r="I40" s="330"/>
      <c r="J40" s="330"/>
      <c r="K40" s="387" t="s">
        <v>660</v>
      </c>
      <c r="L40" s="343">
        <f ca="1">-I32-I17</f>
        <v>-214198</v>
      </c>
      <c r="M40" s="388"/>
      <c r="N40" s="134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</row>
    <row r="41" spans="1:31" ht="15.75" x14ac:dyDescent="0.25">
      <c r="A41" s="157"/>
      <c r="B41" s="151"/>
      <c r="C41" s="329"/>
      <c r="D41" s="217"/>
      <c r="E41" s="328"/>
      <c r="F41" s="330"/>
      <c r="G41" s="217"/>
      <c r="H41" s="328"/>
      <c r="I41" s="330"/>
      <c r="J41" s="330"/>
      <c r="K41" s="387" t="s">
        <v>661</v>
      </c>
      <c r="L41" s="343">
        <f ca="1">SUM(L37:L40)</f>
        <v>-2310958.8078350425</v>
      </c>
      <c r="M41" s="345">
        <f ca="1">L41/(F31+F16)</f>
        <v>-6.7526399547855581E-2</v>
      </c>
      <c r="N41" s="134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x14ac:dyDescent="0.3">
      <c r="A42" s="151"/>
      <c r="B42" s="151"/>
      <c r="C42" s="329"/>
      <c r="D42" s="217"/>
      <c r="E42" s="328"/>
      <c r="F42" s="330"/>
      <c r="G42" s="217"/>
      <c r="H42" s="328"/>
      <c r="I42" s="330"/>
      <c r="J42" s="162"/>
      <c r="K42" s="346" t="s">
        <v>46</v>
      </c>
      <c r="L42" s="340">
        <f ca="1">I37-L37--I22</f>
        <v>197.80783504247665</v>
      </c>
      <c r="M42" s="308" t="s">
        <v>235</v>
      </c>
      <c r="N42" s="134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</row>
    <row r="43" spans="1:31" x14ac:dyDescent="0.3">
      <c r="A43" s="151"/>
      <c r="B43" s="151"/>
      <c r="C43" s="329"/>
      <c r="D43" s="217"/>
      <c r="E43" s="328"/>
      <c r="F43" s="330"/>
      <c r="G43" s="217"/>
      <c r="H43" s="328"/>
      <c r="I43" s="330"/>
      <c r="J43" s="162"/>
      <c r="K43" s="334"/>
      <c r="L43" s="332"/>
      <c r="M43" s="288"/>
      <c r="N43" s="134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1:31" x14ac:dyDescent="0.3">
      <c r="A44" s="151"/>
      <c r="B44" s="151"/>
      <c r="C44" s="329"/>
      <c r="D44" s="217"/>
      <c r="E44" s="328"/>
      <c r="F44" s="330"/>
      <c r="G44" s="217"/>
      <c r="H44" s="328"/>
      <c r="I44" s="330"/>
      <c r="J44" s="162"/>
      <c r="K44" s="177" t="s">
        <v>643</v>
      </c>
      <c r="L44" s="305"/>
      <c r="M44" s="305">
        <f ca="1">L42/(C31+C16)</f>
        <v>3.1450499348236824E-7</v>
      </c>
      <c r="N44" s="134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x14ac:dyDescent="0.3">
      <c r="A45" s="151"/>
      <c r="B45" s="151"/>
      <c r="C45" s="329"/>
      <c r="D45" s="217"/>
      <c r="E45" s="328"/>
      <c r="F45" s="330"/>
      <c r="G45" s="217"/>
      <c r="H45" s="328"/>
      <c r="I45" s="330"/>
      <c r="J45" s="336"/>
      <c r="K45" s="37"/>
      <c r="L45" s="37"/>
      <c r="M45" s="37"/>
      <c r="N45" s="134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</row>
    <row r="46" spans="1:31" x14ac:dyDescent="0.3">
      <c r="A46" s="151"/>
      <c r="B46" s="337"/>
      <c r="C46" s="329"/>
      <c r="D46" s="217"/>
      <c r="E46" s="328"/>
      <c r="F46" s="330"/>
      <c r="G46" s="217"/>
      <c r="H46" s="328"/>
      <c r="I46" s="330"/>
      <c r="J46" s="156"/>
      <c r="K46" s="37"/>
      <c r="L46" s="37"/>
      <c r="M46" s="37"/>
      <c r="N46" s="134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</row>
    <row r="47" spans="1:31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41"/>
      <c r="M47" s="341"/>
    </row>
  </sheetData>
  <mergeCells count="17">
    <mergeCell ref="L26:M26"/>
    <mergeCell ref="K31:M31"/>
    <mergeCell ref="K32:M32"/>
    <mergeCell ref="K33:M33"/>
    <mergeCell ref="K35:M35"/>
    <mergeCell ref="L25:M25"/>
    <mergeCell ref="A1:I1"/>
    <mergeCell ref="A2:I2"/>
    <mergeCell ref="A3:I3"/>
    <mergeCell ref="A4:I4"/>
    <mergeCell ref="D9:F9"/>
    <mergeCell ref="G9:I9"/>
    <mergeCell ref="K16:M16"/>
    <mergeCell ref="K17:M17"/>
    <mergeCell ref="K20:M20"/>
    <mergeCell ref="K22:M22"/>
    <mergeCell ref="L24:M24"/>
  </mergeCells>
  <printOptions horizontalCentered="1"/>
  <pageMargins left="0.7" right="0.7" top="0.75" bottom="0.71" header="0.3" footer="0.3"/>
  <pageSetup scale="66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zoomScaleNormal="100" workbookViewId="0">
      <pane xSplit="4" ySplit="5" topLeftCell="E6" activePane="bottomRight" state="frozen"/>
      <selection activeCell="C61" sqref="C61"/>
      <selection pane="topRight" activeCell="C61" sqref="C61"/>
      <selection pane="bottomLeft" activeCell="C61" sqref="C61"/>
      <selection pane="bottomRight" activeCell="E13" sqref="E13"/>
    </sheetView>
  </sheetViews>
  <sheetFormatPr defaultColWidth="8" defaultRowHeight="14.4" x14ac:dyDescent="0.3"/>
  <cols>
    <col min="1" max="1" width="6" style="274" bestFit="1" customWidth="1"/>
    <col min="2" max="2" width="37.33203125" style="274" bestFit="1" customWidth="1"/>
    <col min="3" max="3" width="17.109375" style="274" customWidth="1"/>
    <col min="4" max="4" width="16.33203125" style="274" bestFit="1" customWidth="1"/>
    <col min="5" max="16" width="13.109375" style="274" customWidth="1"/>
    <col min="17" max="16384" width="8" style="274"/>
  </cols>
  <sheetData>
    <row r="1" spans="1:16" ht="15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tr">
        <f>+B5</f>
        <v>Proforma Schedule 26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26.25" x14ac:dyDescent="0.25">
      <c r="A5" s="278" t="s">
        <v>16</v>
      </c>
      <c r="B5" s="279" t="s">
        <v>70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x14ac:dyDescent="0.25">
      <c r="A6" s="458">
        <v>1</v>
      </c>
      <c r="B6" t="s">
        <v>21</v>
      </c>
      <c r="C6"/>
      <c r="D6" s="459">
        <f t="shared" ref="D6:D7" ca="1" si="0">SUM(E6:P6)</f>
        <v>9723</v>
      </c>
      <c r="E6" s="459">
        <f>ROUND(E82/$C82+E83/$C83+E84/$C84,0)</f>
        <v>803</v>
      </c>
      <c r="F6" s="459">
        <f t="shared" ref="F6:P6" si="1">ROUND(F82/$C82+F83/$C83+F84/$C84,0)</f>
        <v>769</v>
      </c>
      <c r="G6" s="459">
        <f t="shared" si="1"/>
        <v>808</v>
      </c>
      <c r="H6" s="459">
        <f t="shared" si="1"/>
        <v>789</v>
      </c>
      <c r="I6" s="459">
        <f t="shared" si="1"/>
        <v>850</v>
      </c>
      <c r="J6" s="459">
        <f t="shared" si="1"/>
        <v>778</v>
      </c>
      <c r="K6" s="459">
        <f t="shared" si="1"/>
        <v>768</v>
      </c>
      <c r="L6" s="459">
        <f t="shared" si="1"/>
        <v>775</v>
      </c>
      <c r="M6" s="459">
        <f t="shared" si="1"/>
        <v>817</v>
      </c>
      <c r="N6" s="459">
        <f t="shared" si="1"/>
        <v>850</v>
      </c>
      <c r="O6" s="459">
        <f t="shared" si="1"/>
        <v>822</v>
      </c>
      <c r="P6" s="459">
        <f t="shared" si="1"/>
        <v>894</v>
      </c>
    </row>
    <row r="7" spans="1:16" ht="15" x14ac:dyDescent="0.25">
      <c r="A7" s="458">
        <f t="shared" ref="A7:A70" si="2">+A6+1</f>
        <v>2</v>
      </c>
      <c r="B7" s="310" t="s">
        <v>72</v>
      </c>
      <c r="C7"/>
      <c r="D7" s="459">
        <f t="shared" ca="1" si="0"/>
        <v>-24</v>
      </c>
      <c r="E7" s="459">
        <f ca="1">-'[59]Tariff 26P'!E6</f>
        <v>-2</v>
      </c>
      <c r="F7" s="459">
        <f ca="1">-'[59]Tariff 26P'!F6</f>
        <v>2</v>
      </c>
      <c r="G7" s="459">
        <f ca="1">-'[59]Tariff 26P'!G6</f>
        <v>-6</v>
      </c>
      <c r="H7" s="459">
        <f ca="1">-'[59]Tariff 26P'!H6</f>
        <v>-1</v>
      </c>
      <c r="I7" s="459">
        <f ca="1">-'[59]Tariff 26P'!I6</f>
        <v>-3</v>
      </c>
      <c r="J7" s="459">
        <f ca="1">-'[59]Tariff 26P'!J6</f>
        <v>-2</v>
      </c>
      <c r="K7" s="459">
        <f ca="1">-'[59]Tariff 26P'!K6</f>
        <v>-1</v>
      </c>
      <c r="L7" s="459">
        <f ca="1">-'[59]Tariff 26P'!L6</f>
        <v>0</v>
      </c>
      <c r="M7" s="459">
        <f ca="1">-'[59]Tariff 26P'!M6</f>
        <v>-2</v>
      </c>
      <c r="N7" s="459">
        <f ca="1">-'[59]Tariff 26P'!N6</f>
        <v>-4</v>
      </c>
      <c r="O7" s="459">
        <f ca="1">-'[59]Tariff 26P'!O6</f>
        <v>-3</v>
      </c>
      <c r="P7" s="459">
        <f ca="1">-'[59]Tariff 26P'!P6</f>
        <v>-2</v>
      </c>
    </row>
    <row r="8" spans="1:16" ht="15" x14ac:dyDescent="0.25">
      <c r="A8" s="458">
        <f t="shared" si="2"/>
        <v>3</v>
      </c>
      <c r="B8" s="310" t="s">
        <v>73</v>
      </c>
      <c r="C8"/>
      <c r="D8" s="459">
        <f t="shared" ref="D8" ca="1" si="3">SUM(E8:P8)</f>
        <v>-12</v>
      </c>
      <c r="E8" s="459">
        <f ca="1">+'[60]Sch 26 Prof Sch40 Rev Adj'!E6</f>
        <v>-1</v>
      </c>
      <c r="F8" s="459">
        <f ca="1">+'[60]Sch 26 Prof Sch40 Rev Adj'!F6</f>
        <v>-1</v>
      </c>
      <c r="G8" s="459">
        <f ca="1">+'[60]Sch 26 Prof Sch40 Rev Adj'!G6</f>
        <v>-1</v>
      </c>
      <c r="H8" s="459">
        <f ca="1">+'[60]Sch 26 Prof Sch40 Rev Adj'!H6</f>
        <v>-1</v>
      </c>
      <c r="I8" s="459">
        <f ca="1">+'[60]Sch 26 Prof Sch40 Rev Adj'!I6</f>
        <v>-1</v>
      </c>
      <c r="J8" s="459">
        <f ca="1">+'[60]Sch 26 Prof Sch40 Rev Adj'!J6</f>
        <v>-1</v>
      </c>
      <c r="K8" s="459">
        <f ca="1">+'[60]Sch 26 Prof Sch40 Rev Adj'!K6</f>
        <v>-1</v>
      </c>
      <c r="L8" s="459">
        <f ca="1">+'[60]Sch 26 Prof Sch40 Rev Adj'!L6</f>
        <v>-1</v>
      </c>
      <c r="M8" s="459">
        <f ca="1">+'[60]Sch 26 Prof Sch40 Rev Adj'!M6</f>
        <v>-1</v>
      </c>
      <c r="N8" s="459">
        <f ca="1">+'[60]Sch 26 Prof Sch40 Rev Adj'!N6</f>
        <v>-1</v>
      </c>
      <c r="O8" s="459">
        <f ca="1">+'[60]Sch 26 Prof Sch40 Rev Adj'!O6</f>
        <v>-1</v>
      </c>
      <c r="P8" s="459">
        <f ca="1">+'[60]Sch 26 Prof Sch40 Rev Adj'!P6</f>
        <v>-1</v>
      </c>
    </row>
    <row r="9" spans="1:16" ht="15" x14ac:dyDescent="0.25">
      <c r="A9" s="458">
        <f t="shared" si="2"/>
        <v>4</v>
      </c>
      <c r="B9" t="s">
        <v>74</v>
      </c>
      <c r="C9"/>
      <c r="D9" s="459">
        <f ca="1">SUM(D6:D8)</f>
        <v>9687</v>
      </c>
      <c r="E9" s="459">
        <f t="shared" ref="E9:P9" ca="1" si="4">SUM(E6:E8)</f>
        <v>800</v>
      </c>
      <c r="F9" s="459">
        <f t="shared" ca="1" si="4"/>
        <v>770</v>
      </c>
      <c r="G9" s="459">
        <f t="shared" ca="1" si="4"/>
        <v>801</v>
      </c>
      <c r="H9" s="459">
        <f t="shared" ca="1" si="4"/>
        <v>787</v>
      </c>
      <c r="I9" s="459">
        <f t="shared" ca="1" si="4"/>
        <v>846</v>
      </c>
      <c r="J9" s="459">
        <f t="shared" ca="1" si="4"/>
        <v>775</v>
      </c>
      <c r="K9" s="459">
        <f t="shared" ca="1" si="4"/>
        <v>766</v>
      </c>
      <c r="L9" s="459">
        <f t="shared" ca="1" si="4"/>
        <v>774</v>
      </c>
      <c r="M9" s="459">
        <f t="shared" ca="1" si="4"/>
        <v>814</v>
      </c>
      <c r="N9" s="459">
        <f t="shared" ca="1" si="4"/>
        <v>845</v>
      </c>
      <c r="O9" s="459">
        <f t="shared" ca="1" si="4"/>
        <v>818</v>
      </c>
      <c r="P9" s="459">
        <f t="shared" ca="1" si="4"/>
        <v>891</v>
      </c>
    </row>
    <row r="10" spans="1:16" ht="15" x14ac:dyDescent="0.25">
      <c r="A10" s="458">
        <f t="shared" si="2"/>
        <v>5</v>
      </c>
      <c r="B10"/>
      <c r="C10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</row>
    <row r="11" spans="1:16" ht="15" x14ac:dyDescent="0.25">
      <c r="A11" s="458">
        <f t="shared" si="2"/>
        <v>6</v>
      </c>
      <c r="B11" t="s">
        <v>75</v>
      </c>
      <c r="C11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</row>
    <row r="12" spans="1:16" ht="15" x14ac:dyDescent="0.25">
      <c r="A12" s="458">
        <f t="shared" si="2"/>
        <v>7</v>
      </c>
      <c r="B12" s="460" t="s">
        <v>76</v>
      </c>
      <c r="C12"/>
      <c r="D12" s="459">
        <f t="shared" ref="D12:D14" si="5">SUM(E12:P12)</f>
        <v>1890681261</v>
      </c>
      <c r="E12" s="459">
        <f>ROUND(+E87/$C87+E88/$C88+E91/$C91+E92/$C92+E93/$C93+E94/$C94+E95/$C95+E96/$C96,0)-5</f>
        <v>154975406</v>
      </c>
      <c r="F12" s="459">
        <f>ROUND(+F87/$C87+F88/$C88+F91/$C91+F92/$C92+F93/$C93+F94/$C94+F95/$C95+F96/$C96,0)-1</f>
        <v>143957271</v>
      </c>
      <c r="G12" s="459">
        <f t="shared" ref="G12:J12" si="6">ROUND(+G87/$C87+G88/$C88+G91/$C91+G92/$C92+G93/$C93+G94/$C94+G95/$C95+G96/$C96,0)</f>
        <v>165139330</v>
      </c>
      <c r="H12" s="459">
        <f>ROUND(+H87/$C87+H88/$C88+H91/$C91+H92/$C92+H93/$C93+H94/$C94+H95/$C95+H96/$C96,0)+1</f>
        <v>153082553</v>
      </c>
      <c r="I12" s="459">
        <f t="shared" si="6"/>
        <v>168575478</v>
      </c>
      <c r="J12" s="459">
        <f t="shared" si="6"/>
        <v>148884121</v>
      </c>
      <c r="K12" s="459">
        <f>ROUND(+K87/$C87+K88/$C88+K91/$C91+K92/$C92+K93/$C93+K94/$C94+K95/$C95+K96/$C96,0)-1</f>
        <v>146171356</v>
      </c>
      <c r="L12" s="459">
        <f>ROUND(+L87/$C87+L88/$C88+L91/$C91+L92/$C92+L93/$C93+L94/$C94+L95/$C95+L96/$C96,0)-1</f>
        <v>139683945</v>
      </c>
      <c r="M12" s="459">
        <f>ROUND(+M87/$C87+M88/$C88+M91/$C91+M92/$C92+M93/$C93+M94/$C94+M95/$C95+M96/$C96,0)-1</f>
        <v>156576833</v>
      </c>
      <c r="N12" s="459">
        <f>ROUND(+N87/$C87+N88/$C88+N91/$C91+N92/$C92+N93/$C93+N94/$C94+N95/$C95+N96/$C96,0)-2</f>
        <v>164669312</v>
      </c>
      <c r="O12" s="459">
        <f>ROUND(+O87/$C87+O88/$C88+O91/$C91+O92/$C92+O93/$C93+O94/$C94+O95/$C95+O96/$C96,0)-1</f>
        <v>171590946</v>
      </c>
      <c r="P12" s="459">
        <f>ROUND(+P87/$C87+P88/$C88+P91/$C91+P92/$C92+P93/$C93+P94/$C94+P95/$C95+P96/$C96,0)+2</f>
        <v>177374710</v>
      </c>
    </row>
    <row r="13" spans="1:16" ht="15" x14ac:dyDescent="0.25">
      <c r="A13" s="458">
        <f t="shared" si="2"/>
        <v>8</v>
      </c>
      <c r="B13" s="460" t="s">
        <v>72</v>
      </c>
      <c r="C13"/>
      <c r="D13" s="459">
        <f t="shared" ca="1" si="5"/>
        <v>-13232300</v>
      </c>
      <c r="E13" s="459">
        <f ca="1">-'[59]Tariff 26P'!E9</f>
        <v>-1043200</v>
      </c>
      <c r="F13" s="459">
        <f ca="1">-'[59]Tariff 26P'!F9</f>
        <v>1522500</v>
      </c>
      <c r="G13" s="459">
        <f ca="1">-'[59]Tariff 26P'!G9</f>
        <v>-4001000</v>
      </c>
      <c r="H13" s="459">
        <f ca="1">-'[59]Tariff 26P'!H9</f>
        <v>-326700</v>
      </c>
      <c r="I13" s="459">
        <f ca="1">-'[59]Tariff 26P'!I9</f>
        <v>-2315100</v>
      </c>
      <c r="J13" s="459">
        <f ca="1">-'[59]Tariff 26P'!J9</f>
        <v>-1170900</v>
      </c>
      <c r="K13" s="459">
        <f ca="1">-'[59]Tariff 26P'!K9</f>
        <v>-763000</v>
      </c>
      <c r="L13" s="459">
        <f ca="1">-'[59]Tariff 26P'!L9</f>
        <v>0</v>
      </c>
      <c r="M13" s="459">
        <f ca="1">-'[59]Tariff 26P'!M9</f>
        <v>-1320900</v>
      </c>
      <c r="N13" s="459">
        <f ca="1">-'[59]Tariff 26P'!N9</f>
        <v>-1118700</v>
      </c>
      <c r="O13" s="459">
        <f ca="1">-'[59]Tariff 26P'!O9</f>
        <v>-1754900</v>
      </c>
      <c r="P13" s="459">
        <f ca="1">-'[59]Tariff 26P'!P9</f>
        <v>-940400</v>
      </c>
    </row>
    <row r="14" spans="1:16" ht="15" x14ac:dyDescent="0.25">
      <c r="A14" s="458">
        <f t="shared" si="2"/>
        <v>9</v>
      </c>
      <c r="B14" s="460" t="s">
        <v>77</v>
      </c>
      <c r="C14"/>
      <c r="D14" s="459">
        <f t="shared" ca="1" si="5"/>
        <v>0</v>
      </c>
      <c r="E14" s="459">
        <f ca="1">+'[60]Sch 26 Prof Sch40 Rev Adj'!E14</f>
        <v>0</v>
      </c>
      <c r="F14" s="459">
        <f ca="1">+'[60]Sch 26 Prof Sch40 Rev Adj'!F14</f>
        <v>0</v>
      </c>
      <c r="G14" s="459">
        <f ca="1">+'[60]Sch 26 Prof Sch40 Rev Adj'!G14</f>
        <v>0</v>
      </c>
      <c r="H14" s="459">
        <f ca="1">+'[60]Sch 26 Prof Sch40 Rev Adj'!H14</f>
        <v>0</v>
      </c>
      <c r="I14" s="459">
        <f ca="1">+'[60]Sch 26 Prof Sch40 Rev Adj'!I14</f>
        <v>0</v>
      </c>
      <c r="J14" s="459">
        <f ca="1">+'[60]Sch 26 Prof Sch40 Rev Adj'!J14</f>
        <v>0</v>
      </c>
      <c r="K14" s="459">
        <f ca="1">+'[60]Sch 26 Prof Sch40 Rev Adj'!K14</f>
        <v>0</v>
      </c>
      <c r="L14" s="459">
        <f ca="1">+'[60]Sch 26 Prof Sch40 Rev Adj'!L14</f>
        <v>0</v>
      </c>
      <c r="M14" s="459">
        <f ca="1">+'[60]Sch 26 Prof Sch40 Rev Adj'!M14</f>
        <v>0</v>
      </c>
      <c r="N14" s="459">
        <f ca="1">+'[60]Sch 26 Prof Sch40 Rev Adj'!N14</f>
        <v>0</v>
      </c>
      <c r="O14" s="459">
        <f ca="1">+'[60]Sch 26 Prof Sch40 Rev Adj'!O14</f>
        <v>0</v>
      </c>
      <c r="P14" s="459">
        <f ca="1">+'[60]Sch 26 Prof Sch40 Rev Adj'!P14</f>
        <v>0</v>
      </c>
    </row>
    <row r="15" spans="1:16" ht="15" x14ac:dyDescent="0.25">
      <c r="A15" s="458">
        <f t="shared" si="2"/>
        <v>10</v>
      </c>
      <c r="B15" s="460" t="s">
        <v>78</v>
      </c>
      <c r="C15"/>
      <c r="D15" s="459">
        <f ca="1">SUM(D12:D14)</f>
        <v>1877448961</v>
      </c>
      <c r="E15" s="459">
        <f t="shared" ref="E15:P15" ca="1" si="7">SUM(E12:E14)</f>
        <v>153932206</v>
      </c>
      <c r="F15" s="459">
        <f t="shared" ca="1" si="7"/>
        <v>145479771</v>
      </c>
      <c r="G15" s="459">
        <f t="shared" ca="1" si="7"/>
        <v>161138330</v>
      </c>
      <c r="H15" s="459">
        <f t="shared" ca="1" si="7"/>
        <v>152755853</v>
      </c>
      <c r="I15" s="459">
        <f t="shared" ca="1" si="7"/>
        <v>166260378</v>
      </c>
      <c r="J15" s="459">
        <f t="shared" ca="1" si="7"/>
        <v>147713221</v>
      </c>
      <c r="K15" s="459">
        <f t="shared" ca="1" si="7"/>
        <v>145408356</v>
      </c>
      <c r="L15" s="459">
        <f t="shared" ca="1" si="7"/>
        <v>139683945</v>
      </c>
      <c r="M15" s="459">
        <f t="shared" ca="1" si="7"/>
        <v>155255933</v>
      </c>
      <c r="N15" s="459">
        <f t="shared" ca="1" si="7"/>
        <v>163550612</v>
      </c>
      <c r="O15" s="459">
        <f t="shared" ca="1" si="7"/>
        <v>169836046</v>
      </c>
      <c r="P15" s="459">
        <f t="shared" ca="1" si="7"/>
        <v>176434310</v>
      </c>
    </row>
    <row r="16" spans="1:16" ht="15" x14ac:dyDescent="0.25">
      <c r="A16" s="458">
        <f t="shared" si="2"/>
        <v>11</v>
      </c>
      <c r="B16" s="461" t="s">
        <v>79</v>
      </c>
      <c r="C16"/>
      <c r="D16" s="459">
        <f t="shared" ref="D16:D17" ca="1" si="8">SUM(E16:P16)</f>
        <v>1605471.0577550698</v>
      </c>
      <c r="E16" s="459">
        <f ca="1">+'[59]Change in Unbilled kWh'!O83</f>
        <v>2515944.4096726701</v>
      </c>
      <c r="F16" s="459">
        <f ca="1">+'[59]Change in Unbilled kWh'!P83</f>
        <v>8534162.6797397994</v>
      </c>
      <c r="G16" s="459">
        <f ca="1">+'[59]Change in Unbilled kWh'!Q83</f>
        <v>3742425.6922847982</v>
      </c>
      <c r="H16" s="459">
        <f ca="1">+'[59]Change in Unbilled kWh'!F83</f>
        <v>810551.73131766543</v>
      </c>
      <c r="I16" s="459">
        <f ca="1">+'[59]Change in Unbilled kWh'!G83</f>
        <v>-19285196.78030704</v>
      </c>
      <c r="J16" s="459">
        <f ca="1">+'[59]Change in Unbilled kWh'!H83</f>
        <v>6272060.0911717396</v>
      </c>
      <c r="K16" s="459">
        <f ca="1">+'[59]Change in Unbilled kWh'!I83</f>
        <v>4796183.2545916503</v>
      </c>
      <c r="L16" s="459">
        <f ca="1">+'[59]Change in Unbilled kWh'!J83</f>
        <v>-2647617.9208985856</v>
      </c>
      <c r="M16" s="459">
        <f ca="1">+'[59]Change in Unbilled kWh'!K83</f>
        <v>16447544.589760652</v>
      </c>
      <c r="N16" s="459">
        <f ca="1">+'[59]Change in Unbilled kWh'!L83</f>
        <v>3762045.2395644933</v>
      </c>
      <c r="O16" s="459">
        <f ca="1">+'[59]Change in Unbilled kWh'!M83</f>
        <v>-7584187.4945688918</v>
      </c>
      <c r="P16" s="459">
        <f ca="1">+'[59]Change in Unbilled kWh'!N83</f>
        <v>-15758444.434573879</v>
      </c>
    </row>
    <row r="17" spans="1:16" ht="15" x14ac:dyDescent="0.25">
      <c r="A17" s="458">
        <f t="shared" si="2"/>
        <v>12</v>
      </c>
      <c r="B17" s="461" t="s">
        <v>80</v>
      </c>
      <c r="C17"/>
      <c r="D17" s="459">
        <f t="shared" ca="1" si="8"/>
        <v>-231987.67610922537</v>
      </c>
      <c r="E17" s="459">
        <f ca="1">+'[59]Temperature Adj'!L27</f>
        <v>72646.544400850558</v>
      </c>
      <c r="F17" s="459">
        <f ca="1">+'[59]Temperature Adj'!M27</f>
        <v>-520008.45481479669</v>
      </c>
      <c r="G17" s="459">
        <f ca="1">+'[59]Temperature Adj'!N27</f>
        <v>507910.00018769188</v>
      </c>
      <c r="H17" s="459">
        <f ca="1">+'[59]Temperature Adj'!C27</f>
        <v>558281.61848886195</v>
      </c>
      <c r="I17" s="459">
        <f ca="1">+'[59]Temperature Adj'!D27</f>
        <v>952091.89851427195</v>
      </c>
      <c r="J17" s="459">
        <f ca="1">+'[59]Temperature Adj'!E27</f>
        <v>428095.77629602334</v>
      </c>
      <c r="K17" s="459">
        <f ca="1">+'[59]Temperature Adj'!F27</f>
        <v>154601.6523396041</v>
      </c>
      <c r="L17" s="459">
        <f ca="1">+'[59]Temperature Adj'!G27</f>
        <v>14567.20111491697</v>
      </c>
      <c r="M17" s="459">
        <f ca="1">+'[59]Temperature Adj'!H27</f>
        <v>-740156.59899292339</v>
      </c>
      <c r="N17" s="459">
        <f ca="1">+'[59]Temperature Adj'!I27</f>
        <v>-142085.18873017182</v>
      </c>
      <c r="O17" s="459">
        <f ca="1">+'[59]Temperature Adj'!J27</f>
        <v>-1909040.8791470625</v>
      </c>
      <c r="P17" s="459">
        <f ca="1">+'[59]Temperature Adj'!K27</f>
        <v>391108.75423350802</v>
      </c>
    </row>
    <row r="18" spans="1:16" ht="15" x14ac:dyDescent="0.25">
      <c r="A18" s="458">
        <f t="shared" si="2"/>
        <v>13</v>
      </c>
      <c r="B18" s="460" t="s">
        <v>57</v>
      </c>
      <c r="C18"/>
      <c r="D18" s="459">
        <f t="shared" ref="D18:P18" ca="1" si="9">SUM(D15:D17)</f>
        <v>1878822444.3816457</v>
      </c>
      <c r="E18" s="459">
        <f t="shared" ca="1" si="9"/>
        <v>156520796.95407352</v>
      </c>
      <c r="F18" s="459">
        <f t="shared" ca="1" si="9"/>
        <v>153493925.22492501</v>
      </c>
      <c r="G18" s="459">
        <f t="shared" ca="1" si="9"/>
        <v>165388665.69247249</v>
      </c>
      <c r="H18" s="459">
        <f t="shared" ca="1" si="9"/>
        <v>154124686.34980652</v>
      </c>
      <c r="I18" s="459">
        <f t="shared" ca="1" si="9"/>
        <v>147927273.11820722</v>
      </c>
      <c r="J18" s="459">
        <f t="shared" ca="1" si="9"/>
        <v>154413376.86746776</v>
      </c>
      <c r="K18" s="459">
        <f t="shared" ca="1" si="9"/>
        <v>150359140.90693125</v>
      </c>
      <c r="L18" s="459">
        <f t="shared" ca="1" si="9"/>
        <v>137050894.28021634</v>
      </c>
      <c r="M18" s="459">
        <f t="shared" ca="1" si="9"/>
        <v>170963320.99076775</v>
      </c>
      <c r="N18" s="459">
        <f t="shared" ca="1" si="9"/>
        <v>167170572.0508343</v>
      </c>
      <c r="O18" s="459">
        <f t="shared" ca="1" si="9"/>
        <v>160342817.62628406</v>
      </c>
      <c r="P18" s="459">
        <f t="shared" ca="1" si="9"/>
        <v>161066974.31965962</v>
      </c>
    </row>
    <row r="19" spans="1:16" ht="15" x14ac:dyDescent="0.25">
      <c r="A19" s="458">
        <f t="shared" si="2"/>
        <v>14</v>
      </c>
      <c r="B19" s="460"/>
      <c r="C1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</row>
    <row r="20" spans="1:16" ht="15" x14ac:dyDescent="0.25">
      <c r="A20" s="458">
        <f t="shared" si="2"/>
        <v>15</v>
      </c>
      <c r="B20" s="310" t="s">
        <v>81</v>
      </c>
      <c r="C20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</row>
    <row r="21" spans="1:16" ht="15" x14ac:dyDescent="0.25">
      <c r="A21" s="458">
        <f t="shared" si="2"/>
        <v>16</v>
      </c>
      <c r="B21" s="460" t="s">
        <v>82</v>
      </c>
      <c r="C21"/>
      <c r="D21" s="459">
        <f t="shared" ref="D21:D22" ca="1" si="10">SUM(E21:P21)</f>
        <v>2245260</v>
      </c>
      <c r="E21" s="459">
        <f>ROUND(+E103/$C103+E104/$C104+E105/$C105+E109/$C109,0)</f>
        <v>164903</v>
      </c>
      <c r="F21" s="459">
        <f t="shared" ref="F21:P21" si="11">ROUND(+F103/$C103+F104/$C104+F105/$C105+F109/$C109,0)</f>
        <v>345287</v>
      </c>
      <c r="G21" s="459">
        <f t="shared" si="11"/>
        <v>387231</v>
      </c>
      <c r="H21" s="459">
        <f t="shared" si="11"/>
        <v>359425</v>
      </c>
      <c r="I21" s="459">
        <f t="shared" si="11"/>
        <v>397542</v>
      </c>
      <c r="J21" s="459">
        <f t="shared" si="11"/>
        <v>355456</v>
      </c>
      <c r="K21" s="459">
        <f t="shared" si="11"/>
        <v>207618</v>
      </c>
      <c r="L21" s="459">
        <f t="shared" si="11"/>
        <v>22258</v>
      </c>
      <c r="M21" s="459">
        <f t="shared" si="11"/>
        <v>5003</v>
      </c>
      <c r="N21" s="459">
        <f t="shared" si="11"/>
        <v>537</v>
      </c>
      <c r="O21" s="459">
        <f t="shared" si="11"/>
        <v>0</v>
      </c>
      <c r="P21" s="459">
        <f t="shared" si="11"/>
        <v>0</v>
      </c>
    </row>
    <row r="22" spans="1:16" ht="15" x14ac:dyDescent="0.25">
      <c r="A22" s="458">
        <f t="shared" si="2"/>
        <v>17</v>
      </c>
      <c r="B22" s="460" t="s">
        <v>72</v>
      </c>
      <c r="C22"/>
      <c r="D22" s="459">
        <f t="shared" ca="1" si="10"/>
        <v>-16911</v>
      </c>
      <c r="E22" s="459">
        <f ca="1">-'[59]Tariff 26P'!E15</f>
        <v>-1758</v>
      </c>
      <c r="F22" s="459">
        <f ca="1">-'[59]Tariff 26P'!F15</f>
        <v>1370</v>
      </c>
      <c r="G22" s="459">
        <f ca="1">-'[59]Tariff 26P'!G15</f>
        <v>-7320</v>
      </c>
      <c r="H22" s="459">
        <f ca="1">-'[59]Tariff 26P'!H15</f>
        <v>-554</v>
      </c>
      <c r="I22" s="459">
        <f ca="1">-'[59]Tariff 26P'!I15</f>
        <v>-5208</v>
      </c>
      <c r="J22" s="459">
        <f ca="1">-'[59]Tariff 26P'!J15</f>
        <v>-2764</v>
      </c>
      <c r="K22" s="459">
        <f ca="1">-'[59]Tariff 26P'!K15</f>
        <v>-544</v>
      </c>
      <c r="L22" s="459">
        <f ca="1">-'[59]Tariff 26P'!L15</f>
        <v>0</v>
      </c>
      <c r="M22" s="459">
        <f ca="1">-'[59]Tariff 26P'!M15</f>
        <v>0</v>
      </c>
      <c r="N22" s="459">
        <f ca="1">-'[59]Tariff 26P'!N15</f>
        <v>-133</v>
      </c>
      <c r="O22" s="459">
        <f ca="1">-'[59]Tariff 26P'!O15</f>
        <v>0</v>
      </c>
      <c r="P22" s="459">
        <f ca="1">-'[59]Tariff 26P'!P15</f>
        <v>0</v>
      </c>
    </row>
    <row r="23" spans="1:16" ht="15" x14ac:dyDescent="0.25">
      <c r="A23" s="458">
        <f t="shared" si="2"/>
        <v>18</v>
      </c>
      <c r="B23" s="460" t="s">
        <v>83</v>
      </c>
      <c r="C23"/>
      <c r="D23" s="459">
        <f t="shared" ref="D23" ca="1" si="12">SUM(E23:P23)</f>
        <v>0</v>
      </c>
      <c r="E23" s="459">
        <f ca="1">+'[60]Sch 26 Prof Sch40 Rev Adj'!E19</f>
        <v>0</v>
      </c>
      <c r="F23" s="459">
        <f ca="1">+'[60]Sch 26 Prof Sch40 Rev Adj'!F19</f>
        <v>0</v>
      </c>
      <c r="G23" s="459">
        <f ca="1">+'[60]Sch 26 Prof Sch40 Rev Adj'!G19</f>
        <v>0</v>
      </c>
      <c r="H23" s="459">
        <f ca="1">+'[60]Sch 26 Prof Sch40 Rev Adj'!H19</f>
        <v>0</v>
      </c>
      <c r="I23" s="459">
        <f ca="1">+'[60]Sch 26 Prof Sch40 Rev Adj'!I19</f>
        <v>0</v>
      </c>
      <c r="J23" s="459">
        <f ca="1">+'[60]Sch 26 Prof Sch40 Rev Adj'!J19</f>
        <v>0</v>
      </c>
      <c r="K23" s="459">
        <f ca="1">+'[60]Sch 26 Prof Sch40 Rev Adj'!K19</f>
        <v>0</v>
      </c>
      <c r="L23" s="459">
        <f ca="1">+'[60]Sch 26 Prof Sch40 Rev Adj'!L19</f>
        <v>0</v>
      </c>
      <c r="M23" s="459">
        <f ca="1">+'[60]Sch 26 Prof Sch40 Rev Adj'!M19</f>
        <v>0</v>
      </c>
      <c r="N23" s="459">
        <f ca="1">+'[60]Sch 26 Prof Sch40 Rev Adj'!N19</f>
        <v>0</v>
      </c>
      <c r="O23" s="459">
        <f ca="1">+'[60]Sch 26 Prof Sch40 Rev Adj'!O19</f>
        <v>0</v>
      </c>
      <c r="P23" s="459">
        <f ca="1">+'[60]Sch 26 Prof Sch40 Rev Adj'!P19</f>
        <v>0</v>
      </c>
    </row>
    <row r="24" spans="1:16" ht="15" x14ac:dyDescent="0.25">
      <c r="A24" s="458">
        <f t="shared" si="2"/>
        <v>19</v>
      </c>
      <c r="B24" s="461" t="s">
        <v>84</v>
      </c>
      <c r="C24"/>
      <c r="D24" s="459">
        <f ca="1">SUM(D21:D23)</f>
        <v>2228349</v>
      </c>
      <c r="E24" s="459">
        <f t="shared" ref="E24:P24" ca="1" si="13">SUM(E21:E23)</f>
        <v>163145</v>
      </c>
      <c r="F24" s="459">
        <f t="shared" ca="1" si="13"/>
        <v>346657</v>
      </c>
      <c r="G24" s="459">
        <f t="shared" ca="1" si="13"/>
        <v>379911</v>
      </c>
      <c r="H24" s="459">
        <f t="shared" ca="1" si="13"/>
        <v>358871</v>
      </c>
      <c r="I24" s="459">
        <f t="shared" ca="1" si="13"/>
        <v>392334</v>
      </c>
      <c r="J24" s="459">
        <f t="shared" ca="1" si="13"/>
        <v>352692</v>
      </c>
      <c r="K24" s="459">
        <f t="shared" ca="1" si="13"/>
        <v>207074</v>
      </c>
      <c r="L24" s="459">
        <f t="shared" ca="1" si="13"/>
        <v>22258</v>
      </c>
      <c r="M24" s="459">
        <f t="shared" ca="1" si="13"/>
        <v>5003</v>
      </c>
      <c r="N24" s="459">
        <f t="shared" ca="1" si="13"/>
        <v>404</v>
      </c>
      <c r="O24" s="459">
        <f t="shared" ca="1" si="13"/>
        <v>0</v>
      </c>
      <c r="P24" s="459">
        <f t="shared" ca="1" si="13"/>
        <v>0</v>
      </c>
    </row>
    <row r="25" spans="1:16" ht="15" x14ac:dyDescent="0.25">
      <c r="A25" s="458">
        <f t="shared" si="2"/>
        <v>20</v>
      </c>
      <c r="B25" s="460"/>
      <c r="C25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</row>
    <row r="26" spans="1:16" ht="15" x14ac:dyDescent="0.25">
      <c r="A26" s="458">
        <f t="shared" si="2"/>
        <v>21</v>
      </c>
      <c r="B26" s="460" t="s">
        <v>85</v>
      </c>
      <c r="C26"/>
      <c r="D26" s="459">
        <f>SUM(E26:P26)</f>
        <v>2359270</v>
      </c>
      <c r="E26" s="459">
        <f>ROUND(+E98/$C98+E99/$C99+E100/$C100+E101/$C101+E102/$C102+E107/$C107+E108/$C108,0)</f>
        <v>211053</v>
      </c>
      <c r="F26" s="459">
        <f t="shared" ref="F26:P26" si="14">ROUND(+F98/$C98+F99/$C99+F100/$C100+F101/$C101+F102/$C102+F107/$C107+F108/$C108,0)</f>
        <v>4087</v>
      </c>
      <c r="G26" s="459">
        <f t="shared" si="14"/>
        <v>6507</v>
      </c>
      <c r="H26" s="459">
        <f t="shared" si="14"/>
        <v>0</v>
      </c>
      <c r="I26" s="459">
        <f t="shared" si="14"/>
        <v>0</v>
      </c>
      <c r="J26" s="459">
        <f t="shared" si="14"/>
        <v>0</v>
      </c>
      <c r="K26" s="459">
        <f t="shared" si="14"/>
        <v>155692</v>
      </c>
      <c r="L26" s="459">
        <f t="shared" si="14"/>
        <v>342049</v>
      </c>
      <c r="M26" s="459">
        <f t="shared" si="14"/>
        <v>389282</v>
      </c>
      <c r="N26" s="459">
        <f t="shared" si="14"/>
        <v>409527</v>
      </c>
      <c r="O26" s="459">
        <f t="shared" si="14"/>
        <v>405383</v>
      </c>
      <c r="P26" s="459">
        <f t="shared" si="14"/>
        <v>435690</v>
      </c>
    </row>
    <row r="27" spans="1:16" ht="15" x14ac:dyDescent="0.25">
      <c r="A27" s="458">
        <f t="shared" si="2"/>
        <v>22</v>
      </c>
      <c r="B27" s="460" t="s">
        <v>72</v>
      </c>
      <c r="C27"/>
      <c r="D27" s="459">
        <f ca="1">SUM(E27:P27)</f>
        <v>-14150</v>
      </c>
      <c r="E27" s="459">
        <f ca="1">-'[59]Tariff 26P'!E16</f>
        <v>-728</v>
      </c>
      <c r="F27" s="459">
        <f ca="1">-'[59]Tariff 26P'!F16</f>
        <v>2398</v>
      </c>
      <c r="G27" s="459">
        <f ca="1">-'[59]Tariff 26P'!G16</f>
        <v>-2398</v>
      </c>
      <c r="H27" s="459">
        <f ca="1">-'[59]Tariff 26P'!H16</f>
        <v>0</v>
      </c>
      <c r="I27" s="459">
        <f ca="1">-'[59]Tariff 26P'!I16</f>
        <v>0</v>
      </c>
      <c r="J27" s="459">
        <f ca="1">-'[59]Tariff 26P'!J16</f>
        <v>0</v>
      </c>
      <c r="K27" s="459">
        <f ca="1">-'[59]Tariff 26P'!K16</f>
        <v>-1427</v>
      </c>
      <c r="L27" s="459">
        <f ca="1">-'[59]Tariff 26P'!L16</f>
        <v>0</v>
      </c>
      <c r="M27" s="459">
        <f ca="1">-'[59]Tariff 26P'!M16</f>
        <v>-3527</v>
      </c>
      <c r="N27" s="459">
        <f ca="1">-'[59]Tariff 26P'!N16</f>
        <v>-2095</v>
      </c>
      <c r="O27" s="459">
        <f ca="1">-'[59]Tariff 26P'!O16</f>
        <v>-4162</v>
      </c>
      <c r="P27" s="459">
        <f ca="1">-'[59]Tariff 26P'!P16</f>
        <v>-2211</v>
      </c>
    </row>
    <row r="28" spans="1:16" ht="15" x14ac:dyDescent="0.25">
      <c r="A28" s="458">
        <f t="shared" si="2"/>
        <v>23</v>
      </c>
      <c r="B28" s="460" t="s">
        <v>83</v>
      </c>
      <c r="C28"/>
      <c r="D28" s="459">
        <f t="shared" ref="D28" ca="1" si="15">SUM(E28:P28)</f>
        <v>0</v>
      </c>
      <c r="E28" s="459">
        <f ca="1">+'[60]Sch 26 Prof Sch40 Rev Adj'!E23</f>
        <v>0</v>
      </c>
      <c r="F28" s="459">
        <f ca="1">+'[60]Sch 26 Prof Sch40 Rev Adj'!F23</f>
        <v>0</v>
      </c>
      <c r="G28" s="459">
        <f ca="1">+'[60]Sch 26 Prof Sch40 Rev Adj'!G23</f>
        <v>0</v>
      </c>
      <c r="H28" s="459">
        <f ca="1">+'[60]Sch 26 Prof Sch40 Rev Adj'!H23</f>
        <v>0</v>
      </c>
      <c r="I28" s="459">
        <f ca="1">+'[60]Sch 26 Prof Sch40 Rev Adj'!I23</f>
        <v>0</v>
      </c>
      <c r="J28" s="459">
        <f ca="1">+'[60]Sch 26 Prof Sch40 Rev Adj'!J23</f>
        <v>0</v>
      </c>
      <c r="K28" s="459">
        <f ca="1">+'[60]Sch 26 Prof Sch40 Rev Adj'!K23</f>
        <v>0</v>
      </c>
      <c r="L28" s="459">
        <f ca="1">+'[60]Sch 26 Prof Sch40 Rev Adj'!L23</f>
        <v>0</v>
      </c>
      <c r="M28" s="459">
        <f ca="1">+'[60]Sch 26 Prof Sch40 Rev Adj'!M23</f>
        <v>0</v>
      </c>
      <c r="N28" s="459">
        <f ca="1">+'[60]Sch 26 Prof Sch40 Rev Adj'!N23</f>
        <v>0</v>
      </c>
      <c r="O28" s="459">
        <f ca="1">+'[60]Sch 26 Prof Sch40 Rev Adj'!O23</f>
        <v>0</v>
      </c>
      <c r="P28" s="459">
        <f ca="1">+'[60]Sch 26 Prof Sch40 Rev Adj'!P23</f>
        <v>0</v>
      </c>
    </row>
    <row r="29" spans="1:16" ht="15" x14ac:dyDescent="0.25">
      <c r="A29" s="458">
        <f t="shared" si="2"/>
        <v>24</v>
      </c>
      <c r="B29" s="461" t="s">
        <v>86</v>
      </c>
      <c r="C29"/>
      <c r="D29" s="459">
        <f ca="1">SUM(D26:D28)</f>
        <v>2345120</v>
      </c>
      <c r="E29" s="459">
        <f t="shared" ref="E29:P29" ca="1" si="16">SUM(E26:E28)</f>
        <v>210325</v>
      </c>
      <c r="F29" s="459">
        <f t="shared" ca="1" si="16"/>
        <v>6485</v>
      </c>
      <c r="G29" s="459">
        <f t="shared" ca="1" si="16"/>
        <v>4109</v>
      </c>
      <c r="H29" s="459">
        <f t="shared" ca="1" si="16"/>
        <v>0</v>
      </c>
      <c r="I29" s="459">
        <f t="shared" ca="1" si="16"/>
        <v>0</v>
      </c>
      <c r="J29" s="459">
        <f t="shared" ca="1" si="16"/>
        <v>0</v>
      </c>
      <c r="K29" s="459">
        <f t="shared" ca="1" si="16"/>
        <v>154265</v>
      </c>
      <c r="L29" s="459">
        <f t="shared" ca="1" si="16"/>
        <v>342049</v>
      </c>
      <c r="M29" s="459">
        <f t="shared" ca="1" si="16"/>
        <v>385755</v>
      </c>
      <c r="N29" s="459">
        <f t="shared" ca="1" si="16"/>
        <v>407432</v>
      </c>
      <c r="O29" s="459">
        <f t="shared" ca="1" si="16"/>
        <v>401221</v>
      </c>
      <c r="P29" s="459">
        <f t="shared" ca="1" si="16"/>
        <v>433479</v>
      </c>
    </row>
    <row r="30" spans="1:16" ht="15" x14ac:dyDescent="0.25">
      <c r="A30" s="458">
        <f t="shared" si="2"/>
        <v>25</v>
      </c>
      <c r="B30" s="310" t="s">
        <v>87</v>
      </c>
      <c r="C30"/>
      <c r="D30" s="459">
        <f t="shared" ref="D30" ca="1" si="17">SUM(E30:P30)</f>
        <v>4573469</v>
      </c>
      <c r="E30" s="459">
        <f t="shared" ref="E30:P30" ca="1" si="18">SUM(E29,E24)</f>
        <v>373470</v>
      </c>
      <c r="F30" s="459">
        <f t="shared" ca="1" si="18"/>
        <v>353142</v>
      </c>
      <c r="G30" s="459">
        <f t="shared" ca="1" si="18"/>
        <v>384020</v>
      </c>
      <c r="H30" s="459">
        <f t="shared" ca="1" si="18"/>
        <v>358871</v>
      </c>
      <c r="I30" s="459">
        <f t="shared" ca="1" si="18"/>
        <v>392334</v>
      </c>
      <c r="J30" s="459">
        <f t="shared" ca="1" si="18"/>
        <v>352692</v>
      </c>
      <c r="K30" s="459">
        <f t="shared" ca="1" si="18"/>
        <v>361339</v>
      </c>
      <c r="L30" s="459">
        <f t="shared" ca="1" si="18"/>
        <v>364307</v>
      </c>
      <c r="M30" s="459">
        <f t="shared" ca="1" si="18"/>
        <v>390758</v>
      </c>
      <c r="N30" s="459">
        <f t="shared" ca="1" si="18"/>
        <v>407836</v>
      </c>
      <c r="O30" s="459">
        <f t="shared" ca="1" si="18"/>
        <v>401221</v>
      </c>
      <c r="P30" s="459">
        <f t="shared" ca="1" si="18"/>
        <v>433479</v>
      </c>
    </row>
    <row r="31" spans="1:16" ht="15" x14ac:dyDescent="0.25">
      <c r="A31" s="458">
        <f t="shared" si="2"/>
        <v>26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 x14ac:dyDescent="0.25">
      <c r="A32" s="458">
        <f t="shared" si="2"/>
        <v>27</v>
      </c>
      <c r="B32" s="310" t="s">
        <v>88</v>
      </c>
      <c r="C32"/>
      <c r="D32" s="459">
        <f t="shared" ref="D32" si="19">SUM(E32:P32)</f>
        <v>834506812</v>
      </c>
      <c r="E32" s="459">
        <f>ROUND(+E111/$C111,0)</f>
        <v>71121260</v>
      </c>
      <c r="F32" s="459">
        <f t="shared" ref="F32:P32" si="20">ROUND(+F111/$C111,0)</f>
        <v>62751165</v>
      </c>
      <c r="G32" s="459">
        <f t="shared" si="20"/>
        <v>65868669</v>
      </c>
      <c r="H32" s="459">
        <f t="shared" si="20"/>
        <v>69568606</v>
      </c>
      <c r="I32" s="459">
        <f t="shared" si="20"/>
        <v>57965764</v>
      </c>
      <c r="J32" s="459">
        <f t="shared" si="20"/>
        <v>61983898</v>
      </c>
      <c r="K32" s="459">
        <f t="shared" si="20"/>
        <v>64765567</v>
      </c>
      <c r="L32" s="459">
        <f t="shared" si="20"/>
        <v>63291575</v>
      </c>
      <c r="M32" s="459">
        <f t="shared" si="20"/>
        <v>72182394</v>
      </c>
      <c r="N32" s="459">
        <f t="shared" si="20"/>
        <v>78141449</v>
      </c>
      <c r="O32" s="459">
        <f t="shared" si="20"/>
        <v>88608961</v>
      </c>
      <c r="P32" s="459">
        <f t="shared" si="20"/>
        <v>78257504</v>
      </c>
    </row>
    <row r="33" spans="1:16" ht="15" x14ac:dyDescent="0.25">
      <c r="A33" s="458">
        <f t="shared" si="2"/>
        <v>28</v>
      </c>
      <c r="B33" t="s">
        <v>72</v>
      </c>
      <c r="C33"/>
      <c r="D33" s="459">
        <f ca="1">SUM(E33:P33)</f>
        <v>-4625110</v>
      </c>
      <c r="E33" s="459">
        <f ca="1">-'[59]Tariff 26P'!E19</f>
        <v>-416606</v>
      </c>
      <c r="F33" s="459">
        <f ca="1">-'[59]Tariff 26P'!F19</f>
        <v>553701</v>
      </c>
      <c r="G33" s="459">
        <f ca="1">-'[59]Tariff 26P'!G19</f>
        <v>-1331598</v>
      </c>
      <c r="H33" s="459">
        <f ca="1">-'[59]Tariff 26P'!H19</f>
        <v>-148504</v>
      </c>
      <c r="I33" s="459">
        <f ca="1">-'[59]Tariff 26P'!I19</f>
        <v>-625701</v>
      </c>
      <c r="J33" s="459">
        <f ca="1">-'[59]Tariff 26P'!J19</f>
        <v>-363197</v>
      </c>
      <c r="K33" s="459">
        <f ca="1">-'[59]Tariff 26P'!K19</f>
        <v>-220504</v>
      </c>
      <c r="L33" s="459">
        <f ca="1">-'[59]Tariff 26P'!L19</f>
        <v>0</v>
      </c>
      <c r="M33" s="459">
        <f ca="1">-'[59]Tariff 26P'!M19</f>
        <v>-455701</v>
      </c>
      <c r="N33" s="459">
        <f ca="1">-'[59]Tariff 26P'!N19</f>
        <v>-579598</v>
      </c>
      <c r="O33" s="459">
        <f ca="1">-'[59]Tariff 26P'!O19</f>
        <v>-659701</v>
      </c>
      <c r="P33" s="459">
        <f ca="1">-'[59]Tariff 26P'!P19</f>
        <v>-377701</v>
      </c>
    </row>
    <row r="34" spans="1:16" ht="15" x14ac:dyDescent="0.25">
      <c r="A34" s="458">
        <f t="shared" si="2"/>
        <v>29</v>
      </c>
      <c r="B34" s="310" t="s">
        <v>89</v>
      </c>
      <c r="C34"/>
      <c r="D34" s="459">
        <f ca="1">SUM(E34:P34)</f>
        <v>0</v>
      </c>
      <c r="E34" s="459">
        <f ca="1">+'[60]Sch 26 Prof Sch40 Rev Adj'!E28</f>
        <v>0</v>
      </c>
      <c r="F34" s="459">
        <f ca="1">+'[60]Sch 26 Prof Sch40 Rev Adj'!F28</f>
        <v>0</v>
      </c>
      <c r="G34" s="459">
        <f ca="1">+'[60]Sch 26 Prof Sch40 Rev Adj'!G28</f>
        <v>0</v>
      </c>
      <c r="H34" s="459">
        <f ca="1">+'[60]Sch 26 Prof Sch40 Rev Adj'!H28</f>
        <v>0</v>
      </c>
      <c r="I34" s="459">
        <f ca="1">+'[60]Sch 26 Prof Sch40 Rev Adj'!I28</f>
        <v>0</v>
      </c>
      <c r="J34" s="459">
        <f ca="1">+'[60]Sch 26 Prof Sch40 Rev Adj'!J28</f>
        <v>0</v>
      </c>
      <c r="K34" s="459">
        <f ca="1">+'[60]Sch 26 Prof Sch40 Rev Adj'!K28</f>
        <v>0</v>
      </c>
      <c r="L34" s="459">
        <f ca="1">+'[60]Sch 26 Prof Sch40 Rev Adj'!L28</f>
        <v>0</v>
      </c>
      <c r="M34" s="459">
        <f ca="1">+'[60]Sch 26 Prof Sch40 Rev Adj'!M28</f>
        <v>0</v>
      </c>
      <c r="N34" s="459">
        <f ca="1">+'[60]Sch 26 Prof Sch40 Rev Adj'!N28</f>
        <v>0</v>
      </c>
      <c r="O34" s="459">
        <f ca="1">+'[60]Sch 26 Prof Sch40 Rev Adj'!O28</f>
        <v>0</v>
      </c>
      <c r="P34" s="459">
        <f ca="1">+'[60]Sch 26 Prof Sch40 Rev Adj'!P28</f>
        <v>0</v>
      </c>
    </row>
    <row r="35" spans="1:16" x14ac:dyDescent="0.3">
      <c r="A35" s="458">
        <f t="shared" si="2"/>
        <v>30</v>
      </c>
      <c r="B35" t="s">
        <v>90</v>
      </c>
      <c r="C35"/>
      <c r="D35" s="459">
        <f ca="1">SUM(D32:D34)</f>
        <v>829881702</v>
      </c>
      <c r="E35" s="459">
        <f t="shared" ref="E35:P35" ca="1" si="21">SUM(E32:E34)</f>
        <v>70704654</v>
      </c>
      <c r="F35" s="459">
        <f t="shared" ca="1" si="21"/>
        <v>63304866</v>
      </c>
      <c r="G35" s="459">
        <f t="shared" ca="1" si="21"/>
        <v>64537071</v>
      </c>
      <c r="H35" s="459">
        <f t="shared" ca="1" si="21"/>
        <v>69420102</v>
      </c>
      <c r="I35" s="459">
        <f t="shared" ca="1" si="21"/>
        <v>57340063</v>
      </c>
      <c r="J35" s="459">
        <f t="shared" ca="1" si="21"/>
        <v>61620701</v>
      </c>
      <c r="K35" s="459">
        <f t="shared" ca="1" si="21"/>
        <v>64545063</v>
      </c>
      <c r="L35" s="459">
        <f t="shared" ca="1" si="21"/>
        <v>63291575</v>
      </c>
      <c r="M35" s="459">
        <f t="shared" ca="1" si="21"/>
        <v>71726693</v>
      </c>
      <c r="N35" s="459">
        <f t="shared" ca="1" si="21"/>
        <v>77561851</v>
      </c>
      <c r="O35" s="459">
        <f t="shared" ca="1" si="21"/>
        <v>87949260</v>
      </c>
      <c r="P35" s="459">
        <f t="shared" ca="1" si="21"/>
        <v>77879803</v>
      </c>
    </row>
    <row r="36" spans="1:16" x14ac:dyDescent="0.3">
      <c r="A36" s="458">
        <f t="shared" si="2"/>
        <v>31</v>
      </c>
      <c r="B36"/>
      <c r="C36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7" spans="1:16" x14ac:dyDescent="0.3">
      <c r="A37" s="458">
        <f t="shared" si="2"/>
        <v>32</v>
      </c>
      <c r="B37" s="310" t="s">
        <v>91</v>
      </c>
      <c r="C37" s="462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</row>
    <row r="38" spans="1:16" x14ac:dyDescent="0.3">
      <c r="A38" s="458">
        <f t="shared" si="2"/>
        <v>33</v>
      </c>
      <c r="B38" s="460" t="s">
        <v>92</v>
      </c>
      <c r="C38" s="266">
        <v>104.46</v>
      </c>
      <c r="D38" s="464">
        <f ca="1">SUM(E38:P38)</f>
        <v>1013158</v>
      </c>
      <c r="E38" s="464">
        <f ca="1">ROUND(+$C38*SUM(E6:E7),0)</f>
        <v>83672</v>
      </c>
      <c r="F38" s="464">
        <f t="shared" ref="F38:P38" ca="1" si="22">ROUND(+$C38*SUM(F6:F7),0)</f>
        <v>80539</v>
      </c>
      <c r="G38" s="464">
        <f t="shared" ca="1" si="22"/>
        <v>83777</v>
      </c>
      <c r="H38" s="464">
        <f t="shared" ca="1" si="22"/>
        <v>82314</v>
      </c>
      <c r="I38" s="464">
        <f t="shared" ca="1" si="22"/>
        <v>88478</v>
      </c>
      <c r="J38" s="464">
        <f t="shared" ca="1" si="22"/>
        <v>81061</v>
      </c>
      <c r="K38" s="464">
        <f t="shared" ca="1" si="22"/>
        <v>80121</v>
      </c>
      <c r="L38" s="464">
        <f t="shared" ca="1" si="22"/>
        <v>80957</v>
      </c>
      <c r="M38" s="464">
        <f t="shared" ca="1" si="22"/>
        <v>85135</v>
      </c>
      <c r="N38" s="464">
        <f t="shared" ca="1" si="22"/>
        <v>88373</v>
      </c>
      <c r="O38" s="464">
        <f t="shared" ca="1" si="22"/>
        <v>85553</v>
      </c>
      <c r="P38" s="464">
        <f t="shared" ca="1" si="22"/>
        <v>93178</v>
      </c>
    </row>
    <row r="39" spans="1:16" x14ac:dyDescent="0.3">
      <c r="A39" s="458">
        <f t="shared" si="2"/>
        <v>34</v>
      </c>
      <c r="B39" s="461" t="s">
        <v>93</v>
      </c>
      <c r="C39" s="266">
        <f>+C38</f>
        <v>104.46</v>
      </c>
      <c r="D39" s="464">
        <f t="shared" ref="D39" ca="1" si="23">SUM(E39:P39)</f>
        <v>-1248</v>
      </c>
      <c r="E39" s="464">
        <f ca="1">ROUND(+$C39*E8,0)</f>
        <v>-104</v>
      </c>
      <c r="F39" s="464">
        <f t="shared" ref="F39:P39" ca="1" si="24">ROUND(+$C39*F8,0)</f>
        <v>-104</v>
      </c>
      <c r="G39" s="464">
        <f t="shared" ca="1" si="24"/>
        <v>-104</v>
      </c>
      <c r="H39" s="464">
        <f t="shared" ca="1" si="24"/>
        <v>-104</v>
      </c>
      <c r="I39" s="464">
        <f t="shared" ca="1" si="24"/>
        <v>-104</v>
      </c>
      <c r="J39" s="464">
        <f t="shared" ca="1" si="24"/>
        <v>-104</v>
      </c>
      <c r="K39" s="464">
        <f t="shared" ca="1" si="24"/>
        <v>-104</v>
      </c>
      <c r="L39" s="464">
        <f t="shared" ca="1" si="24"/>
        <v>-104</v>
      </c>
      <c r="M39" s="464">
        <f t="shared" ca="1" si="24"/>
        <v>-104</v>
      </c>
      <c r="N39" s="464">
        <f t="shared" ca="1" si="24"/>
        <v>-104</v>
      </c>
      <c r="O39" s="464">
        <f t="shared" ca="1" si="24"/>
        <v>-104</v>
      </c>
      <c r="P39" s="464">
        <f t="shared" ca="1" si="24"/>
        <v>-104</v>
      </c>
    </row>
    <row r="40" spans="1:16" x14ac:dyDescent="0.3">
      <c r="A40" s="458">
        <f t="shared" si="2"/>
        <v>35</v>
      </c>
      <c r="B40" s="461" t="s">
        <v>94</v>
      </c>
      <c r="C40"/>
      <c r="D40" s="464">
        <f t="shared" ref="D40:P40" ca="1" si="25">SUM(D38:D39)</f>
        <v>1011910</v>
      </c>
      <c r="E40" s="464">
        <f t="shared" ca="1" si="25"/>
        <v>83568</v>
      </c>
      <c r="F40" s="464">
        <f t="shared" ca="1" si="25"/>
        <v>80435</v>
      </c>
      <c r="G40" s="464">
        <f t="shared" ca="1" si="25"/>
        <v>83673</v>
      </c>
      <c r="H40" s="464">
        <f t="shared" ca="1" si="25"/>
        <v>82210</v>
      </c>
      <c r="I40" s="464">
        <f t="shared" ca="1" si="25"/>
        <v>88374</v>
      </c>
      <c r="J40" s="464">
        <f t="shared" ca="1" si="25"/>
        <v>80957</v>
      </c>
      <c r="K40" s="464">
        <f t="shared" ca="1" si="25"/>
        <v>80017</v>
      </c>
      <c r="L40" s="464">
        <f t="shared" ca="1" si="25"/>
        <v>80853</v>
      </c>
      <c r="M40" s="464">
        <f t="shared" ca="1" si="25"/>
        <v>85031</v>
      </c>
      <c r="N40" s="464">
        <f t="shared" ca="1" si="25"/>
        <v>88269</v>
      </c>
      <c r="O40" s="464">
        <f t="shared" ca="1" si="25"/>
        <v>85449</v>
      </c>
      <c r="P40" s="464">
        <f t="shared" ca="1" si="25"/>
        <v>93074</v>
      </c>
    </row>
    <row r="41" spans="1:16" x14ac:dyDescent="0.3">
      <c r="A41" s="458">
        <f t="shared" si="2"/>
        <v>36</v>
      </c>
      <c r="B41" s="465"/>
      <c r="C41"/>
      <c r="D41" s="466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3">
      <c r="A42" s="458">
        <f t="shared" si="2"/>
        <v>37</v>
      </c>
      <c r="B42" s="465" t="s">
        <v>95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3">
      <c r="A43" s="458">
        <f t="shared" si="2"/>
        <v>38</v>
      </c>
      <c r="B43" s="461" t="s">
        <v>76</v>
      </c>
      <c r="C43" s="284">
        <v>5.6732999999999999E-2</v>
      </c>
      <c r="D43" s="464">
        <f t="shared" ref="D43:D49" ca="1" si="26">SUM(E43:P43)</f>
        <v>106513305</v>
      </c>
      <c r="E43" s="464">
        <f ca="1">ROUND(+$C43*SUM(E12:E13),0)-7</f>
        <v>8733029</v>
      </c>
      <c r="F43" s="464">
        <f t="shared" ref="F43:P43" ca="1" si="27">ROUND(+$C43*SUM(F12:F13),0)</f>
        <v>8253504</v>
      </c>
      <c r="G43" s="464">
        <f t="shared" ca="1" si="27"/>
        <v>9141861</v>
      </c>
      <c r="H43" s="464">
        <f t="shared" ca="1" si="27"/>
        <v>8666298</v>
      </c>
      <c r="I43" s="464">
        <f t="shared" ca="1" si="27"/>
        <v>9432450</v>
      </c>
      <c r="J43" s="464">
        <f t="shared" ca="1" si="27"/>
        <v>8380214</v>
      </c>
      <c r="K43" s="464">
        <f t="shared" ca="1" si="27"/>
        <v>8249452</v>
      </c>
      <c r="L43" s="464">
        <f t="shared" ca="1" si="27"/>
        <v>7924689</v>
      </c>
      <c r="M43" s="464">
        <f t="shared" ca="1" si="27"/>
        <v>8808135</v>
      </c>
      <c r="N43" s="464">
        <f t="shared" ca="1" si="27"/>
        <v>9278717</v>
      </c>
      <c r="O43" s="464">
        <f t="shared" ca="1" si="27"/>
        <v>9635308</v>
      </c>
      <c r="P43" s="464">
        <f t="shared" ca="1" si="27"/>
        <v>10009648</v>
      </c>
    </row>
    <row r="44" spans="1:16" x14ac:dyDescent="0.3">
      <c r="A44" s="458">
        <f t="shared" si="2"/>
        <v>39</v>
      </c>
      <c r="B44" s="461" t="s">
        <v>96</v>
      </c>
      <c r="C44" s="284">
        <f>+C43</f>
        <v>5.6732999999999999E-2</v>
      </c>
      <c r="D44" s="464">
        <f t="shared" ca="1" si="26"/>
        <v>0</v>
      </c>
      <c r="E44" s="464">
        <f ca="1">ROUND(+$C44*E14,0)</f>
        <v>0</v>
      </c>
      <c r="F44" s="464">
        <f t="shared" ref="F44:P45" ca="1" si="28">ROUND(+$C44*F14,0)</f>
        <v>0</v>
      </c>
      <c r="G44" s="464">
        <f t="shared" ca="1" si="28"/>
        <v>0</v>
      </c>
      <c r="H44" s="464">
        <f t="shared" ca="1" si="28"/>
        <v>0</v>
      </c>
      <c r="I44" s="464">
        <f t="shared" ca="1" si="28"/>
        <v>0</v>
      </c>
      <c r="J44" s="464">
        <f t="shared" ca="1" si="28"/>
        <v>0</v>
      </c>
      <c r="K44" s="464">
        <f t="shared" ca="1" si="28"/>
        <v>0</v>
      </c>
      <c r="L44" s="464">
        <f t="shared" ca="1" si="28"/>
        <v>0</v>
      </c>
      <c r="M44" s="464">
        <f t="shared" ca="1" si="28"/>
        <v>0</v>
      </c>
      <c r="N44" s="464">
        <f t="shared" ca="1" si="28"/>
        <v>0</v>
      </c>
      <c r="O44" s="464">
        <f t="shared" ca="1" si="28"/>
        <v>0</v>
      </c>
      <c r="P44" s="464">
        <f t="shared" ca="1" si="28"/>
        <v>0</v>
      </c>
    </row>
    <row r="45" spans="1:16" x14ac:dyDescent="0.3">
      <c r="A45" s="458">
        <f t="shared" si="2"/>
        <v>40</v>
      </c>
      <c r="B45" s="461" t="s">
        <v>97</v>
      </c>
      <c r="C45" s="284">
        <v>0</v>
      </c>
      <c r="D45" s="464">
        <f t="shared" ca="1" si="26"/>
        <v>0</v>
      </c>
      <c r="E45" s="464">
        <f ca="1">ROUND(+$C45*E15,0)</f>
        <v>0</v>
      </c>
      <c r="F45" s="464">
        <f t="shared" ca="1" si="28"/>
        <v>0</v>
      </c>
      <c r="G45" s="464">
        <f t="shared" ca="1" si="28"/>
        <v>0</v>
      </c>
      <c r="H45" s="464">
        <f t="shared" ca="1" si="28"/>
        <v>0</v>
      </c>
      <c r="I45" s="464">
        <f t="shared" ca="1" si="28"/>
        <v>0</v>
      </c>
      <c r="J45" s="464">
        <f t="shared" ca="1" si="28"/>
        <v>0</v>
      </c>
      <c r="K45" s="464">
        <f t="shared" ca="1" si="28"/>
        <v>0</v>
      </c>
      <c r="L45" s="464">
        <f t="shared" ca="1" si="28"/>
        <v>0</v>
      </c>
      <c r="M45" s="464">
        <f t="shared" ca="1" si="28"/>
        <v>0</v>
      </c>
      <c r="N45" s="464">
        <f t="shared" ca="1" si="28"/>
        <v>0</v>
      </c>
      <c r="O45" s="464">
        <f t="shared" ca="1" si="28"/>
        <v>0</v>
      </c>
      <c r="P45" s="464">
        <f t="shared" ca="1" si="28"/>
        <v>0</v>
      </c>
    </row>
    <row r="46" spans="1:16" x14ac:dyDescent="0.3">
      <c r="A46" s="458">
        <f t="shared" si="2"/>
        <v>41</v>
      </c>
      <c r="B46" s="461" t="s">
        <v>98</v>
      </c>
      <c r="C46" s="284">
        <v>0</v>
      </c>
      <c r="D46" s="464">
        <f t="shared" ca="1" si="26"/>
        <v>0</v>
      </c>
      <c r="E46" s="464">
        <f ca="1">ROUND(+$C46*E15,0)</f>
        <v>0</v>
      </c>
      <c r="F46" s="464">
        <f t="shared" ref="F46:P46" ca="1" si="29">ROUND(+$C46*F15,0)</f>
        <v>0</v>
      </c>
      <c r="G46" s="464">
        <f t="shared" ca="1" si="29"/>
        <v>0</v>
      </c>
      <c r="H46" s="464">
        <f t="shared" ca="1" si="29"/>
        <v>0</v>
      </c>
      <c r="I46" s="464">
        <f t="shared" ca="1" si="29"/>
        <v>0</v>
      </c>
      <c r="J46" s="464">
        <f t="shared" ca="1" si="29"/>
        <v>0</v>
      </c>
      <c r="K46" s="464">
        <f t="shared" ca="1" si="29"/>
        <v>0</v>
      </c>
      <c r="L46" s="464">
        <f t="shared" ca="1" si="29"/>
        <v>0</v>
      </c>
      <c r="M46" s="464">
        <f t="shared" ca="1" si="29"/>
        <v>0</v>
      </c>
      <c r="N46" s="464">
        <f t="shared" ca="1" si="29"/>
        <v>0</v>
      </c>
      <c r="O46" s="464">
        <f t="shared" ca="1" si="29"/>
        <v>0</v>
      </c>
      <c r="P46" s="464">
        <f t="shared" ca="1" si="29"/>
        <v>0</v>
      </c>
    </row>
    <row r="47" spans="1:16" x14ac:dyDescent="0.3">
      <c r="A47" s="458">
        <f t="shared" si="2"/>
        <v>42</v>
      </c>
      <c r="B47" s="461" t="s">
        <v>99</v>
      </c>
      <c r="C47" s="284">
        <v>0</v>
      </c>
      <c r="D47" s="464">
        <f t="shared" ca="1" si="26"/>
        <v>0</v>
      </c>
      <c r="E47" s="464">
        <f ca="1">ROUND(+$C47*E15,0)</f>
        <v>0</v>
      </c>
      <c r="F47" s="464">
        <f t="shared" ref="F47:P49" ca="1" si="30">ROUND(+$C47*F15,0)</f>
        <v>0</v>
      </c>
      <c r="G47" s="464">
        <f t="shared" ca="1" si="30"/>
        <v>0</v>
      </c>
      <c r="H47" s="464">
        <f t="shared" ca="1" si="30"/>
        <v>0</v>
      </c>
      <c r="I47" s="464">
        <f t="shared" ca="1" si="30"/>
        <v>0</v>
      </c>
      <c r="J47" s="464">
        <f t="shared" ca="1" si="30"/>
        <v>0</v>
      </c>
      <c r="K47" s="464">
        <f t="shared" ca="1" si="30"/>
        <v>0</v>
      </c>
      <c r="L47" s="464">
        <f t="shared" ca="1" si="30"/>
        <v>0</v>
      </c>
      <c r="M47" s="464">
        <f t="shared" ca="1" si="30"/>
        <v>0</v>
      </c>
      <c r="N47" s="464">
        <f t="shared" ca="1" si="30"/>
        <v>0</v>
      </c>
      <c r="O47" s="464">
        <f t="shared" ca="1" si="30"/>
        <v>0</v>
      </c>
      <c r="P47" s="464">
        <f t="shared" ca="1" si="30"/>
        <v>0</v>
      </c>
    </row>
    <row r="48" spans="1:16" x14ac:dyDescent="0.3">
      <c r="A48" s="458">
        <f t="shared" si="2"/>
        <v>43</v>
      </c>
      <c r="B48" s="461" t="s">
        <v>79</v>
      </c>
      <c r="C48" s="284">
        <f ca="1">SUM(D43:D44,D40,D58,D62,D49)/SUM(D15,D17)</f>
        <v>8.13435560033441E-2</v>
      </c>
      <c r="D48" s="464">
        <f t="shared" ca="1" si="26"/>
        <v>130595</v>
      </c>
      <c r="E48" s="464">
        <f ca="1">ROUND(+$C48*E16,0)</f>
        <v>204656</v>
      </c>
      <c r="F48" s="464">
        <f t="shared" ca="1" si="30"/>
        <v>694199</v>
      </c>
      <c r="G48" s="464">
        <f t="shared" ca="1" si="30"/>
        <v>304422</v>
      </c>
      <c r="H48" s="464">
        <f t="shared" ca="1" si="30"/>
        <v>65933</v>
      </c>
      <c r="I48" s="464">
        <f t="shared" ca="1" si="30"/>
        <v>-1568726</v>
      </c>
      <c r="J48" s="464">
        <f t="shared" ca="1" si="30"/>
        <v>510192</v>
      </c>
      <c r="K48" s="464">
        <f t="shared" ca="1" si="30"/>
        <v>390139</v>
      </c>
      <c r="L48" s="464">
        <f t="shared" ca="1" si="30"/>
        <v>-215367</v>
      </c>
      <c r="M48" s="464">
        <f t="shared" ca="1" si="30"/>
        <v>1337902</v>
      </c>
      <c r="N48" s="464">
        <f t="shared" ca="1" si="30"/>
        <v>306018</v>
      </c>
      <c r="O48" s="464">
        <f t="shared" ca="1" si="30"/>
        <v>-616925</v>
      </c>
      <c r="P48" s="464">
        <f t="shared" ca="1" si="30"/>
        <v>-1281848</v>
      </c>
    </row>
    <row r="49" spans="1:16" x14ac:dyDescent="0.3">
      <c r="A49" s="458">
        <f t="shared" si="2"/>
        <v>44</v>
      </c>
      <c r="B49" s="461" t="s">
        <v>80</v>
      </c>
      <c r="C49" s="284">
        <f>+C43</f>
        <v>5.6732999999999999E-2</v>
      </c>
      <c r="D49" s="464">
        <f t="shared" ca="1" si="26"/>
        <v>-13163</v>
      </c>
      <c r="E49" s="464">
        <f ca="1">ROUND(+$C49*E17,0)</f>
        <v>4121</v>
      </c>
      <c r="F49" s="464">
        <f t="shared" ca="1" si="30"/>
        <v>-29502</v>
      </c>
      <c r="G49" s="464">
        <f t="shared" ca="1" si="30"/>
        <v>28815</v>
      </c>
      <c r="H49" s="464">
        <f t="shared" ca="1" si="30"/>
        <v>31673</v>
      </c>
      <c r="I49" s="464">
        <f t="shared" ca="1" si="30"/>
        <v>54015</v>
      </c>
      <c r="J49" s="464">
        <f t="shared" ca="1" si="30"/>
        <v>24287</v>
      </c>
      <c r="K49" s="464">
        <f t="shared" ca="1" si="30"/>
        <v>8771</v>
      </c>
      <c r="L49" s="464">
        <f t="shared" ca="1" si="30"/>
        <v>826</v>
      </c>
      <c r="M49" s="464">
        <f t="shared" ca="1" si="30"/>
        <v>-41991</v>
      </c>
      <c r="N49" s="464">
        <f t="shared" ca="1" si="30"/>
        <v>-8061</v>
      </c>
      <c r="O49" s="464">
        <f t="shared" ca="1" si="30"/>
        <v>-108306</v>
      </c>
      <c r="P49" s="464">
        <f t="shared" ca="1" si="30"/>
        <v>22189</v>
      </c>
    </row>
    <row r="50" spans="1:16" x14ac:dyDescent="0.3">
      <c r="A50" s="458">
        <f t="shared" si="2"/>
        <v>45</v>
      </c>
      <c r="B50" s="467" t="s">
        <v>100</v>
      </c>
      <c r="C50"/>
      <c r="D50" s="464">
        <f ca="1">SUM(D43:D49)</f>
        <v>106630737</v>
      </c>
      <c r="E50" s="464">
        <f t="shared" ref="E50:P50" ca="1" si="31">SUM(E43:E49)</f>
        <v>8941806</v>
      </c>
      <c r="F50" s="464">
        <f t="shared" ca="1" si="31"/>
        <v>8918201</v>
      </c>
      <c r="G50" s="464">
        <f t="shared" ca="1" si="31"/>
        <v>9475098</v>
      </c>
      <c r="H50" s="464">
        <f t="shared" ca="1" si="31"/>
        <v>8763904</v>
      </c>
      <c r="I50" s="464">
        <f t="shared" ca="1" si="31"/>
        <v>7917739</v>
      </c>
      <c r="J50" s="464">
        <f t="shared" ca="1" si="31"/>
        <v>8914693</v>
      </c>
      <c r="K50" s="464">
        <f t="shared" ca="1" si="31"/>
        <v>8648362</v>
      </c>
      <c r="L50" s="464">
        <f t="shared" ca="1" si="31"/>
        <v>7710148</v>
      </c>
      <c r="M50" s="464">
        <f t="shared" ca="1" si="31"/>
        <v>10104046</v>
      </c>
      <c r="N50" s="464">
        <f t="shared" ca="1" si="31"/>
        <v>9576674</v>
      </c>
      <c r="O50" s="464">
        <f t="shared" ca="1" si="31"/>
        <v>8910077</v>
      </c>
      <c r="P50" s="464">
        <f t="shared" ca="1" si="31"/>
        <v>8749989</v>
      </c>
    </row>
    <row r="51" spans="1:16" x14ac:dyDescent="0.3">
      <c r="A51" s="458">
        <f t="shared" si="2"/>
        <v>46</v>
      </c>
      <c r="B51" s="465"/>
      <c r="C51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</row>
    <row r="52" spans="1:16" x14ac:dyDescent="0.3">
      <c r="A52" s="458">
        <f t="shared" si="2"/>
        <v>47</v>
      </c>
      <c r="B52" s="465" t="s">
        <v>101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">
      <c r="A53" s="458">
        <f t="shared" si="2"/>
        <v>48</v>
      </c>
      <c r="B53" s="461" t="s">
        <v>82</v>
      </c>
      <c r="C53" s="266">
        <v>11.65</v>
      </c>
      <c r="D53" s="464">
        <f t="shared" ref="D53:D57" ca="1" si="32">SUM(E53:P53)</f>
        <v>25960266</v>
      </c>
      <c r="E53" s="464">
        <f ca="1">ROUND(+$C53*SUM(E21:E22),0)</f>
        <v>1900639</v>
      </c>
      <c r="F53" s="464">
        <f t="shared" ref="F53:P53" ca="1" si="33">ROUND(+$C53*SUM(F21:F22),0)</f>
        <v>4038554</v>
      </c>
      <c r="G53" s="464">
        <f t="shared" ca="1" si="33"/>
        <v>4425963</v>
      </c>
      <c r="H53" s="464">
        <f t="shared" ca="1" si="33"/>
        <v>4180847</v>
      </c>
      <c r="I53" s="464">
        <f t="shared" ca="1" si="33"/>
        <v>4570691</v>
      </c>
      <c r="J53" s="464">
        <f t="shared" ca="1" si="33"/>
        <v>4108862</v>
      </c>
      <c r="K53" s="464">
        <f t="shared" ca="1" si="33"/>
        <v>2412412</v>
      </c>
      <c r="L53" s="464">
        <f t="shared" ca="1" si="33"/>
        <v>259306</v>
      </c>
      <c r="M53" s="464">
        <f t="shared" ca="1" si="33"/>
        <v>58285</v>
      </c>
      <c r="N53" s="464">
        <f t="shared" ca="1" si="33"/>
        <v>4707</v>
      </c>
      <c r="O53" s="464">
        <f t="shared" ca="1" si="33"/>
        <v>0</v>
      </c>
      <c r="P53" s="464">
        <f t="shared" ca="1" si="33"/>
        <v>0</v>
      </c>
    </row>
    <row r="54" spans="1:16" x14ac:dyDescent="0.3">
      <c r="A54" s="458">
        <f t="shared" si="2"/>
        <v>49</v>
      </c>
      <c r="B54" s="461" t="s">
        <v>85</v>
      </c>
      <c r="C54" s="266">
        <v>7.76</v>
      </c>
      <c r="D54" s="464">
        <f t="shared" ca="1" si="32"/>
        <v>18198131</v>
      </c>
      <c r="E54" s="464">
        <f ca="1">ROUND(+$C54*SUM(E26:E27),0)</f>
        <v>1632122</v>
      </c>
      <c r="F54" s="464">
        <f t="shared" ref="F54:P54" ca="1" si="34">ROUND(+$C54*SUM(F26:F27),0)</f>
        <v>50324</v>
      </c>
      <c r="G54" s="464">
        <f t="shared" ca="1" si="34"/>
        <v>31886</v>
      </c>
      <c r="H54" s="464">
        <f t="shared" ca="1" si="34"/>
        <v>0</v>
      </c>
      <c r="I54" s="464">
        <f t="shared" ca="1" si="34"/>
        <v>0</v>
      </c>
      <c r="J54" s="464">
        <f t="shared" ca="1" si="34"/>
        <v>0</v>
      </c>
      <c r="K54" s="464">
        <f t="shared" ca="1" si="34"/>
        <v>1197096</v>
      </c>
      <c r="L54" s="464">
        <f t="shared" ca="1" si="34"/>
        <v>2654300</v>
      </c>
      <c r="M54" s="464">
        <f t="shared" ca="1" si="34"/>
        <v>2993459</v>
      </c>
      <c r="N54" s="464">
        <f t="shared" ca="1" si="34"/>
        <v>3161672</v>
      </c>
      <c r="O54" s="464">
        <f t="shared" ca="1" si="34"/>
        <v>3113475</v>
      </c>
      <c r="P54" s="464">
        <f t="shared" ca="1" si="34"/>
        <v>3363797</v>
      </c>
    </row>
    <row r="55" spans="1:16" x14ac:dyDescent="0.3">
      <c r="A55" s="458">
        <f t="shared" si="2"/>
        <v>50</v>
      </c>
      <c r="B55" s="461" t="s">
        <v>83</v>
      </c>
      <c r="C55" s="266">
        <f>+C53</f>
        <v>11.65</v>
      </c>
      <c r="D55" s="464">
        <f t="shared" ca="1" si="32"/>
        <v>0</v>
      </c>
      <c r="E55" s="464">
        <f ca="1">ROUND(+$C55*E23,0)</f>
        <v>0</v>
      </c>
      <c r="F55" s="464">
        <f t="shared" ref="F55:P55" ca="1" si="35">ROUND(+$C55*F23,0)</f>
        <v>0</v>
      </c>
      <c r="G55" s="464">
        <f t="shared" ca="1" si="35"/>
        <v>0</v>
      </c>
      <c r="H55" s="464">
        <f t="shared" ca="1" si="35"/>
        <v>0</v>
      </c>
      <c r="I55" s="464">
        <f t="shared" ca="1" si="35"/>
        <v>0</v>
      </c>
      <c r="J55" s="464">
        <f t="shared" ca="1" si="35"/>
        <v>0</v>
      </c>
      <c r="K55" s="464">
        <f t="shared" ca="1" si="35"/>
        <v>0</v>
      </c>
      <c r="L55" s="464">
        <f t="shared" ca="1" si="35"/>
        <v>0</v>
      </c>
      <c r="M55" s="464">
        <f t="shared" ca="1" si="35"/>
        <v>0</v>
      </c>
      <c r="N55" s="464">
        <f t="shared" ca="1" si="35"/>
        <v>0</v>
      </c>
      <c r="O55" s="464">
        <f t="shared" ca="1" si="35"/>
        <v>0</v>
      </c>
      <c r="P55" s="464">
        <f t="shared" ca="1" si="35"/>
        <v>0</v>
      </c>
    </row>
    <row r="56" spans="1:16" x14ac:dyDescent="0.3">
      <c r="A56" s="458">
        <f t="shared" si="2"/>
        <v>51</v>
      </c>
      <c r="B56" s="461" t="s">
        <v>102</v>
      </c>
      <c r="C56" s="266">
        <f>+C54</f>
        <v>7.76</v>
      </c>
      <c r="D56" s="464">
        <f t="shared" ca="1" si="32"/>
        <v>0</v>
      </c>
      <c r="E56" s="464">
        <f ca="1">ROUND(+$C56*E28,0)</f>
        <v>0</v>
      </c>
      <c r="F56" s="464">
        <f t="shared" ref="F56:P56" ca="1" si="36">ROUND(+$C56*F28,0)</f>
        <v>0</v>
      </c>
      <c r="G56" s="464">
        <f t="shared" ca="1" si="36"/>
        <v>0</v>
      </c>
      <c r="H56" s="464">
        <f t="shared" ca="1" si="36"/>
        <v>0</v>
      </c>
      <c r="I56" s="464">
        <f t="shared" ca="1" si="36"/>
        <v>0</v>
      </c>
      <c r="J56" s="464">
        <f t="shared" ca="1" si="36"/>
        <v>0</v>
      </c>
      <c r="K56" s="464">
        <f t="shared" ca="1" si="36"/>
        <v>0</v>
      </c>
      <c r="L56" s="464">
        <f t="shared" ca="1" si="36"/>
        <v>0</v>
      </c>
      <c r="M56" s="464">
        <f t="shared" ca="1" si="36"/>
        <v>0</v>
      </c>
      <c r="N56" s="464">
        <f t="shared" ca="1" si="36"/>
        <v>0</v>
      </c>
      <c r="O56" s="464">
        <f t="shared" ca="1" si="36"/>
        <v>0</v>
      </c>
      <c r="P56" s="464">
        <f t="shared" ca="1" si="36"/>
        <v>0</v>
      </c>
    </row>
    <row r="57" spans="1:16" x14ac:dyDescent="0.3">
      <c r="A57" s="458">
        <f t="shared" si="2"/>
        <v>52</v>
      </c>
      <c r="B57" s="461" t="s">
        <v>103</v>
      </c>
      <c r="C57" s="281">
        <v>0</v>
      </c>
      <c r="D57" s="464">
        <f t="shared" ca="1" si="32"/>
        <v>0</v>
      </c>
      <c r="E57" s="464">
        <f ca="1">ROUND(+$C57*E30,0)</f>
        <v>0</v>
      </c>
      <c r="F57" s="464">
        <f t="shared" ref="F57:P57" ca="1" si="37">ROUND(+$C57*F30,0)</f>
        <v>0</v>
      </c>
      <c r="G57" s="464">
        <f t="shared" ca="1" si="37"/>
        <v>0</v>
      </c>
      <c r="H57" s="464">
        <f t="shared" ca="1" si="37"/>
        <v>0</v>
      </c>
      <c r="I57" s="464">
        <f t="shared" ca="1" si="37"/>
        <v>0</v>
      </c>
      <c r="J57" s="464">
        <f t="shared" ca="1" si="37"/>
        <v>0</v>
      </c>
      <c r="K57" s="464">
        <f t="shared" ca="1" si="37"/>
        <v>0</v>
      </c>
      <c r="L57" s="464">
        <f t="shared" ca="1" si="37"/>
        <v>0</v>
      </c>
      <c r="M57" s="464">
        <f t="shared" ca="1" si="37"/>
        <v>0</v>
      </c>
      <c r="N57" s="464">
        <f t="shared" ca="1" si="37"/>
        <v>0</v>
      </c>
      <c r="O57" s="464">
        <f t="shared" ca="1" si="37"/>
        <v>0</v>
      </c>
      <c r="P57" s="464">
        <f t="shared" ca="1" si="37"/>
        <v>0</v>
      </c>
    </row>
    <row r="58" spans="1:16" x14ac:dyDescent="0.3">
      <c r="A58" s="458">
        <f t="shared" si="2"/>
        <v>53</v>
      </c>
      <c r="B58" s="467" t="s">
        <v>104</v>
      </c>
      <c r="C58"/>
      <c r="D58" s="464">
        <f ca="1">SUM(D53:D57)</f>
        <v>44158397</v>
      </c>
      <c r="E58" s="464">
        <f t="shared" ref="E58:P58" ca="1" si="38">SUM(E53:E57)</f>
        <v>3532761</v>
      </c>
      <c r="F58" s="464">
        <f t="shared" ca="1" si="38"/>
        <v>4088878</v>
      </c>
      <c r="G58" s="464">
        <f t="shared" ca="1" si="38"/>
        <v>4457849</v>
      </c>
      <c r="H58" s="464">
        <f t="shared" ca="1" si="38"/>
        <v>4180847</v>
      </c>
      <c r="I58" s="464">
        <f t="shared" ca="1" si="38"/>
        <v>4570691</v>
      </c>
      <c r="J58" s="464">
        <f t="shared" ca="1" si="38"/>
        <v>4108862</v>
      </c>
      <c r="K58" s="464">
        <f t="shared" ca="1" si="38"/>
        <v>3609508</v>
      </c>
      <c r="L58" s="464">
        <f t="shared" ca="1" si="38"/>
        <v>2913606</v>
      </c>
      <c r="M58" s="464">
        <f t="shared" ca="1" si="38"/>
        <v>3051744</v>
      </c>
      <c r="N58" s="464">
        <f t="shared" ca="1" si="38"/>
        <v>3166379</v>
      </c>
      <c r="O58" s="464">
        <f t="shared" ca="1" si="38"/>
        <v>3113475</v>
      </c>
      <c r="P58" s="464">
        <f t="shared" ca="1" si="38"/>
        <v>3363797</v>
      </c>
    </row>
    <row r="59" spans="1:16" x14ac:dyDescent="0.3">
      <c r="A59" s="458">
        <f t="shared" si="2"/>
        <v>54</v>
      </c>
      <c r="B59" s="467"/>
      <c r="C59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</row>
    <row r="60" spans="1:16" x14ac:dyDescent="0.3">
      <c r="A60" s="458">
        <f t="shared" si="2"/>
        <v>55</v>
      </c>
      <c r="B60" s="460" t="s">
        <v>105</v>
      </c>
      <c r="C60" s="468">
        <v>1.24E-3</v>
      </c>
      <c r="D60" s="464">
        <f t="shared" ref="D60:D61" ca="1" si="39">SUM(E60:P60)</f>
        <v>1029055</v>
      </c>
      <c r="E60" s="464">
        <f ca="1">ROUND(+$C60*SUM(E32:E33),0)</f>
        <v>87674</v>
      </c>
      <c r="F60" s="464">
        <f t="shared" ref="F60:P60" ca="1" si="40">ROUND(+$C60*SUM(F32:F33),0)</f>
        <v>78498</v>
      </c>
      <c r="G60" s="464">
        <f t="shared" ca="1" si="40"/>
        <v>80026</v>
      </c>
      <c r="H60" s="464">
        <f t="shared" ca="1" si="40"/>
        <v>86081</v>
      </c>
      <c r="I60" s="464">
        <f t="shared" ca="1" si="40"/>
        <v>71102</v>
      </c>
      <c r="J60" s="464">
        <f t="shared" ca="1" si="40"/>
        <v>76410</v>
      </c>
      <c r="K60" s="464">
        <f t="shared" ca="1" si="40"/>
        <v>80036</v>
      </c>
      <c r="L60" s="464">
        <f t="shared" ca="1" si="40"/>
        <v>78482</v>
      </c>
      <c r="M60" s="464">
        <f t="shared" ca="1" si="40"/>
        <v>88941</v>
      </c>
      <c r="N60" s="464">
        <f t="shared" ca="1" si="40"/>
        <v>96177</v>
      </c>
      <c r="O60" s="464">
        <f t="shared" ca="1" si="40"/>
        <v>109057</v>
      </c>
      <c r="P60" s="464">
        <f t="shared" ca="1" si="40"/>
        <v>96571</v>
      </c>
    </row>
    <row r="61" spans="1:16" x14ac:dyDescent="0.3">
      <c r="A61" s="458">
        <f t="shared" si="2"/>
        <v>56</v>
      </c>
      <c r="B61" s="461" t="s">
        <v>106</v>
      </c>
      <c r="C61" s="468">
        <f>+C60</f>
        <v>1.24E-3</v>
      </c>
      <c r="D61" s="464">
        <f t="shared" ca="1" si="39"/>
        <v>0</v>
      </c>
      <c r="E61" s="464">
        <f ca="1">ROUND(+$C61*E34,0)</f>
        <v>0</v>
      </c>
      <c r="F61" s="464">
        <f t="shared" ref="F61:P61" ca="1" si="41">ROUND(+$C61*F34,0)</f>
        <v>0</v>
      </c>
      <c r="G61" s="464">
        <f t="shared" ca="1" si="41"/>
        <v>0</v>
      </c>
      <c r="H61" s="464">
        <f t="shared" ca="1" si="41"/>
        <v>0</v>
      </c>
      <c r="I61" s="464">
        <f t="shared" ca="1" si="41"/>
        <v>0</v>
      </c>
      <c r="J61" s="464">
        <f t="shared" ca="1" si="41"/>
        <v>0</v>
      </c>
      <c r="K61" s="464">
        <f t="shared" ca="1" si="41"/>
        <v>0</v>
      </c>
      <c r="L61" s="464">
        <f t="shared" ca="1" si="41"/>
        <v>0</v>
      </c>
      <c r="M61" s="464">
        <f t="shared" ca="1" si="41"/>
        <v>0</v>
      </c>
      <c r="N61" s="464">
        <f t="shared" ca="1" si="41"/>
        <v>0</v>
      </c>
      <c r="O61" s="464">
        <f t="shared" ca="1" si="41"/>
        <v>0</v>
      </c>
      <c r="P61" s="464">
        <f t="shared" ca="1" si="41"/>
        <v>0</v>
      </c>
    </row>
    <row r="62" spans="1:16" x14ac:dyDescent="0.3">
      <c r="A62" s="458">
        <f t="shared" si="2"/>
        <v>57</v>
      </c>
      <c r="B62" s="460" t="s">
        <v>105</v>
      </c>
      <c r="C62" s="468"/>
      <c r="D62" s="464">
        <f ca="1">SUM(D60:D61)</f>
        <v>1029055</v>
      </c>
      <c r="E62" s="464">
        <f t="shared" ref="E62:P62" ca="1" si="42">SUM(E60:E61)</f>
        <v>87674</v>
      </c>
      <c r="F62" s="464">
        <f t="shared" ca="1" si="42"/>
        <v>78498</v>
      </c>
      <c r="G62" s="464">
        <f t="shared" ca="1" si="42"/>
        <v>80026</v>
      </c>
      <c r="H62" s="464">
        <f t="shared" ca="1" si="42"/>
        <v>86081</v>
      </c>
      <c r="I62" s="464">
        <f t="shared" ca="1" si="42"/>
        <v>71102</v>
      </c>
      <c r="J62" s="464">
        <f t="shared" ca="1" si="42"/>
        <v>76410</v>
      </c>
      <c r="K62" s="464">
        <f t="shared" ca="1" si="42"/>
        <v>80036</v>
      </c>
      <c r="L62" s="464">
        <f t="shared" ca="1" si="42"/>
        <v>78482</v>
      </c>
      <c r="M62" s="464">
        <f t="shared" ca="1" si="42"/>
        <v>88941</v>
      </c>
      <c r="N62" s="464">
        <f t="shared" ca="1" si="42"/>
        <v>96177</v>
      </c>
      <c r="O62" s="464">
        <f t="shared" ca="1" si="42"/>
        <v>109057</v>
      </c>
      <c r="P62" s="464">
        <f t="shared" ca="1" si="42"/>
        <v>96571</v>
      </c>
    </row>
    <row r="63" spans="1:16" x14ac:dyDescent="0.3">
      <c r="A63" s="458">
        <f t="shared" si="2"/>
        <v>58</v>
      </c>
      <c r="B63"/>
      <c r="C63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</row>
    <row r="64" spans="1:16" x14ac:dyDescent="0.3">
      <c r="A64" s="458">
        <f t="shared" si="2"/>
        <v>59</v>
      </c>
      <c r="B64" s="460" t="s">
        <v>107</v>
      </c>
      <c r="C64"/>
      <c r="D64" s="464">
        <f t="shared" ref="D64:P64" ca="1" si="43">SUM(D62,D58,D50,D40)</f>
        <v>152830099</v>
      </c>
      <c r="E64" s="464">
        <f t="shared" ca="1" si="43"/>
        <v>12645809</v>
      </c>
      <c r="F64" s="464">
        <f t="shared" ca="1" si="43"/>
        <v>13166012</v>
      </c>
      <c r="G64" s="464">
        <f t="shared" ca="1" si="43"/>
        <v>14096646</v>
      </c>
      <c r="H64" s="464">
        <f t="shared" ca="1" si="43"/>
        <v>13113042</v>
      </c>
      <c r="I64" s="464">
        <f t="shared" ca="1" si="43"/>
        <v>12647906</v>
      </c>
      <c r="J64" s="464">
        <f t="shared" ca="1" si="43"/>
        <v>13180922</v>
      </c>
      <c r="K64" s="464">
        <f t="shared" ca="1" si="43"/>
        <v>12417923</v>
      </c>
      <c r="L64" s="464">
        <f t="shared" ca="1" si="43"/>
        <v>10783089</v>
      </c>
      <c r="M64" s="464">
        <f t="shared" ca="1" si="43"/>
        <v>13329762</v>
      </c>
      <c r="N64" s="464">
        <f t="shared" ca="1" si="43"/>
        <v>12927499</v>
      </c>
      <c r="O64" s="464">
        <f t="shared" ca="1" si="43"/>
        <v>12218058</v>
      </c>
      <c r="P64" s="464">
        <f t="shared" ca="1" si="43"/>
        <v>12303431</v>
      </c>
    </row>
    <row r="65" spans="1:16" x14ac:dyDescent="0.3">
      <c r="A65" s="458">
        <f t="shared" si="2"/>
        <v>60</v>
      </c>
      <c r="B65"/>
      <c r="C65"/>
      <c r="D65"/>
      <c r="E65" s="466"/>
      <c r="F65"/>
      <c r="G65" s="466"/>
      <c r="H65"/>
      <c r="I65"/>
      <c r="J65"/>
      <c r="K65"/>
      <c r="L65"/>
      <c r="M65"/>
      <c r="N65"/>
      <c r="O65"/>
      <c r="P65"/>
    </row>
    <row r="66" spans="1:16" x14ac:dyDescent="0.3">
      <c r="A66" s="458">
        <f t="shared" si="2"/>
        <v>61</v>
      </c>
      <c r="B66" s="310" t="s">
        <v>108</v>
      </c>
      <c r="C66"/>
      <c r="D66" s="459">
        <f t="shared" ref="D66:D69" ca="1" si="44">SUM(E66:P66)</f>
        <v>1890681259.8979998</v>
      </c>
      <c r="E66" s="459">
        <f ca="1">+'[59]Billed kWh'!O83</f>
        <v>154975405.507</v>
      </c>
      <c r="F66" s="459">
        <f ca="1">+'[59]Billed kWh'!P83</f>
        <v>143957270.98899999</v>
      </c>
      <c r="G66" s="459">
        <f ca="1">+'[59]Billed kWh'!Q83</f>
        <v>165139329.55899999</v>
      </c>
      <c r="H66" s="459">
        <f ca="1">+'[59]Billed kWh'!F83</f>
        <v>153082552.69999999</v>
      </c>
      <c r="I66" s="459">
        <f ca="1">+'[59]Billed kWh'!G83</f>
        <v>168575478.03599998</v>
      </c>
      <c r="J66" s="459">
        <f ca="1">+'[59]Billed kWh'!H83</f>
        <v>148884121.139</v>
      </c>
      <c r="K66" s="459">
        <f ca="1">+'[59]Billed kWh'!I83</f>
        <v>146171356.46200001</v>
      </c>
      <c r="L66" s="459">
        <f ca="1">+'[59]Billed kWh'!J83</f>
        <v>139683944.98000002</v>
      </c>
      <c r="M66" s="459">
        <f ca="1">+'[59]Billed kWh'!K83</f>
        <v>156576833.02700001</v>
      </c>
      <c r="N66" s="459">
        <f ca="1">+'[59]Billed kWh'!L83</f>
        <v>164669311.81799999</v>
      </c>
      <c r="O66" s="459">
        <f ca="1">+'[59]Billed kWh'!M83</f>
        <v>171590945.87599999</v>
      </c>
      <c r="P66" s="459">
        <f ca="1">+'[59]Billed kWh'!N83</f>
        <v>177374709.80500001</v>
      </c>
    </row>
    <row r="67" spans="1:16" x14ac:dyDescent="0.3">
      <c r="A67" s="458">
        <f t="shared" si="2"/>
        <v>62</v>
      </c>
      <c r="B67" s="310" t="s">
        <v>109</v>
      </c>
      <c r="C67"/>
      <c r="D67" s="459">
        <f t="shared" ca="1" si="44"/>
        <v>1877448961</v>
      </c>
      <c r="E67" s="459">
        <f ca="1">SUM(E12:E13)</f>
        <v>153932206</v>
      </c>
      <c r="F67" s="459">
        <f t="shared" ref="F67:P67" ca="1" si="45">SUM(F12:F13)</f>
        <v>145479771</v>
      </c>
      <c r="G67" s="459">
        <f t="shared" ca="1" si="45"/>
        <v>161138330</v>
      </c>
      <c r="H67" s="459">
        <f t="shared" ca="1" si="45"/>
        <v>152755853</v>
      </c>
      <c r="I67" s="459">
        <f t="shared" ca="1" si="45"/>
        <v>166260378</v>
      </c>
      <c r="J67" s="459">
        <f t="shared" ca="1" si="45"/>
        <v>147713221</v>
      </c>
      <c r="K67" s="459">
        <f t="shared" ca="1" si="45"/>
        <v>145408356</v>
      </c>
      <c r="L67" s="459">
        <f t="shared" ca="1" si="45"/>
        <v>139683945</v>
      </c>
      <c r="M67" s="459">
        <f t="shared" ca="1" si="45"/>
        <v>155255933</v>
      </c>
      <c r="N67" s="459">
        <f t="shared" ca="1" si="45"/>
        <v>163550612</v>
      </c>
      <c r="O67" s="459">
        <f t="shared" ca="1" si="45"/>
        <v>169836046</v>
      </c>
      <c r="P67" s="459">
        <f t="shared" ca="1" si="45"/>
        <v>176434310</v>
      </c>
    </row>
    <row r="68" spans="1:16" x14ac:dyDescent="0.3">
      <c r="A68" s="458">
        <f t="shared" si="2"/>
        <v>63</v>
      </c>
      <c r="B68" s="310" t="s">
        <v>110</v>
      </c>
      <c r="C68"/>
      <c r="D68" s="459">
        <f t="shared" ref="D68" ca="1" si="46">SUM(E68:P68)</f>
        <v>13232300</v>
      </c>
      <c r="E68" s="459">
        <f ca="1">+'[59]Tariff 26P'!E12</f>
        <v>1043200</v>
      </c>
      <c r="F68" s="459">
        <f ca="1">+'[59]Tariff 26P'!F12</f>
        <v>-1522500</v>
      </c>
      <c r="G68" s="459">
        <f ca="1">+'[59]Tariff 26P'!G12</f>
        <v>4001000</v>
      </c>
      <c r="H68" s="459">
        <f ca="1">+'[59]Tariff 26P'!H12</f>
        <v>326700</v>
      </c>
      <c r="I68" s="459">
        <f ca="1">+'[59]Tariff 26P'!I12</f>
        <v>2315100</v>
      </c>
      <c r="J68" s="459">
        <f ca="1">+'[59]Tariff 26P'!J12</f>
        <v>1170900</v>
      </c>
      <c r="K68" s="459">
        <f ca="1">+'[59]Tariff 26P'!K12</f>
        <v>763000</v>
      </c>
      <c r="L68" s="459">
        <f ca="1">+'[59]Tariff 26P'!L12</f>
        <v>0</v>
      </c>
      <c r="M68" s="459">
        <f ca="1">+'[59]Tariff 26P'!M12</f>
        <v>1320900</v>
      </c>
      <c r="N68" s="459">
        <f ca="1">+'[59]Tariff 26P'!N12</f>
        <v>1118700</v>
      </c>
      <c r="O68" s="459">
        <f ca="1">+'[59]Tariff 26P'!O12</f>
        <v>1754900</v>
      </c>
      <c r="P68" s="459">
        <f ca="1">+'[59]Tariff 26P'!P12</f>
        <v>940400</v>
      </c>
    </row>
    <row r="69" spans="1:16" x14ac:dyDescent="0.3">
      <c r="A69" s="458">
        <f t="shared" si="2"/>
        <v>64</v>
      </c>
      <c r="B69" t="s">
        <v>46</v>
      </c>
      <c r="C69"/>
      <c r="D69" s="459">
        <f t="shared" ca="1" si="44"/>
        <v>1.1020000278949738</v>
      </c>
      <c r="E69" s="459">
        <f ca="1">+E68+E67-E66</f>
        <v>0.49300000071525574</v>
      </c>
      <c r="F69" s="459">
        <f t="shared" ref="F69:P69" ca="1" si="47">+F68+F67-F66</f>
        <v>1.1000007390975952E-2</v>
      </c>
      <c r="G69" s="459">
        <f t="shared" ca="1" si="47"/>
        <v>0.44100001454353333</v>
      </c>
      <c r="H69" s="459">
        <f t="shared" ca="1" si="47"/>
        <v>0.30000001192092896</v>
      </c>
      <c r="I69" s="459">
        <f t="shared" ca="1" si="47"/>
        <v>-3.5999983549118042E-2</v>
      </c>
      <c r="J69" s="459">
        <f t="shared" ca="1" si="47"/>
        <v>-0.13899999856948853</v>
      </c>
      <c r="K69" s="459">
        <f t="shared" ca="1" si="47"/>
        <v>-0.46200001239776611</v>
      </c>
      <c r="L69" s="459">
        <f t="shared" ca="1" si="47"/>
        <v>1.9999980926513672E-2</v>
      </c>
      <c r="M69" s="459">
        <f t="shared" ca="1" si="47"/>
        <v>-2.7000010013580322E-2</v>
      </c>
      <c r="N69" s="459">
        <f t="shared" ca="1" si="47"/>
        <v>0.18200001120567322</v>
      </c>
      <c r="O69" s="459">
        <f t="shared" ca="1" si="47"/>
        <v>0.12400001287460327</v>
      </c>
      <c r="P69" s="459">
        <f t="shared" ca="1" si="47"/>
        <v>0.19499999284744263</v>
      </c>
    </row>
    <row r="70" spans="1:16" x14ac:dyDescent="0.3">
      <c r="A70" s="458">
        <f t="shared" si="2"/>
        <v>65</v>
      </c>
      <c r="B70"/>
      <c r="C70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</row>
    <row r="71" spans="1:16" x14ac:dyDescent="0.3">
      <c r="A71" s="458">
        <f t="shared" ref="A71:A134" si="48">+A70+1</f>
        <v>66</v>
      </c>
      <c r="B71" t="s">
        <v>111</v>
      </c>
      <c r="C71"/>
      <c r="D71" s="459">
        <f t="shared" ref="D71:D72" ca="1" si="49">SUM(E71:P71)</f>
        <v>1890681259.8979998</v>
      </c>
      <c r="E71" s="459">
        <f ca="1">+'[59]kWh Summary'!C9</f>
        <v>154975405.507</v>
      </c>
      <c r="F71" s="459">
        <f ca="1">+'[59]kWh Summary'!D9</f>
        <v>143957270.98899999</v>
      </c>
      <c r="G71" s="459">
        <f ca="1">+'[59]kWh Summary'!E9</f>
        <v>165139329.55899999</v>
      </c>
      <c r="H71" s="459">
        <f ca="1">+'[59]kWh Summary'!F9</f>
        <v>153082552.69999999</v>
      </c>
      <c r="I71" s="459">
        <f ca="1">+'[59]kWh Summary'!G9</f>
        <v>168575478.03599998</v>
      </c>
      <c r="J71" s="459">
        <f ca="1">+'[59]kWh Summary'!H9</f>
        <v>148884121.139</v>
      </c>
      <c r="K71" s="459">
        <f ca="1">+'[59]kWh Summary'!I9</f>
        <v>146171356.46200001</v>
      </c>
      <c r="L71" s="459">
        <f ca="1">+'[59]kWh Summary'!J9</f>
        <v>139683944.98000002</v>
      </c>
      <c r="M71" s="459">
        <f ca="1">+'[59]kWh Summary'!K9</f>
        <v>156576833.02700001</v>
      </c>
      <c r="N71" s="459">
        <f ca="1">+'[59]kWh Summary'!L9</f>
        <v>164669311.81799999</v>
      </c>
      <c r="O71" s="459">
        <f ca="1">+'[59]kWh Summary'!M9</f>
        <v>171590945.87599999</v>
      </c>
      <c r="P71" s="459">
        <f ca="1">+'[59]kWh Summary'!N9</f>
        <v>177374709.80500001</v>
      </c>
    </row>
    <row r="72" spans="1:16" x14ac:dyDescent="0.3">
      <c r="A72" s="458">
        <f t="shared" si="48"/>
        <v>67</v>
      </c>
      <c r="B72" t="s">
        <v>112</v>
      </c>
      <c r="C72"/>
      <c r="D72" s="459">
        <f t="shared" ca="1" si="49"/>
        <v>-1.1020000278949738</v>
      </c>
      <c r="E72" s="459">
        <f ca="1">+E71-E67-E68</f>
        <v>-0.49300000071525574</v>
      </c>
      <c r="F72" s="459">
        <f t="shared" ref="F72:P72" ca="1" si="50">+F71-F67-F68</f>
        <v>-1.1000007390975952E-2</v>
      </c>
      <c r="G72" s="459">
        <f t="shared" ca="1" si="50"/>
        <v>-0.44100001454353333</v>
      </c>
      <c r="H72" s="459">
        <f t="shared" ca="1" si="50"/>
        <v>-0.30000001192092896</v>
      </c>
      <c r="I72" s="459">
        <f t="shared" ca="1" si="50"/>
        <v>3.5999983549118042E-2</v>
      </c>
      <c r="J72" s="459">
        <f t="shared" ca="1" si="50"/>
        <v>0.13899999856948853</v>
      </c>
      <c r="K72" s="459">
        <f t="shared" ca="1" si="50"/>
        <v>0.46200001239776611</v>
      </c>
      <c r="L72" s="459">
        <f t="shared" ca="1" si="50"/>
        <v>-1.9999980926513672E-2</v>
      </c>
      <c r="M72" s="459">
        <f t="shared" ca="1" si="50"/>
        <v>2.7000010013580322E-2</v>
      </c>
      <c r="N72" s="459">
        <f t="shared" ca="1" si="50"/>
        <v>-0.18200001120567322</v>
      </c>
      <c r="O72" s="459">
        <f t="shared" ca="1" si="50"/>
        <v>-0.12400001287460327</v>
      </c>
      <c r="P72" s="459">
        <f t="shared" ca="1" si="50"/>
        <v>-0.19499999284744263</v>
      </c>
    </row>
    <row r="73" spans="1:16" x14ac:dyDescent="0.3">
      <c r="A73" s="458">
        <f t="shared" si="48"/>
        <v>68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">
      <c r="A74" s="458">
        <f t="shared" si="48"/>
        <v>69</v>
      </c>
      <c r="B74" t="s">
        <v>113</v>
      </c>
      <c r="C74"/>
      <c r="D74" s="469">
        <f t="shared" ref="D74" ca="1" si="51">SUM(E74:P74)</f>
        <v>-10351074.180000009</v>
      </c>
      <c r="E74" s="469">
        <f ca="1">+E64-E113+'[59]Tariff 26P'!E50</f>
        <v>-566114.09999999776</v>
      </c>
      <c r="F74" s="469">
        <f ca="1">+F64-F113+'[59]Tariff 26P'!F50</f>
        <v>-85991.86999999918</v>
      </c>
      <c r="G74" s="469">
        <f ca="1">+G64-G113+'[59]Tariff 26P'!G50</f>
        <v>-518091.23000000231</v>
      </c>
      <c r="H74" s="469">
        <f ca="1">+H64-H113+'[59]Tariff 26P'!H50</f>
        <v>-685821.35000000149</v>
      </c>
      <c r="I74" s="469">
        <f ca="1">+I64-I113+'[59]Tariff 26P'!I50</f>
        <v>-2379012.0600000005</v>
      </c>
      <c r="J74" s="469">
        <f ca="1">+J64-J113+'[59]Tariff 26P'!J50</f>
        <v>-234920.41000000015</v>
      </c>
      <c r="K74" s="469">
        <f ca="1">+K64-K113+'[59]Tariff 26P'!K50</f>
        <v>-348420.37999999896</v>
      </c>
      <c r="L74" s="469">
        <f ca="1">+L64-L113+'[59]Tariff 26P'!L50</f>
        <v>-1000954.3400000017</v>
      </c>
      <c r="M74" s="469">
        <f ca="1">+M64-M113+'[59]Tariff 26P'!M50</f>
        <v>328625.08999999799</v>
      </c>
      <c r="N74" s="469">
        <f ca="1">+N64-N113+'[59]Tariff 26P'!N50</f>
        <v>-730603.23000000417</v>
      </c>
      <c r="O74" s="469">
        <f ca="1">+O64-O113+'[59]Tariff 26P'!O50</f>
        <v>-1767268.3300000019</v>
      </c>
      <c r="P74" s="469">
        <f ca="1">+P64-P113+'[59]Tariff 26P'!P50</f>
        <v>-2362501.9699999988</v>
      </c>
    </row>
    <row r="75" spans="1:16" x14ac:dyDescent="0.3">
      <c r="A75" s="458">
        <f t="shared" si="48"/>
        <v>70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">
      <c r="A76" s="458">
        <f t="shared" si="48"/>
        <v>71</v>
      </c>
      <c r="B76"/>
      <c r="C76"/>
      <c r="D76"/>
      <c r="E76" s="466"/>
      <c r="F76"/>
      <c r="G76"/>
      <c r="H76"/>
      <c r="I76"/>
      <c r="J76"/>
      <c r="K76"/>
      <c r="L76"/>
      <c r="M76"/>
      <c r="N76"/>
      <c r="O76"/>
      <c r="P76"/>
    </row>
    <row r="77" spans="1:16" x14ac:dyDescent="0.3">
      <c r="A77" s="458">
        <f t="shared" si="48"/>
        <v>72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">
      <c r="A78" s="458">
        <f t="shared" si="48"/>
        <v>73</v>
      </c>
      <c r="B78" s="477" t="s">
        <v>58</v>
      </c>
      <c r="C78" s="470">
        <v>26</v>
      </c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">
      <c r="A79" s="458">
        <f t="shared" si="48"/>
        <v>74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">
      <c r="A80" s="458">
        <f t="shared" si="48"/>
        <v>75</v>
      </c>
      <c r="B80"/>
      <c r="C80"/>
      <c r="D80" s="477" t="s">
        <v>114</v>
      </c>
      <c r="E80"/>
      <c r="F80"/>
      <c r="G80"/>
      <c r="H80"/>
      <c r="I80"/>
      <c r="J80"/>
      <c r="K80"/>
      <c r="L80"/>
      <c r="M80"/>
      <c r="N80"/>
      <c r="O80"/>
      <c r="P80"/>
    </row>
    <row r="81" spans="1:16" ht="28.8" x14ac:dyDescent="0.3">
      <c r="A81" s="458">
        <f t="shared" si="48"/>
        <v>76</v>
      </c>
      <c r="B81" s="478" t="s">
        <v>115</v>
      </c>
      <c r="C81" s="478" t="s">
        <v>116</v>
      </c>
      <c r="D81" s="471" t="s">
        <v>439</v>
      </c>
      <c r="E81" s="471" t="s">
        <v>440</v>
      </c>
      <c r="F81" s="471" t="s">
        <v>441</v>
      </c>
      <c r="G81" s="471" t="s">
        <v>442</v>
      </c>
      <c r="H81" s="471" t="s">
        <v>443</v>
      </c>
      <c r="I81" s="471" t="s">
        <v>444</v>
      </c>
      <c r="J81" s="471" t="s">
        <v>445</v>
      </c>
      <c r="K81" s="471" t="s">
        <v>446</v>
      </c>
      <c r="L81" s="471" t="s">
        <v>447</v>
      </c>
      <c r="M81" s="471" t="s">
        <v>448</v>
      </c>
      <c r="N81" s="471" t="s">
        <v>449</v>
      </c>
      <c r="O81" t="s">
        <v>450</v>
      </c>
      <c r="P81" t="s">
        <v>451</v>
      </c>
    </row>
    <row r="82" spans="1:16" x14ac:dyDescent="0.3">
      <c r="A82" s="458">
        <f t="shared" si="48"/>
        <v>77</v>
      </c>
      <c r="B82" t="s">
        <v>117</v>
      </c>
      <c r="C82" t="s">
        <v>452</v>
      </c>
      <c r="D82" s="472">
        <v>54.27</v>
      </c>
      <c r="E82" s="472"/>
      <c r="F82" s="472"/>
      <c r="G82" s="472"/>
      <c r="H82" s="472"/>
      <c r="I82" s="472"/>
      <c r="J82" s="472"/>
      <c r="K82" s="472">
        <v>54.27</v>
      </c>
      <c r="L82" s="472"/>
      <c r="M82" s="472"/>
      <c r="N82" s="472"/>
      <c r="O82" s="472"/>
      <c r="P82" s="472"/>
    </row>
    <row r="83" spans="1:16" x14ac:dyDescent="0.3">
      <c r="A83" s="458">
        <f t="shared" si="48"/>
        <v>78</v>
      </c>
      <c r="B83"/>
      <c r="C83" t="s">
        <v>118</v>
      </c>
      <c r="D83" s="472">
        <v>1071298.9099999999</v>
      </c>
      <c r="E83" s="472">
        <v>88478.46</v>
      </c>
      <c r="F83" s="472">
        <v>85196.73000000001</v>
      </c>
      <c r="G83" s="472">
        <v>88588.92</v>
      </c>
      <c r="H83" s="472">
        <v>87042.48000000001</v>
      </c>
      <c r="I83" s="472">
        <v>93559.62000000001</v>
      </c>
      <c r="J83" s="472">
        <v>85716.959999999992</v>
      </c>
      <c r="K83" s="472">
        <v>84619.72</v>
      </c>
      <c r="L83" s="472">
        <v>85610.180000000008</v>
      </c>
      <c r="M83" s="472">
        <v>90024.9</v>
      </c>
      <c r="N83" s="472">
        <v>93463.88</v>
      </c>
      <c r="O83" s="472">
        <v>90466.74</v>
      </c>
      <c r="P83" s="472">
        <v>98530.32</v>
      </c>
    </row>
    <row r="84" spans="1:16" x14ac:dyDescent="0.3">
      <c r="A84" s="458">
        <f t="shared" si="48"/>
        <v>79</v>
      </c>
      <c r="B84"/>
      <c r="C84" t="s">
        <v>119</v>
      </c>
      <c r="D84" s="472">
        <v>8565.84</v>
      </c>
      <c r="E84" s="472">
        <v>713.82</v>
      </c>
      <c r="F84" s="472">
        <v>-713.82</v>
      </c>
      <c r="G84" s="472">
        <v>2141.46</v>
      </c>
      <c r="H84" s="472">
        <v>356.91</v>
      </c>
      <c r="I84" s="472">
        <v>1070.73</v>
      </c>
      <c r="J84" s="472">
        <v>713.82</v>
      </c>
      <c r="K84" s="472">
        <v>356.91</v>
      </c>
      <c r="L84" s="472"/>
      <c r="M84" s="472">
        <v>713.82</v>
      </c>
      <c r="N84" s="472">
        <v>1427.64</v>
      </c>
      <c r="O84" s="472">
        <v>1070.73</v>
      </c>
      <c r="P84" s="472">
        <v>713.82</v>
      </c>
    </row>
    <row r="85" spans="1:16" x14ac:dyDescent="0.3">
      <c r="A85" s="458">
        <f t="shared" si="48"/>
        <v>80</v>
      </c>
      <c r="B85" t="s">
        <v>120</v>
      </c>
      <c r="C85"/>
      <c r="D85" s="472">
        <v>1079919.02</v>
      </c>
      <c r="E85" s="472">
        <v>89192.280000000013</v>
      </c>
      <c r="F85" s="472">
        <v>84482.91</v>
      </c>
      <c r="G85" s="472">
        <v>90730.38</v>
      </c>
      <c r="H85" s="472">
        <v>87399.390000000014</v>
      </c>
      <c r="I85" s="472">
        <v>94630.35</v>
      </c>
      <c r="J85" s="472">
        <v>86430.78</v>
      </c>
      <c r="K85" s="472">
        <v>85030.900000000009</v>
      </c>
      <c r="L85" s="472">
        <v>85610.180000000008</v>
      </c>
      <c r="M85" s="472">
        <v>90738.72</v>
      </c>
      <c r="N85" s="472">
        <v>94891.520000000004</v>
      </c>
      <c r="O85" s="472">
        <v>91537.47</v>
      </c>
      <c r="P85" s="472">
        <v>99244.140000000014</v>
      </c>
    </row>
    <row r="86" spans="1:16" x14ac:dyDescent="0.3">
      <c r="A86" s="458">
        <f t="shared" si="48"/>
        <v>81</v>
      </c>
      <c r="B86" t="s">
        <v>121</v>
      </c>
      <c r="C86" t="s">
        <v>122</v>
      </c>
      <c r="D86" s="472">
        <v>0</v>
      </c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</row>
    <row r="87" spans="1:16" x14ac:dyDescent="0.3">
      <c r="A87" s="458">
        <f t="shared" si="48"/>
        <v>82</v>
      </c>
      <c r="B87"/>
      <c r="C87" t="s">
        <v>125</v>
      </c>
      <c r="D87" s="472">
        <v>659611.77000000014</v>
      </c>
      <c r="E87" s="472">
        <v>73712.88</v>
      </c>
      <c r="F87" s="472">
        <v>89503.01</v>
      </c>
      <c r="G87" s="472">
        <v>106075.2</v>
      </c>
      <c r="H87" s="472">
        <v>102743.59</v>
      </c>
      <c r="I87" s="472">
        <v>95077.25</v>
      </c>
      <c r="J87" s="472">
        <v>80648.91</v>
      </c>
      <c r="K87" s="472">
        <v>68903.009999999995</v>
      </c>
      <c r="L87" s="472">
        <v>42947.92</v>
      </c>
      <c r="M87" s="472"/>
      <c r="N87" s="472"/>
      <c r="O87" s="472"/>
      <c r="P87" s="472"/>
    </row>
    <row r="88" spans="1:16" x14ac:dyDescent="0.3">
      <c r="A88" s="458">
        <f t="shared" si="48"/>
        <v>83</v>
      </c>
      <c r="B88"/>
      <c r="C88" t="s">
        <v>453</v>
      </c>
      <c r="D88" s="472">
        <v>347086.87</v>
      </c>
      <c r="E88" s="472"/>
      <c r="F88" s="472"/>
      <c r="G88" s="472"/>
      <c r="H88" s="472"/>
      <c r="I88" s="472"/>
      <c r="J88" s="472"/>
      <c r="K88" s="472"/>
      <c r="L88" s="472">
        <v>32586.81</v>
      </c>
      <c r="M88" s="472">
        <v>65041.99</v>
      </c>
      <c r="N88" s="472">
        <v>58402.81</v>
      </c>
      <c r="O88" s="472">
        <v>79159.58</v>
      </c>
      <c r="P88" s="472">
        <v>111895.67999999999</v>
      </c>
    </row>
    <row r="89" spans="1:16" x14ac:dyDescent="0.3">
      <c r="A89" s="458">
        <f t="shared" si="48"/>
        <v>84</v>
      </c>
      <c r="B89" t="s">
        <v>126</v>
      </c>
      <c r="C89"/>
      <c r="D89" s="472">
        <v>1006698.6400000001</v>
      </c>
      <c r="E89" s="472">
        <v>73712.88</v>
      </c>
      <c r="F89" s="472">
        <v>89503.01</v>
      </c>
      <c r="G89" s="472">
        <v>106075.2</v>
      </c>
      <c r="H89" s="472">
        <v>102743.59</v>
      </c>
      <c r="I89" s="472">
        <v>95077.25</v>
      </c>
      <c r="J89" s="472">
        <v>80648.91</v>
      </c>
      <c r="K89" s="472">
        <v>68903.009999999995</v>
      </c>
      <c r="L89" s="472">
        <v>75534.73</v>
      </c>
      <c r="M89" s="472">
        <v>65041.99</v>
      </c>
      <c r="N89" s="472">
        <v>58402.81</v>
      </c>
      <c r="O89" s="472">
        <v>79159.58</v>
      </c>
      <c r="P89" s="472">
        <v>111895.67999999999</v>
      </c>
    </row>
    <row r="90" spans="1:16" x14ac:dyDescent="0.3">
      <c r="A90" s="458">
        <f t="shared" si="48"/>
        <v>85</v>
      </c>
      <c r="B90" t="s">
        <v>127</v>
      </c>
      <c r="C90" t="s">
        <v>122</v>
      </c>
      <c r="D90" s="472">
        <v>0</v>
      </c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</row>
    <row r="91" spans="1:16" x14ac:dyDescent="0.3">
      <c r="A91" s="458">
        <f t="shared" si="48"/>
        <v>86</v>
      </c>
      <c r="B91"/>
      <c r="C91" t="s">
        <v>128</v>
      </c>
      <c r="D91" s="472">
        <v>489301.22</v>
      </c>
      <c r="E91" s="472">
        <v>59298.62</v>
      </c>
      <c r="F91" s="472">
        <v>-86543.47</v>
      </c>
      <c r="G91" s="472">
        <v>227428.84</v>
      </c>
      <c r="H91" s="472">
        <v>18570.61</v>
      </c>
      <c r="I91" s="472">
        <v>131597.23000000001</v>
      </c>
      <c r="J91" s="472">
        <v>66557.47</v>
      </c>
      <c r="K91" s="472">
        <v>43371.21</v>
      </c>
      <c r="L91" s="472"/>
      <c r="M91" s="472">
        <v>10138.24</v>
      </c>
      <c r="N91" s="472">
        <v>18882.47</v>
      </c>
      <c r="O91" s="472"/>
      <c r="P91" s="472"/>
    </row>
    <row r="92" spans="1:16" x14ac:dyDescent="0.3">
      <c r="A92" s="458">
        <f t="shared" si="48"/>
        <v>87</v>
      </c>
      <c r="B92"/>
      <c r="C92" t="s">
        <v>454</v>
      </c>
      <c r="D92" s="472">
        <v>264245.09999999998</v>
      </c>
      <c r="E92" s="472"/>
      <c r="F92" s="472"/>
      <c r="G92" s="472"/>
      <c r="H92" s="472"/>
      <c r="I92" s="472"/>
      <c r="J92" s="472"/>
      <c r="K92" s="472"/>
      <c r="L92" s="472"/>
      <c r="M92" s="472">
        <v>65287.3</v>
      </c>
      <c r="N92" s="472">
        <v>44942.96</v>
      </c>
      <c r="O92" s="472">
        <v>100278.5</v>
      </c>
      <c r="P92" s="472">
        <v>53736.34</v>
      </c>
    </row>
    <row r="93" spans="1:16" x14ac:dyDescent="0.3">
      <c r="A93" s="458">
        <f t="shared" si="48"/>
        <v>88</v>
      </c>
      <c r="B93"/>
      <c r="C93" t="s">
        <v>123</v>
      </c>
      <c r="D93" s="472">
        <v>8367.41</v>
      </c>
      <c r="E93" s="472"/>
      <c r="F93" s="472"/>
      <c r="G93" s="472"/>
      <c r="H93" s="472"/>
      <c r="I93" s="472"/>
      <c r="J93" s="472"/>
      <c r="K93" s="472">
        <v>8367.41</v>
      </c>
      <c r="L93" s="472"/>
      <c r="M93" s="472"/>
      <c r="N93" s="472"/>
      <c r="O93" s="472"/>
      <c r="P93" s="472"/>
    </row>
    <row r="94" spans="1:16" x14ac:dyDescent="0.3">
      <c r="A94" s="458">
        <f t="shared" si="48"/>
        <v>89</v>
      </c>
      <c r="B94"/>
      <c r="C94" t="s">
        <v>124</v>
      </c>
      <c r="D94" s="472">
        <v>48945.33</v>
      </c>
      <c r="E94" s="472"/>
      <c r="F94" s="472"/>
      <c r="G94" s="472">
        <v>0</v>
      </c>
      <c r="H94" s="472"/>
      <c r="I94" s="472"/>
      <c r="J94" s="472"/>
      <c r="K94" s="472">
        <v>48945.33</v>
      </c>
      <c r="L94" s="472"/>
      <c r="M94" s="472"/>
      <c r="N94" s="472"/>
      <c r="O94" s="472"/>
      <c r="P94" s="472"/>
    </row>
    <row r="95" spans="1:16" x14ac:dyDescent="0.3">
      <c r="A95" s="458">
        <f t="shared" si="48"/>
        <v>90</v>
      </c>
      <c r="B95"/>
      <c r="C95" t="s">
        <v>125</v>
      </c>
      <c r="D95" s="472">
        <v>68379753.020000011</v>
      </c>
      <c r="E95" s="472">
        <v>8977501.1199999992</v>
      </c>
      <c r="F95" s="472">
        <v>8464707.5700000003</v>
      </c>
      <c r="G95" s="472">
        <v>9368858.620000001</v>
      </c>
      <c r="H95" s="472">
        <v>8879300.5</v>
      </c>
      <c r="I95" s="472">
        <v>9681033</v>
      </c>
      <c r="J95" s="472">
        <v>8604888.5</v>
      </c>
      <c r="K95" s="472">
        <v>8423577.2899999991</v>
      </c>
      <c r="L95" s="472">
        <v>4871082.09</v>
      </c>
      <c r="M95" s="472">
        <v>925662.95</v>
      </c>
      <c r="N95" s="472">
        <v>180756.95</v>
      </c>
      <c r="O95" s="472">
        <v>2384.4299999999998</v>
      </c>
      <c r="P95" s="472">
        <v>0</v>
      </c>
    </row>
    <row r="96" spans="1:16" x14ac:dyDescent="0.3">
      <c r="A96" s="458">
        <f t="shared" si="48"/>
        <v>91</v>
      </c>
      <c r="B96"/>
      <c r="C96" t="s">
        <v>453</v>
      </c>
      <c r="D96" s="472">
        <v>41160013.900000006</v>
      </c>
      <c r="E96" s="472"/>
      <c r="F96" s="472"/>
      <c r="G96" s="472"/>
      <c r="H96" s="472"/>
      <c r="I96" s="472"/>
      <c r="J96" s="472"/>
      <c r="K96" s="472"/>
      <c r="L96" s="472">
        <v>3283576.71</v>
      </c>
      <c r="M96" s="472">
        <v>8180058.46</v>
      </c>
      <c r="N96" s="472">
        <v>9425598.8100000005</v>
      </c>
      <c r="O96" s="472">
        <v>9955584.4200000018</v>
      </c>
      <c r="P96" s="472">
        <v>10315195.5</v>
      </c>
    </row>
    <row r="97" spans="1:16" x14ac:dyDescent="0.3">
      <c r="A97" s="458">
        <f t="shared" si="48"/>
        <v>92</v>
      </c>
      <c r="B97" t="s">
        <v>129</v>
      </c>
      <c r="C97"/>
      <c r="D97" s="472">
        <v>110350625.98000002</v>
      </c>
      <c r="E97" s="472">
        <v>9036799.7399999984</v>
      </c>
      <c r="F97" s="472">
        <v>8378164.1000000006</v>
      </c>
      <c r="G97" s="472">
        <v>9596287.4600000009</v>
      </c>
      <c r="H97" s="472">
        <v>8897871.1099999994</v>
      </c>
      <c r="I97" s="472">
        <v>9812630.2300000004</v>
      </c>
      <c r="J97" s="472">
        <v>8671445.9700000007</v>
      </c>
      <c r="K97" s="472">
        <v>8524261.2399999984</v>
      </c>
      <c r="L97" s="472">
        <v>8154658.7999999998</v>
      </c>
      <c r="M97" s="472">
        <v>9181146.9499999993</v>
      </c>
      <c r="N97" s="472">
        <v>9670181.1900000013</v>
      </c>
      <c r="O97" s="472">
        <v>10058247.350000001</v>
      </c>
      <c r="P97" s="472">
        <v>10368931.84</v>
      </c>
    </row>
    <row r="98" spans="1:16" x14ac:dyDescent="0.3">
      <c r="A98" s="458">
        <f t="shared" si="48"/>
        <v>93</v>
      </c>
      <c r="B98" t="s">
        <v>130</v>
      </c>
      <c r="C98" t="s">
        <v>131</v>
      </c>
      <c r="D98" s="472">
        <v>2924.43</v>
      </c>
      <c r="E98" s="472"/>
      <c r="F98" s="472"/>
      <c r="G98" s="472"/>
      <c r="H98" s="472"/>
      <c r="I98" s="472"/>
      <c r="J98" s="472"/>
      <c r="K98" s="472">
        <v>2924.43</v>
      </c>
      <c r="L98" s="472"/>
      <c r="M98" s="472"/>
      <c r="N98" s="472"/>
      <c r="O98" s="472"/>
      <c r="P98" s="472"/>
    </row>
    <row r="99" spans="1:16" x14ac:dyDescent="0.3">
      <c r="A99" s="458">
        <f t="shared" si="48"/>
        <v>94</v>
      </c>
      <c r="B99"/>
      <c r="C99" t="s">
        <v>132</v>
      </c>
      <c r="D99" s="472">
        <v>27755.4</v>
      </c>
      <c r="E99" s="472">
        <v>6210.43</v>
      </c>
      <c r="F99" s="472">
        <v>-20453.66</v>
      </c>
      <c r="G99" s="472">
        <v>20453.66</v>
      </c>
      <c r="H99" s="472"/>
      <c r="I99" s="472"/>
      <c r="J99" s="472"/>
      <c r="K99" s="472">
        <v>12171.57</v>
      </c>
      <c r="L99" s="472"/>
      <c r="M99" s="472">
        <v>4723.47</v>
      </c>
      <c r="N99" s="472">
        <v>4649.93</v>
      </c>
      <c r="O99" s="472"/>
      <c r="P99" s="472"/>
    </row>
    <row r="100" spans="1:16" x14ac:dyDescent="0.3">
      <c r="A100" s="458">
        <f t="shared" si="48"/>
        <v>95</v>
      </c>
      <c r="B100"/>
      <c r="C100" t="s">
        <v>133</v>
      </c>
      <c r="D100" s="472">
        <v>5402594.7800000003</v>
      </c>
      <c r="E100" s="472">
        <v>1851576.8099999998</v>
      </c>
      <c r="F100" s="472">
        <v>56308.67</v>
      </c>
      <c r="G100" s="472">
        <v>36487.130000000005</v>
      </c>
      <c r="H100" s="472"/>
      <c r="I100" s="472"/>
      <c r="J100" s="472"/>
      <c r="K100" s="472">
        <v>1355971.98</v>
      </c>
      <c r="L100" s="472">
        <v>1728494.84</v>
      </c>
      <c r="M100" s="472">
        <v>313572.88999999996</v>
      </c>
      <c r="N100" s="472">
        <v>59450.14</v>
      </c>
      <c r="O100" s="472">
        <v>732.32</v>
      </c>
      <c r="P100" s="472">
        <v>0</v>
      </c>
    </row>
    <row r="101" spans="1:16" x14ac:dyDescent="0.3">
      <c r="A101" s="458">
        <f t="shared" si="48"/>
        <v>96</v>
      </c>
      <c r="B101"/>
      <c r="C101" t="s">
        <v>455</v>
      </c>
      <c r="D101" s="472">
        <v>97626.14</v>
      </c>
      <c r="E101" s="472"/>
      <c r="F101" s="472"/>
      <c r="G101" s="472"/>
      <c r="H101" s="472"/>
      <c r="I101" s="472"/>
      <c r="J101" s="472"/>
      <c r="K101" s="472"/>
      <c r="L101" s="472"/>
      <c r="M101" s="472">
        <v>26636.75</v>
      </c>
      <c r="N101" s="472">
        <v>13890.9</v>
      </c>
      <c r="O101" s="472">
        <v>37291.519999999997</v>
      </c>
      <c r="P101" s="472">
        <v>19806.97</v>
      </c>
    </row>
    <row r="102" spans="1:16" x14ac:dyDescent="0.3">
      <c r="A102" s="458">
        <f t="shared" si="48"/>
        <v>97</v>
      </c>
      <c r="B102"/>
      <c r="C102" t="s">
        <v>456</v>
      </c>
      <c r="D102" s="472">
        <v>15974306.140000001</v>
      </c>
      <c r="E102" s="472"/>
      <c r="F102" s="472"/>
      <c r="G102" s="472"/>
      <c r="H102" s="472"/>
      <c r="I102" s="472"/>
      <c r="J102" s="472"/>
      <c r="K102" s="472"/>
      <c r="L102" s="472">
        <v>1344488.16</v>
      </c>
      <c r="M102" s="472">
        <v>3236317.84</v>
      </c>
      <c r="N102" s="472">
        <v>3711051.4400000004</v>
      </c>
      <c r="O102" s="472">
        <v>3707194.18</v>
      </c>
      <c r="P102" s="472">
        <v>3975254.52</v>
      </c>
    </row>
    <row r="103" spans="1:16" x14ac:dyDescent="0.3">
      <c r="A103" s="458">
        <f t="shared" si="48"/>
        <v>98</v>
      </c>
      <c r="B103"/>
      <c r="C103" t="s">
        <v>134</v>
      </c>
      <c r="D103" s="472">
        <v>24257.96</v>
      </c>
      <c r="E103" s="472"/>
      <c r="F103" s="472"/>
      <c r="G103" s="472">
        <v>0</v>
      </c>
      <c r="H103" s="472"/>
      <c r="I103" s="472"/>
      <c r="J103" s="472"/>
      <c r="K103" s="472">
        <v>24257.96</v>
      </c>
      <c r="L103" s="472"/>
      <c r="M103" s="472"/>
      <c r="N103" s="472"/>
      <c r="O103" s="472"/>
      <c r="P103" s="472"/>
    </row>
    <row r="104" spans="1:16" x14ac:dyDescent="0.3">
      <c r="A104" s="458">
        <f t="shared" si="48"/>
        <v>99</v>
      </c>
      <c r="B104"/>
      <c r="C104" t="s">
        <v>457</v>
      </c>
      <c r="D104" s="472">
        <v>212739.97000000003</v>
      </c>
      <c r="E104" s="472">
        <v>22110.99</v>
      </c>
      <c r="F104" s="472">
        <v>-17228.939999999999</v>
      </c>
      <c r="G104" s="472">
        <v>92088.74</v>
      </c>
      <c r="H104" s="472">
        <v>6974.35</v>
      </c>
      <c r="I104" s="472">
        <v>65516.639999999999</v>
      </c>
      <c r="J104" s="472">
        <v>34767.35</v>
      </c>
      <c r="K104" s="472">
        <v>6838.31</v>
      </c>
      <c r="L104" s="472"/>
      <c r="M104" s="472"/>
      <c r="N104" s="472">
        <v>1672.53</v>
      </c>
      <c r="O104" s="472"/>
      <c r="P104" s="472"/>
    </row>
    <row r="105" spans="1:16" x14ac:dyDescent="0.3">
      <c r="A105" s="458">
        <f t="shared" si="48"/>
        <v>100</v>
      </c>
      <c r="B105"/>
      <c r="C105" t="s">
        <v>458</v>
      </c>
      <c r="D105" s="472">
        <v>28521705.780000001</v>
      </c>
      <c r="E105" s="472">
        <v>2093380.69</v>
      </c>
      <c r="F105" s="472">
        <v>4438857.41</v>
      </c>
      <c r="G105" s="472">
        <v>4859973.7699999996</v>
      </c>
      <c r="H105" s="472">
        <v>4591826.97</v>
      </c>
      <c r="I105" s="472">
        <v>5028022.6099999994</v>
      </c>
      <c r="J105" s="472">
        <v>4521549.9000000004</v>
      </c>
      <c r="K105" s="472">
        <v>2631300.06</v>
      </c>
      <c r="L105" s="472">
        <v>286877.71999999997</v>
      </c>
      <c r="M105" s="472">
        <v>64690.75</v>
      </c>
      <c r="N105" s="472">
        <v>5225.8999999999996</v>
      </c>
      <c r="O105" s="472"/>
      <c r="P105" s="472">
        <v>0</v>
      </c>
    </row>
    <row r="106" spans="1:16" x14ac:dyDescent="0.3">
      <c r="A106" s="458">
        <f t="shared" si="48"/>
        <v>101</v>
      </c>
      <c r="B106" t="s">
        <v>135</v>
      </c>
      <c r="C106"/>
      <c r="D106" s="472">
        <v>50263910.600000001</v>
      </c>
      <c r="E106" s="472">
        <v>3973278.92</v>
      </c>
      <c r="F106" s="472">
        <v>4457483.4800000004</v>
      </c>
      <c r="G106" s="472">
        <v>5009003.3</v>
      </c>
      <c r="H106" s="472">
        <v>4598801.3199999994</v>
      </c>
      <c r="I106" s="472">
        <v>5093539.2499999991</v>
      </c>
      <c r="J106" s="472">
        <v>4556317.25</v>
      </c>
      <c r="K106" s="472">
        <v>4033464.31</v>
      </c>
      <c r="L106" s="472">
        <v>3359860.7199999997</v>
      </c>
      <c r="M106" s="472">
        <v>3645941.6999999997</v>
      </c>
      <c r="N106" s="472">
        <v>3795940.8400000003</v>
      </c>
      <c r="O106" s="472">
        <v>3745218.02</v>
      </c>
      <c r="P106" s="472">
        <v>3995061.49</v>
      </c>
    </row>
    <row r="107" spans="1:16" x14ac:dyDescent="0.3">
      <c r="A107" s="458">
        <f t="shared" si="48"/>
        <v>102</v>
      </c>
      <c r="B107" t="s">
        <v>136</v>
      </c>
      <c r="C107" t="s">
        <v>133</v>
      </c>
      <c r="D107" s="472">
        <v>42908.47</v>
      </c>
      <c r="E107" s="472">
        <v>16106.24</v>
      </c>
      <c r="F107" s="472">
        <v>1280.78</v>
      </c>
      <c r="G107" s="472"/>
      <c r="H107" s="472"/>
      <c r="I107" s="472"/>
      <c r="J107" s="472"/>
      <c r="K107" s="472">
        <v>10775.61</v>
      </c>
      <c r="L107" s="472">
        <v>14745.84</v>
      </c>
      <c r="M107" s="472"/>
      <c r="N107" s="472"/>
      <c r="O107" s="472"/>
      <c r="P107" s="472"/>
    </row>
    <row r="108" spans="1:16" x14ac:dyDescent="0.3">
      <c r="A108" s="458">
        <f t="shared" si="48"/>
        <v>103</v>
      </c>
      <c r="B108"/>
      <c r="C108" t="s">
        <v>456</v>
      </c>
      <c r="D108" s="472">
        <v>146293.54999999999</v>
      </c>
      <c r="E108" s="472"/>
      <c r="F108" s="472"/>
      <c r="G108" s="472"/>
      <c r="H108" s="472"/>
      <c r="I108" s="472"/>
      <c r="J108" s="472"/>
      <c r="K108" s="472"/>
      <c r="L108" s="472">
        <v>12330.09</v>
      </c>
      <c r="M108" s="472">
        <v>26311.91</v>
      </c>
      <c r="N108" s="472">
        <v>19804.23</v>
      </c>
      <c r="O108" s="472">
        <v>27407.53</v>
      </c>
      <c r="P108" s="472">
        <v>60439.79</v>
      </c>
    </row>
    <row r="109" spans="1:16" x14ac:dyDescent="0.3">
      <c r="A109" s="458">
        <f t="shared" si="48"/>
        <v>104</v>
      </c>
      <c r="B109"/>
      <c r="C109" t="s">
        <v>458</v>
      </c>
      <c r="D109" s="472">
        <v>265450.26999999996</v>
      </c>
      <c r="E109" s="472">
        <v>16090.04</v>
      </c>
      <c r="F109" s="472">
        <v>43405.61</v>
      </c>
      <c r="G109" s="472">
        <v>52266.68</v>
      </c>
      <c r="H109" s="472">
        <v>48368.81</v>
      </c>
      <c r="I109" s="472">
        <v>44855.46</v>
      </c>
      <c r="J109" s="472">
        <v>38765.949999999997</v>
      </c>
      <c r="K109" s="472">
        <v>20775.04</v>
      </c>
      <c r="L109" s="472">
        <v>922.68</v>
      </c>
      <c r="M109" s="472"/>
      <c r="N109" s="472"/>
      <c r="O109" s="472"/>
      <c r="P109" s="472"/>
    </row>
    <row r="110" spans="1:16" x14ac:dyDescent="0.3">
      <c r="A110" s="458">
        <f t="shared" si="48"/>
        <v>105</v>
      </c>
      <c r="B110" t="s">
        <v>137</v>
      </c>
      <c r="C110"/>
      <c r="D110" s="472">
        <v>454652.28999999992</v>
      </c>
      <c r="E110" s="472">
        <v>32196.28</v>
      </c>
      <c r="F110" s="472">
        <v>44686.39</v>
      </c>
      <c r="G110" s="472">
        <v>52266.68</v>
      </c>
      <c r="H110" s="472">
        <v>48368.81</v>
      </c>
      <c r="I110" s="472">
        <v>44855.46</v>
      </c>
      <c r="J110" s="472">
        <v>38765.949999999997</v>
      </c>
      <c r="K110" s="472">
        <v>31550.65</v>
      </c>
      <c r="L110" s="472">
        <v>27998.61</v>
      </c>
      <c r="M110" s="472">
        <v>26311.91</v>
      </c>
      <c r="N110" s="472">
        <v>19804.23</v>
      </c>
      <c r="O110" s="472">
        <v>27407.53</v>
      </c>
      <c r="P110" s="472">
        <v>60439.79</v>
      </c>
    </row>
    <row r="111" spans="1:16" x14ac:dyDescent="0.3">
      <c r="A111" s="458">
        <f t="shared" si="48"/>
        <v>106</v>
      </c>
      <c r="B111" t="s">
        <v>138</v>
      </c>
      <c r="C111" t="s">
        <v>139</v>
      </c>
      <c r="D111" s="472">
        <v>1059823.6499999999</v>
      </c>
      <c r="E111" s="472">
        <v>90324.000000000015</v>
      </c>
      <c r="F111" s="472">
        <v>79693.98</v>
      </c>
      <c r="G111" s="472">
        <v>83653.210000000006</v>
      </c>
      <c r="H111" s="472">
        <v>88352.12999999999</v>
      </c>
      <c r="I111" s="472">
        <v>73616.52</v>
      </c>
      <c r="J111" s="472">
        <v>78719.549999999988</v>
      </c>
      <c r="K111" s="472">
        <v>82252.27</v>
      </c>
      <c r="L111" s="472">
        <v>80380.299999999988</v>
      </c>
      <c r="M111" s="472">
        <v>91671.640000000014</v>
      </c>
      <c r="N111" s="472">
        <v>99239.64</v>
      </c>
      <c r="O111" s="472">
        <v>112533.37999999999</v>
      </c>
      <c r="P111" s="472">
        <v>99387.03</v>
      </c>
    </row>
    <row r="112" spans="1:16" x14ac:dyDescent="0.3">
      <c r="A112" s="458">
        <f t="shared" si="48"/>
        <v>107</v>
      </c>
      <c r="B112" t="s">
        <v>140</v>
      </c>
      <c r="C112"/>
      <c r="D112" s="472">
        <v>1059823.6499999999</v>
      </c>
      <c r="E112" s="472">
        <v>90324.000000000015</v>
      </c>
      <c r="F112" s="472">
        <v>79693.98</v>
      </c>
      <c r="G112" s="472">
        <v>83653.210000000006</v>
      </c>
      <c r="H112" s="472">
        <v>88352.12999999999</v>
      </c>
      <c r="I112" s="472">
        <v>73616.52</v>
      </c>
      <c r="J112" s="472">
        <v>78719.549999999988</v>
      </c>
      <c r="K112" s="472">
        <v>82252.27</v>
      </c>
      <c r="L112" s="472">
        <v>80380.299999999988</v>
      </c>
      <c r="M112" s="472">
        <v>91671.640000000014</v>
      </c>
      <c r="N112" s="472">
        <v>99239.64</v>
      </c>
      <c r="O112" s="472">
        <v>112533.37999999999</v>
      </c>
      <c r="P112" s="472">
        <v>99387.03</v>
      </c>
    </row>
    <row r="113" spans="1:16" x14ac:dyDescent="0.3">
      <c r="A113" s="458">
        <f t="shared" si="48"/>
        <v>108</v>
      </c>
      <c r="B113" t="s">
        <v>40</v>
      </c>
      <c r="C113"/>
      <c r="D113" s="472">
        <v>164215630.18000004</v>
      </c>
      <c r="E113" s="472">
        <v>13295504.099999998</v>
      </c>
      <c r="F113" s="472">
        <v>13134013.869999999</v>
      </c>
      <c r="G113" s="472">
        <v>14938016.230000002</v>
      </c>
      <c r="H113" s="472">
        <v>13823536.350000001</v>
      </c>
      <c r="I113" s="472">
        <v>15214349.060000001</v>
      </c>
      <c r="J113" s="472">
        <v>13512328.41</v>
      </c>
      <c r="K113" s="472">
        <v>12825462.379999999</v>
      </c>
      <c r="L113" s="472">
        <v>11784043.340000002</v>
      </c>
      <c r="M113" s="472">
        <v>13100852.910000002</v>
      </c>
      <c r="N113" s="472">
        <v>13738460.230000004</v>
      </c>
      <c r="O113" s="472">
        <v>14114103.330000002</v>
      </c>
      <c r="P113" s="472">
        <v>14734959.969999999</v>
      </c>
    </row>
    <row r="114" spans="1:16" x14ac:dyDescent="0.3">
      <c r="A114" s="458">
        <f t="shared" si="48"/>
        <v>109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">
      <c r="A115" s="458">
        <f t="shared" si="48"/>
        <v>110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">
      <c r="A116" s="458">
        <f t="shared" si="48"/>
        <v>111</v>
      </c>
      <c r="B116"/>
      <c r="C116" s="477" t="s">
        <v>58</v>
      </c>
      <c r="D116" s="470">
        <v>26</v>
      </c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">
      <c r="A117" s="458">
        <f t="shared" si="48"/>
        <v>112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">
      <c r="A118" s="458">
        <f t="shared" si="48"/>
        <v>113</v>
      </c>
      <c r="B118"/>
      <c r="C118"/>
      <c r="D118" s="477" t="s">
        <v>114</v>
      </c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28.8" x14ac:dyDescent="0.3">
      <c r="A119" s="458">
        <f t="shared" si="48"/>
        <v>114</v>
      </c>
      <c r="B119" s="471"/>
      <c r="C119" s="478" t="s">
        <v>115</v>
      </c>
      <c r="D119" s="471" t="s">
        <v>439</v>
      </c>
      <c r="E119" s="471" t="s">
        <v>440</v>
      </c>
      <c r="F119" s="471" t="s">
        <v>441</v>
      </c>
      <c r="G119" s="471" t="s">
        <v>442</v>
      </c>
      <c r="H119" s="471" t="s">
        <v>443</v>
      </c>
      <c r="I119" s="471" t="s">
        <v>444</v>
      </c>
      <c r="J119" s="471" t="s">
        <v>445</v>
      </c>
      <c r="K119" s="471" t="s">
        <v>446</v>
      </c>
      <c r="L119" s="471" t="s">
        <v>447</v>
      </c>
      <c r="M119" s="471" t="s">
        <v>448</v>
      </c>
      <c r="N119" s="471" t="s">
        <v>449</v>
      </c>
      <c r="O119" t="s">
        <v>450</v>
      </c>
      <c r="P119" t="s">
        <v>451</v>
      </c>
    </row>
    <row r="120" spans="1:16" x14ac:dyDescent="0.3">
      <c r="A120" s="458">
        <f t="shared" si="48"/>
        <v>115</v>
      </c>
      <c r="B120"/>
      <c r="C120" t="s">
        <v>459</v>
      </c>
      <c r="D120" s="472">
        <v>-2671407.9</v>
      </c>
      <c r="E120" s="472">
        <v>-218980.2</v>
      </c>
      <c r="F120" s="472">
        <v>-203411.74</v>
      </c>
      <c r="G120" s="472">
        <v>-233341.86</v>
      </c>
      <c r="H120" s="472">
        <v>-216305.59999999998</v>
      </c>
      <c r="I120" s="472">
        <v>-238197.24</v>
      </c>
      <c r="J120" s="472">
        <v>-210373.26</v>
      </c>
      <c r="K120" s="472">
        <v>-206414.90000000002</v>
      </c>
      <c r="L120" s="472">
        <v>-197373.53999999998</v>
      </c>
      <c r="M120" s="472">
        <v>-221243.16999999998</v>
      </c>
      <c r="N120" s="472">
        <v>-232677.83999999997</v>
      </c>
      <c r="O120" s="472">
        <v>-242457.96000000002</v>
      </c>
      <c r="P120" s="472">
        <v>-250630.59</v>
      </c>
    </row>
    <row r="121" spans="1:16" x14ac:dyDescent="0.3">
      <c r="A121" s="458">
        <f t="shared" si="48"/>
        <v>116</v>
      </c>
      <c r="B121"/>
      <c r="C121" t="s">
        <v>460</v>
      </c>
      <c r="D121" s="472">
        <v>-4715344.45</v>
      </c>
      <c r="E121" s="472">
        <v>-392242.81</v>
      </c>
      <c r="F121" s="472">
        <v>-364355.93</v>
      </c>
      <c r="G121" s="472">
        <v>-417967.57</v>
      </c>
      <c r="H121" s="472">
        <v>-384236.21</v>
      </c>
      <c r="I121" s="472">
        <v>-418144.17999999993</v>
      </c>
      <c r="J121" s="472">
        <v>-368941.21</v>
      </c>
      <c r="K121" s="472">
        <v>-362529.54</v>
      </c>
      <c r="L121" s="472">
        <v>-346140.5</v>
      </c>
      <c r="M121" s="472">
        <v>-387997.82</v>
      </c>
      <c r="N121" s="472">
        <v>-408050.79</v>
      </c>
      <c r="O121" s="472">
        <v>-425202.79</v>
      </c>
      <c r="P121" s="472">
        <v>-439535.10000000003</v>
      </c>
    </row>
    <row r="122" spans="1:16" x14ac:dyDescent="0.3">
      <c r="A122" s="458">
        <f t="shared" si="48"/>
        <v>117</v>
      </c>
      <c r="B122"/>
      <c r="C122" t="s">
        <v>461</v>
      </c>
      <c r="D122" s="472">
        <v>8549181.2899999991</v>
      </c>
      <c r="E122" s="472">
        <v>718776.01</v>
      </c>
      <c r="F122" s="472">
        <v>667673.84</v>
      </c>
      <c r="G122" s="472">
        <v>765916.29999999993</v>
      </c>
      <c r="H122" s="472">
        <v>709996.94000000006</v>
      </c>
      <c r="I122" s="472">
        <v>781853.11</v>
      </c>
      <c r="J122" s="472">
        <v>690524.63</v>
      </c>
      <c r="K122" s="472">
        <v>678006.97000000009</v>
      </c>
      <c r="L122" s="472">
        <v>630403.57000000007</v>
      </c>
      <c r="M122" s="472">
        <v>682459.45000000007</v>
      </c>
      <c r="N122" s="472">
        <v>713583.55</v>
      </c>
      <c r="O122" s="472">
        <v>742486.67</v>
      </c>
      <c r="P122" s="472">
        <v>767500.24999999988</v>
      </c>
    </row>
    <row r="123" spans="1:16" x14ac:dyDescent="0.3">
      <c r="A123" s="458">
        <f t="shared" si="48"/>
        <v>118</v>
      </c>
      <c r="B123"/>
      <c r="C123" t="s">
        <v>462</v>
      </c>
      <c r="D123" s="472">
        <v>1336865.5200000003</v>
      </c>
      <c r="E123" s="472">
        <v>106518.05</v>
      </c>
      <c r="F123" s="472">
        <v>101979.3</v>
      </c>
      <c r="G123" s="472">
        <v>116977.58</v>
      </c>
      <c r="H123" s="472">
        <v>108535.7</v>
      </c>
      <c r="I123" s="472">
        <v>119520.01</v>
      </c>
      <c r="J123" s="472">
        <v>105558.79</v>
      </c>
      <c r="K123" s="472">
        <v>103559.85000000002</v>
      </c>
      <c r="L123" s="472">
        <v>99035.99</v>
      </c>
      <c r="M123" s="472">
        <v>111013.12</v>
      </c>
      <c r="N123" s="472">
        <v>116750.41</v>
      </c>
      <c r="O123" s="472">
        <v>121657.89</v>
      </c>
      <c r="P123" s="472">
        <v>125758.82999999999</v>
      </c>
    </row>
    <row r="124" spans="1:16" x14ac:dyDescent="0.3">
      <c r="A124" s="458">
        <f t="shared" si="48"/>
        <v>119</v>
      </c>
      <c r="B124"/>
      <c r="C124" t="s">
        <v>463</v>
      </c>
      <c r="D124" s="472">
        <v>-413281.94</v>
      </c>
      <c r="E124" s="472">
        <v>-33009.839999999997</v>
      </c>
      <c r="F124" s="472">
        <v>-30662.94</v>
      </c>
      <c r="G124" s="472">
        <v>-35174.71</v>
      </c>
      <c r="H124" s="472">
        <v>-33092.07</v>
      </c>
      <c r="I124" s="472">
        <v>-37192.83</v>
      </c>
      <c r="J124" s="472">
        <v>-32902.54</v>
      </c>
      <c r="K124" s="472">
        <v>-32260.49</v>
      </c>
      <c r="L124" s="472">
        <v>-30869.829999999998</v>
      </c>
      <c r="M124" s="472">
        <v>-34603.43</v>
      </c>
      <c r="N124" s="472">
        <v>-36391.82</v>
      </c>
      <c r="O124" s="472">
        <v>-37921.469999999994</v>
      </c>
      <c r="P124" s="472">
        <v>-39199.97</v>
      </c>
    </row>
    <row r="125" spans="1:16" x14ac:dyDescent="0.3">
      <c r="A125" s="458">
        <f t="shared" si="48"/>
        <v>120</v>
      </c>
      <c r="B125"/>
      <c r="C125" t="s">
        <v>464</v>
      </c>
      <c r="D125" s="472">
        <v>-14897.170000000002</v>
      </c>
      <c r="E125" s="472">
        <v>-5300.73</v>
      </c>
      <c r="F125" s="472">
        <v>-6280.33</v>
      </c>
      <c r="G125" s="472">
        <v>-600.68000000000006</v>
      </c>
      <c r="H125" s="472">
        <v>-3.49</v>
      </c>
      <c r="I125" s="472">
        <v>-25.21</v>
      </c>
      <c r="J125" s="472">
        <v>0</v>
      </c>
      <c r="K125" s="472">
        <v>-2686.61</v>
      </c>
      <c r="L125" s="472">
        <v>-0.12</v>
      </c>
      <c r="M125" s="472">
        <v>0</v>
      </c>
      <c r="N125" s="472">
        <v>0</v>
      </c>
      <c r="O125" s="472">
        <v>0</v>
      </c>
      <c r="P125" s="472">
        <v>0</v>
      </c>
    </row>
    <row r="126" spans="1:16" x14ac:dyDescent="0.3">
      <c r="A126" s="458">
        <f t="shared" si="48"/>
        <v>121</v>
      </c>
      <c r="B126"/>
      <c r="C126" t="s">
        <v>465</v>
      </c>
      <c r="D126" s="472">
        <v>7914</v>
      </c>
      <c r="E126" s="472">
        <v>687.5</v>
      </c>
      <c r="F126" s="472">
        <v>510</v>
      </c>
      <c r="G126" s="472">
        <v>986.5</v>
      </c>
      <c r="H126" s="472">
        <v>451.5</v>
      </c>
      <c r="I126" s="472">
        <v>947.5</v>
      </c>
      <c r="J126" s="472">
        <v>849.5</v>
      </c>
      <c r="K126" s="472">
        <v>523.5</v>
      </c>
      <c r="L126" s="472">
        <v>382.5</v>
      </c>
      <c r="M126" s="472">
        <v>1087.5</v>
      </c>
      <c r="N126" s="472">
        <v>500.5</v>
      </c>
      <c r="O126" s="472">
        <v>527.5</v>
      </c>
      <c r="P126" s="472">
        <v>460</v>
      </c>
    </row>
    <row r="127" spans="1:16" x14ac:dyDescent="0.3">
      <c r="A127" s="458">
        <f t="shared" si="48"/>
        <v>122</v>
      </c>
      <c r="B127"/>
      <c r="C127" t="s">
        <v>466</v>
      </c>
      <c r="D127" s="472">
        <v>43330.720000000001</v>
      </c>
      <c r="E127" s="472">
        <v>3216.08</v>
      </c>
      <c r="F127" s="472">
        <v>3369.44</v>
      </c>
      <c r="G127" s="472">
        <v>3466.64</v>
      </c>
      <c r="H127" s="472">
        <v>3665</v>
      </c>
      <c r="I127" s="472">
        <v>3512</v>
      </c>
      <c r="J127" s="472">
        <v>3249.6</v>
      </c>
      <c r="K127" s="472">
        <v>2624.24</v>
      </c>
      <c r="L127" s="472">
        <v>4186.32</v>
      </c>
      <c r="M127" s="472">
        <v>4121.12</v>
      </c>
      <c r="N127" s="472">
        <v>4275.2</v>
      </c>
      <c r="O127" s="472">
        <v>3412.72</v>
      </c>
      <c r="P127" s="472">
        <v>4232.3599999999997</v>
      </c>
    </row>
    <row r="128" spans="1:16" x14ac:dyDescent="0.3">
      <c r="A128" s="458">
        <f t="shared" si="48"/>
        <v>123</v>
      </c>
      <c r="B128"/>
      <c r="C128" t="s">
        <v>467</v>
      </c>
      <c r="D128" s="472">
        <v>-185691.05999999994</v>
      </c>
      <c r="E128" s="472">
        <v>-26035.81</v>
      </c>
      <c r="F128" s="472">
        <v>-24184.85</v>
      </c>
      <c r="G128" s="472">
        <v>-27743.420000000002</v>
      </c>
      <c r="H128" s="472">
        <v>-19650.349999999995</v>
      </c>
      <c r="I128" s="472">
        <v>-12243.82</v>
      </c>
      <c r="J128" s="472">
        <v>-10135.19</v>
      </c>
      <c r="K128" s="472">
        <v>-10618.81</v>
      </c>
      <c r="L128" s="472">
        <v>-9504.35</v>
      </c>
      <c r="M128" s="472">
        <v>-10647.27</v>
      </c>
      <c r="N128" s="472">
        <v>-11197.48</v>
      </c>
      <c r="O128" s="472">
        <v>-11668.150000000001</v>
      </c>
      <c r="P128" s="472">
        <v>-12061.56</v>
      </c>
    </row>
    <row r="129" spans="1:16" x14ac:dyDescent="0.3">
      <c r="A129" s="458">
        <f t="shared" si="48"/>
        <v>124</v>
      </c>
      <c r="B129"/>
      <c r="C129" t="s">
        <v>468</v>
      </c>
      <c r="D129" s="472">
        <v>0</v>
      </c>
      <c r="E129" s="472"/>
      <c r="F129" s="472"/>
      <c r="G129" s="472"/>
      <c r="H129" s="472"/>
      <c r="I129" s="472"/>
      <c r="J129" s="472"/>
      <c r="K129" s="472"/>
      <c r="L129" s="472"/>
      <c r="M129" s="472"/>
      <c r="N129" s="472"/>
      <c r="O129" s="472"/>
      <c r="P129" s="472"/>
    </row>
    <row r="130" spans="1:16" x14ac:dyDescent="0.3">
      <c r="A130" s="458">
        <f t="shared" si="48"/>
        <v>125</v>
      </c>
      <c r="B130"/>
      <c r="C130" t="s">
        <v>469</v>
      </c>
      <c r="D130" s="472">
        <v>-117971.17000000001</v>
      </c>
      <c r="E130" s="472">
        <v>-10213.030000000001</v>
      </c>
      <c r="F130" s="472">
        <v>-10501.470000000001</v>
      </c>
      <c r="G130" s="472">
        <v>-12256.39</v>
      </c>
      <c r="H130" s="472">
        <v>-11871.42</v>
      </c>
      <c r="I130" s="472">
        <v>-10985.64</v>
      </c>
      <c r="J130" s="472">
        <v>-9318.52</v>
      </c>
      <c r="K130" s="472">
        <v>-7961.35</v>
      </c>
      <c r="L130" s="472">
        <v>-8708.5499999999993</v>
      </c>
      <c r="M130" s="472">
        <v>-7477.19</v>
      </c>
      <c r="N130" s="472">
        <v>-6713.97</v>
      </c>
      <c r="O130" s="472">
        <v>-9100.15</v>
      </c>
      <c r="P130" s="472">
        <v>-12863.49</v>
      </c>
    </row>
    <row r="131" spans="1:16" x14ac:dyDescent="0.3">
      <c r="A131" s="458">
        <f t="shared" si="48"/>
        <v>126</v>
      </c>
      <c r="B131"/>
      <c r="C131" t="s">
        <v>40</v>
      </c>
      <c r="D131" s="472">
        <v>1818697.8400000003</v>
      </c>
      <c r="E131" s="472">
        <v>143415.21999999997</v>
      </c>
      <c r="F131" s="472">
        <v>134135.32000000004</v>
      </c>
      <c r="G131" s="472">
        <v>160262.39000000001</v>
      </c>
      <c r="H131" s="472">
        <v>157490</v>
      </c>
      <c r="I131" s="472">
        <v>189043.70000000007</v>
      </c>
      <c r="J131" s="472">
        <v>168511.80000000002</v>
      </c>
      <c r="K131" s="472">
        <v>162242.86000000019</v>
      </c>
      <c r="L131" s="472">
        <v>141411.49000000005</v>
      </c>
      <c r="M131" s="472">
        <v>136712.31000000008</v>
      </c>
      <c r="N131" s="472">
        <v>140077.76000000015</v>
      </c>
      <c r="O131" s="472">
        <v>141734.26000000007</v>
      </c>
      <c r="P131" s="472">
        <v>143660.72999999981</v>
      </c>
    </row>
    <row r="132" spans="1:16" x14ac:dyDescent="0.3">
      <c r="A132" s="458">
        <f t="shared" si="48"/>
        <v>127</v>
      </c>
      <c r="B132" t="s">
        <v>470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">
      <c r="A133" s="458">
        <f t="shared" si="48"/>
        <v>128</v>
      </c>
      <c r="B133" s="460" t="s">
        <v>471</v>
      </c>
      <c r="C133" s="282">
        <v>2.0669999999999998E-3</v>
      </c>
      <c r="D133" s="466">
        <f>SUM(E133:P133)</f>
        <v>2378347.5</v>
      </c>
      <c r="E133" s="283">
        <f>ROUND(+$C133*SUM(E12),0)</f>
        <v>320334</v>
      </c>
      <c r="F133" s="283">
        <f t="shared" ref="F133:K133" si="52">ROUND(+$C133*SUM(F12),0)</f>
        <v>297560</v>
      </c>
      <c r="G133" s="283">
        <f t="shared" si="52"/>
        <v>341343</v>
      </c>
      <c r="H133" s="283">
        <f t="shared" si="52"/>
        <v>316422</v>
      </c>
      <c r="I133" s="283">
        <f t="shared" si="52"/>
        <v>348446</v>
      </c>
      <c r="J133" s="283">
        <f t="shared" si="52"/>
        <v>307743</v>
      </c>
      <c r="K133" s="283">
        <f t="shared" si="52"/>
        <v>302136</v>
      </c>
      <c r="L133" s="283">
        <f>ROUND(+$C133*SUM(L12),0)*0.5</f>
        <v>144363.5</v>
      </c>
      <c r="M133" s="283">
        <v>0</v>
      </c>
      <c r="N133" s="283">
        <v>0</v>
      </c>
      <c r="O133" s="283">
        <v>0</v>
      </c>
      <c r="P133" s="283">
        <v>0</v>
      </c>
    </row>
    <row r="134" spans="1:16" x14ac:dyDescent="0.3">
      <c r="A134" s="458">
        <f t="shared" si="48"/>
        <v>129</v>
      </c>
      <c r="B134" s="460" t="s">
        <v>472</v>
      </c>
      <c r="C134" s="282">
        <v>2.366E-3</v>
      </c>
      <c r="D134" s="466">
        <f>SUM(E134:P134)</f>
        <v>1750968</v>
      </c>
      <c r="E134" s="283">
        <v>0</v>
      </c>
      <c r="F134" s="283">
        <v>0</v>
      </c>
      <c r="G134" s="283">
        <v>0</v>
      </c>
      <c r="H134" s="283">
        <v>0</v>
      </c>
      <c r="I134" s="283">
        <v>0</v>
      </c>
      <c r="J134" s="283">
        <v>0</v>
      </c>
      <c r="K134" s="283">
        <v>0</v>
      </c>
      <c r="L134" s="283">
        <f>ROUND(+$C134*SUM(L12),0)*0.5</f>
        <v>165246</v>
      </c>
      <c r="M134" s="283">
        <f t="shared" ref="M134:P134" si="53">ROUND(+$C134*SUM(M12),0)</f>
        <v>370461</v>
      </c>
      <c r="N134" s="283">
        <f t="shared" si="53"/>
        <v>389608</v>
      </c>
      <c r="O134" s="283">
        <f t="shared" si="53"/>
        <v>405984</v>
      </c>
      <c r="P134" s="283">
        <f t="shared" si="53"/>
        <v>419669</v>
      </c>
    </row>
    <row r="135" spans="1:16" x14ac:dyDescent="0.3">
      <c r="A135" s="458">
        <f t="shared" ref="A135:A152" si="54">+A134+1</f>
        <v>130</v>
      </c>
      <c r="B135" s="310" t="s">
        <v>473</v>
      </c>
      <c r="C135" s="282"/>
      <c r="D135" s="466">
        <f>SUM(D133:D134)</f>
        <v>4129315.5</v>
      </c>
      <c r="E135" s="466">
        <f t="shared" ref="E135:P135" si="55">SUM(E133:E134)</f>
        <v>320334</v>
      </c>
      <c r="F135" s="466">
        <f t="shared" si="55"/>
        <v>297560</v>
      </c>
      <c r="G135" s="466">
        <f t="shared" si="55"/>
        <v>341343</v>
      </c>
      <c r="H135" s="466">
        <f t="shared" si="55"/>
        <v>316422</v>
      </c>
      <c r="I135" s="466">
        <f t="shared" si="55"/>
        <v>348446</v>
      </c>
      <c r="J135" s="466">
        <f t="shared" si="55"/>
        <v>307743</v>
      </c>
      <c r="K135" s="466">
        <f t="shared" si="55"/>
        <v>302136</v>
      </c>
      <c r="L135" s="466">
        <f t="shared" si="55"/>
        <v>309609.5</v>
      </c>
      <c r="M135" s="466">
        <f t="shared" si="55"/>
        <v>370461</v>
      </c>
      <c r="N135" s="466">
        <f t="shared" si="55"/>
        <v>389608</v>
      </c>
      <c r="O135" s="466">
        <f t="shared" si="55"/>
        <v>405984</v>
      </c>
      <c r="P135" s="466">
        <f t="shared" si="55"/>
        <v>419669</v>
      </c>
    </row>
    <row r="136" spans="1:16" x14ac:dyDescent="0.3">
      <c r="A136" s="458">
        <f t="shared" si="54"/>
        <v>131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">
      <c r="A137" s="458">
        <f t="shared" si="54"/>
        <v>132</v>
      </c>
      <c r="B137" t="s">
        <v>474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">
      <c r="A138" s="458">
        <f t="shared" si="54"/>
        <v>133</v>
      </c>
      <c r="B138" s="465" t="str">
        <f>+B6</f>
        <v>Basic Charge</v>
      </c>
      <c r="C138" s="473">
        <v>6</v>
      </c>
      <c r="D138" s="466">
        <f>SUM(E138:P138)</f>
        <v>58338</v>
      </c>
      <c r="E138" s="283">
        <f>ROUND(+$C138*E6,0)</f>
        <v>4818</v>
      </c>
      <c r="F138" s="283">
        <f t="shared" ref="F138:P138" si="56">ROUND(+$C138*F6,0)</f>
        <v>4614</v>
      </c>
      <c r="G138" s="283">
        <f t="shared" si="56"/>
        <v>4848</v>
      </c>
      <c r="H138" s="283">
        <f t="shared" si="56"/>
        <v>4734</v>
      </c>
      <c r="I138" s="283">
        <f t="shared" si="56"/>
        <v>5100</v>
      </c>
      <c r="J138" s="283">
        <f t="shared" si="56"/>
        <v>4668</v>
      </c>
      <c r="K138" s="283">
        <f t="shared" si="56"/>
        <v>4608</v>
      </c>
      <c r="L138" s="283">
        <f t="shared" si="56"/>
        <v>4650</v>
      </c>
      <c r="M138" s="283">
        <f t="shared" si="56"/>
        <v>4902</v>
      </c>
      <c r="N138" s="283">
        <f t="shared" si="56"/>
        <v>5100</v>
      </c>
      <c r="O138" s="283">
        <f t="shared" si="56"/>
        <v>4932</v>
      </c>
      <c r="P138" s="283">
        <f t="shared" si="56"/>
        <v>5364</v>
      </c>
    </row>
    <row r="139" spans="1:16" x14ac:dyDescent="0.3">
      <c r="A139" s="458">
        <f t="shared" si="54"/>
        <v>134</v>
      </c>
      <c r="B139" s="460" t="s">
        <v>475</v>
      </c>
      <c r="C139" s="473">
        <v>0.49</v>
      </c>
      <c r="D139" s="466">
        <f>SUM(E139:P139)</f>
        <v>1100176</v>
      </c>
      <c r="E139" s="283">
        <f>ROUND(+$C139*E21,0)</f>
        <v>80802</v>
      </c>
      <c r="F139" s="283">
        <f t="shared" ref="F139:P139" si="57">ROUND(+$C139*F21,0)</f>
        <v>169191</v>
      </c>
      <c r="G139" s="283">
        <f t="shared" si="57"/>
        <v>189743</v>
      </c>
      <c r="H139" s="283">
        <f t="shared" si="57"/>
        <v>176118</v>
      </c>
      <c r="I139" s="283">
        <f t="shared" si="57"/>
        <v>194796</v>
      </c>
      <c r="J139" s="283">
        <f t="shared" si="57"/>
        <v>174173</v>
      </c>
      <c r="K139" s="283">
        <f t="shared" si="57"/>
        <v>101733</v>
      </c>
      <c r="L139" s="283">
        <f t="shared" si="57"/>
        <v>10906</v>
      </c>
      <c r="M139" s="283">
        <f t="shared" si="57"/>
        <v>2451</v>
      </c>
      <c r="N139" s="283">
        <f t="shared" si="57"/>
        <v>263</v>
      </c>
      <c r="O139" s="283">
        <f t="shared" si="57"/>
        <v>0</v>
      </c>
      <c r="P139" s="283">
        <f t="shared" si="57"/>
        <v>0</v>
      </c>
    </row>
    <row r="140" spans="1:16" x14ac:dyDescent="0.3">
      <c r="A140" s="458">
        <f t="shared" si="54"/>
        <v>135</v>
      </c>
      <c r="B140" s="460" t="s">
        <v>476</v>
      </c>
      <c r="C140" s="473">
        <v>0.33</v>
      </c>
      <c r="D140" s="466">
        <f>SUM(E140:P140)</f>
        <v>778558</v>
      </c>
      <c r="E140" s="283">
        <f>ROUND(+$C140*E26,0)</f>
        <v>69647</v>
      </c>
      <c r="F140" s="283">
        <f t="shared" ref="F140:P140" si="58">ROUND(+$C140*F26,0)</f>
        <v>1349</v>
      </c>
      <c r="G140" s="283">
        <f t="shared" si="58"/>
        <v>2147</v>
      </c>
      <c r="H140" s="283">
        <f t="shared" si="58"/>
        <v>0</v>
      </c>
      <c r="I140" s="283">
        <f t="shared" si="58"/>
        <v>0</v>
      </c>
      <c r="J140" s="283">
        <f t="shared" si="58"/>
        <v>0</v>
      </c>
      <c r="K140" s="283">
        <f t="shared" si="58"/>
        <v>51378</v>
      </c>
      <c r="L140" s="283">
        <f t="shared" si="58"/>
        <v>112876</v>
      </c>
      <c r="M140" s="283">
        <f t="shared" si="58"/>
        <v>128463</v>
      </c>
      <c r="N140" s="283">
        <f t="shared" si="58"/>
        <v>135144</v>
      </c>
      <c r="O140" s="283">
        <f t="shared" si="58"/>
        <v>133776</v>
      </c>
      <c r="P140" s="283">
        <f t="shared" si="58"/>
        <v>143778</v>
      </c>
    </row>
    <row r="141" spans="1:16" x14ac:dyDescent="0.3">
      <c r="A141" s="458">
        <f t="shared" si="54"/>
        <v>136</v>
      </c>
      <c r="B141" s="460" t="s">
        <v>477</v>
      </c>
      <c r="C141" s="474">
        <v>3.0000000000000001E-5</v>
      </c>
      <c r="D141" s="466">
        <f t="shared" ref="D141" si="59">SUM(E141:P141)</f>
        <v>25036</v>
      </c>
      <c r="E141" s="283">
        <f>ROUND(+$C141*E32,0)</f>
        <v>2134</v>
      </c>
      <c r="F141" s="283">
        <f t="shared" ref="F141:P141" si="60">ROUND(+$C141*F32,0)</f>
        <v>1883</v>
      </c>
      <c r="G141" s="283">
        <f t="shared" si="60"/>
        <v>1976</v>
      </c>
      <c r="H141" s="283">
        <f t="shared" si="60"/>
        <v>2087</v>
      </c>
      <c r="I141" s="283">
        <f t="shared" si="60"/>
        <v>1739</v>
      </c>
      <c r="J141" s="283">
        <f t="shared" si="60"/>
        <v>1860</v>
      </c>
      <c r="K141" s="283">
        <f t="shared" si="60"/>
        <v>1943</v>
      </c>
      <c r="L141" s="283">
        <f t="shared" si="60"/>
        <v>1899</v>
      </c>
      <c r="M141" s="283">
        <f t="shared" si="60"/>
        <v>2165</v>
      </c>
      <c r="N141" s="283">
        <f t="shared" si="60"/>
        <v>2344</v>
      </c>
      <c r="O141" s="283">
        <f t="shared" si="60"/>
        <v>2658</v>
      </c>
      <c r="P141" s="283">
        <f t="shared" si="60"/>
        <v>2348</v>
      </c>
    </row>
    <row r="142" spans="1:16" x14ac:dyDescent="0.3">
      <c r="A142" s="458">
        <f t="shared" si="54"/>
        <v>137</v>
      </c>
      <c r="B142" s="310" t="s">
        <v>478</v>
      </c>
      <c r="C142"/>
      <c r="D142" s="466">
        <f>SUM(D138:D141)</f>
        <v>1962108</v>
      </c>
      <c r="E142" s="466">
        <f>SUM(E138:E141)</f>
        <v>157401</v>
      </c>
      <c r="F142" s="466">
        <f t="shared" ref="F142:P142" si="61">SUM(F138:F141)</f>
        <v>177037</v>
      </c>
      <c r="G142" s="466">
        <f t="shared" si="61"/>
        <v>198714</v>
      </c>
      <c r="H142" s="466">
        <f t="shared" si="61"/>
        <v>182939</v>
      </c>
      <c r="I142" s="466">
        <f t="shared" si="61"/>
        <v>201635</v>
      </c>
      <c r="J142" s="466">
        <f t="shared" si="61"/>
        <v>180701</v>
      </c>
      <c r="K142" s="466">
        <f t="shared" si="61"/>
        <v>159662</v>
      </c>
      <c r="L142" s="466">
        <f t="shared" si="61"/>
        <v>130331</v>
      </c>
      <c r="M142" s="466">
        <f t="shared" si="61"/>
        <v>137981</v>
      </c>
      <c r="N142" s="466">
        <f t="shared" si="61"/>
        <v>142851</v>
      </c>
      <c r="O142" s="466">
        <f t="shared" si="61"/>
        <v>141366</v>
      </c>
      <c r="P142" s="466">
        <f t="shared" si="61"/>
        <v>151490</v>
      </c>
    </row>
    <row r="143" spans="1:16" x14ac:dyDescent="0.3">
      <c r="A143" s="458">
        <f t="shared" si="54"/>
        <v>138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">
      <c r="A144" s="458">
        <f t="shared" si="54"/>
        <v>139</v>
      </c>
      <c r="B144" t="s">
        <v>479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">
      <c r="A145" s="458">
        <f t="shared" si="54"/>
        <v>140</v>
      </c>
      <c r="B145" s="460" t="s">
        <v>480</v>
      </c>
      <c r="C145" s="473">
        <v>0.79</v>
      </c>
      <c r="D145" s="466">
        <f t="shared" ref="D145" si="62">SUM(E145:P145)</f>
        <v>1773754</v>
      </c>
      <c r="E145" s="283">
        <f>ROUND(+$C145*E21,0)</f>
        <v>130273</v>
      </c>
      <c r="F145" s="283">
        <f t="shared" ref="F145:P145" si="63">ROUND(+$C145*F21,0)</f>
        <v>272777</v>
      </c>
      <c r="G145" s="283">
        <f t="shared" si="63"/>
        <v>305912</v>
      </c>
      <c r="H145" s="283">
        <f t="shared" si="63"/>
        <v>283946</v>
      </c>
      <c r="I145" s="283">
        <f t="shared" si="63"/>
        <v>314058</v>
      </c>
      <c r="J145" s="283">
        <f t="shared" si="63"/>
        <v>280810</v>
      </c>
      <c r="K145" s="283">
        <f t="shared" si="63"/>
        <v>164018</v>
      </c>
      <c r="L145" s="283">
        <f t="shared" si="63"/>
        <v>17584</v>
      </c>
      <c r="M145" s="283">
        <f t="shared" si="63"/>
        <v>3952</v>
      </c>
      <c r="N145" s="283">
        <f t="shared" si="63"/>
        <v>424</v>
      </c>
      <c r="O145" s="283">
        <f t="shared" si="63"/>
        <v>0</v>
      </c>
      <c r="P145" s="283">
        <f t="shared" si="63"/>
        <v>0</v>
      </c>
    </row>
    <row r="146" spans="1:16" x14ac:dyDescent="0.3">
      <c r="A146" s="458">
        <f t="shared" si="54"/>
        <v>141</v>
      </c>
      <c r="B146" s="460" t="s">
        <v>481</v>
      </c>
      <c r="C146" s="473">
        <v>1.22</v>
      </c>
      <c r="D146" s="466">
        <f t="shared" ref="D146" si="64">SUM(D142:D143)</f>
        <v>1962108</v>
      </c>
      <c r="E146" s="283">
        <f>ROUND(+$C146*E26,0)</f>
        <v>257485</v>
      </c>
      <c r="F146" s="283">
        <f t="shared" ref="F146:P146" si="65">ROUND(+$C146*F26,0)</f>
        <v>4986</v>
      </c>
      <c r="G146" s="283">
        <f t="shared" si="65"/>
        <v>7939</v>
      </c>
      <c r="H146" s="283">
        <f t="shared" si="65"/>
        <v>0</v>
      </c>
      <c r="I146" s="283">
        <f t="shared" si="65"/>
        <v>0</v>
      </c>
      <c r="J146" s="283">
        <f t="shared" si="65"/>
        <v>0</v>
      </c>
      <c r="K146" s="283">
        <f t="shared" si="65"/>
        <v>189944</v>
      </c>
      <c r="L146" s="283">
        <f t="shared" si="65"/>
        <v>417300</v>
      </c>
      <c r="M146" s="283">
        <f t="shared" si="65"/>
        <v>474924</v>
      </c>
      <c r="N146" s="283">
        <f t="shared" si="65"/>
        <v>499623</v>
      </c>
      <c r="O146" s="283">
        <f t="shared" si="65"/>
        <v>494567</v>
      </c>
      <c r="P146" s="283">
        <f t="shared" si="65"/>
        <v>531542</v>
      </c>
    </row>
    <row r="147" spans="1:16" x14ac:dyDescent="0.3">
      <c r="A147" s="458">
        <f t="shared" si="54"/>
        <v>142</v>
      </c>
      <c r="B147" s="310" t="s">
        <v>482</v>
      </c>
      <c r="C147"/>
      <c r="D147" s="466">
        <f>SUM(D145:D146)</f>
        <v>3735862</v>
      </c>
      <c r="E147" s="466">
        <f t="shared" ref="E147:P147" si="66">SUM(E145:E146)</f>
        <v>387758</v>
      </c>
      <c r="F147" s="466">
        <f t="shared" si="66"/>
        <v>277763</v>
      </c>
      <c r="G147" s="466">
        <f t="shared" si="66"/>
        <v>313851</v>
      </c>
      <c r="H147" s="466">
        <f t="shared" si="66"/>
        <v>283946</v>
      </c>
      <c r="I147" s="466">
        <f t="shared" si="66"/>
        <v>314058</v>
      </c>
      <c r="J147" s="466">
        <f t="shared" si="66"/>
        <v>280810</v>
      </c>
      <c r="K147" s="466">
        <f t="shared" si="66"/>
        <v>353962</v>
      </c>
      <c r="L147" s="466">
        <f t="shared" si="66"/>
        <v>434884</v>
      </c>
      <c r="M147" s="466">
        <f t="shared" si="66"/>
        <v>478876</v>
      </c>
      <c r="N147" s="466">
        <f t="shared" si="66"/>
        <v>500047</v>
      </c>
      <c r="O147" s="466">
        <f t="shared" si="66"/>
        <v>494567</v>
      </c>
      <c r="P147" s="466">
        <f t="shared" si="66"/>
        <v>531542</v>
      </c>
    </row>
    <row r="148" spans="1:16" x14ac:dyDescent="0.3">
      <c r="A148" s="458">
        <f t="shared" si="54"/>
        <v>143</v>
      </c>
      <c r="B148"/>
      <c r="C148" s="475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">
      <c r="A149" s="458">
        <f t="shared" si="54"/>
        <v>144</v>
      </c>
      <c r="B149" t="s">
        <v>483</v>
      </c>
      <c r="C149" s="475"/>
      <c r="D149" s="466">
        <f t="shared" ref="D149:D152" ca="1" si="67">SUM(E149:P149)</f>
        <v>10743487.5</v>
      </c>
      <c r="E149" s="466">
        <f t="shared" ref="E149:P149" si="68">+E147+E142+E135</f>
        <v>865493</v>
      </c>
      <c r="F149" s="466">
        <f t="shared" si="68"/>
        <v>752360</v>
      </c>
      <c r="G149" s="466">
        <f t="shared" si="68"/>
        <v>853908</v>
      </c>
      <c r="H149" s="466">
        <f t="shared" si="68"/>
        <v>783307</v>
      </c>
      <c r="I149" s="466">
        <f t="shared" si="68"/>
        <v>864139</v>
      </c>
      <c r="J149" s="466">
        <f t="shared" si="68"/>
        <v>769254</v>
      </c>
      <c r="K149" s="466">
        <f t="shared" si="68"/>
        <v>815760</v>
      </c>
      <c r="L149" s="466">
        <f t="shared" si="68"/>
        <v>874824.5</v>
      </c>
      <c r="M149" s="466">
        <f t="shared" si="68"/>
        <v>987318</v>
      </c>
      <c r="N149" s="466">
        <f t="shared" si="68"/>
        <v>1032506</v>
      </c>
      <c r="O149" s="466">
        <f t="shared" si="68"/>
        <v>1041917</v>
      </c>
      <c r="P149" s="466">
        <f t="shared" si="68"/>
        <v>1102701</v>
      </c>
    </row>
    <row r="150" spans="1:16" x14ac:dyDescent="0.3">
      <c r="A150" s="458">
        <f t="shared" si="54"/>
        <v>145</v>
      </c>
      <c r="B150" t="s">
        <v>484</v>
      </c>
      <c r="C150" s="475"/>
      <c r="D150" s="466">
        <f t="shared" ca="1" si="67"/>
        <v>153748372</v>
      </c>
      <c r="E150" s="466">
        <f ca="1">SUM(E38,E43,E53:E54,E60)+SUM('[59]Tariff 26P'!E26,'[59]Tariff 26P'!E34,'[59]Tariff 26P'!E43,'[59]Tariff 26P'!E48)</f>
        <v>12520717</v>
      </c>
      <c r="F150" s="466">
        <f ca="1">SUM(F38,F43,F53:F54,F60)+SUM('[59]Tariff 26P'!F26,'[59]Tariff 26P'!F34,'[59]Tariff 26P'!F43,'[59]Tariff 26P'!F48)</f>
        <v>12383429</v>
      </c>
      <c r="G150" s="466">
        <f ca="1">SUM(G38,G43,G53:G54,G60)+SUM('[59]Tariff 26P'!G26,'[59]Tariff 26P'!G34,'[59]Tariff 26P'!G43,'[59]Tariff 26P'!G48)</f>
        <v>14086792</v>
      </c>
      <c r="H150" s="466">
        <f ca="1">SUM(H38,H43,H53:H54,H60)+SUM('[59]Tariff 26P'!H26,'[59]Tariff 26P'!H34,'[59]Tariff 26P'!H43,'[59]Tariff 26P'!H48)</f>
        <v>13040213</v>
      </c>
      <c r="I150" s="466">
        <f ca="1">SUM(I38,I43,I53:I54,I60)+SUM('[59]Tariff 26P'!I26,'[59]Tariff 26P'!I34,'[59]Tariff 26P'!I43,'[59]Tariff 26P'!I48)</f>
        <v>14350152</v>
      </c>
      <c r="J150" s="466">
        <f ca="1">SUM(J38,J43,J53:J54,J60)+SUM('[59]Tariff 26P'!J26,'[59]Tariff 26P'!J34,'[59]Tariff 26P'!J43,'[59]Tariff 26P'!J48)</f>
        <v>12743033</v>
      </c>
      <c r="K150" s="466">
        <f ca="1">SUM(K38,K43,K53:K54,K60)+SUM('[59]Tariff 26P'!K26,'[59]Tariff 26P'!K34,'[59]Tariff 26P'!K43,'[59]Tariff 26P'!K48)</f>
        <v>12078236</v>
      </c>
      <c r="L150" s="466">
        <f ca="1">SUM(L38,L43,L53:L54,L60)+SUM('[59]Tariff 26P'!L26,'[59]Tariff 26P'!L34,'[59]Tariff 26P'!L43,'[59]Tariff 26P'!L48)</f>
        <v>10997734</v>
      </c>
      <c r="M150" s="466">
        <f ca="1">SUM(M38,M43,M53:M54,M60)+SUM('[59]Tariff 26P'!M26,'[59]Tariff 26P'!M34,'[59]Tariff 26P'!M43,'[59]Tariff 26P'!M48)</f>
        <v>12133671</v>
      </c>
      <c r="N150" s="466">
        <f ca="1">SUM(N38,N43,N53:N54,N60)+SUM('[59]Tariff 26P'!N26,'[59]Tariff 26P'!N34,'[59]Tariff 26P'!N43,'[59]Tariff 26P'!N48)</f>
        <v>12710004</v>
      </c>
      <c r="O150" s="466">
        <f ca="1">SUM(O38,O43,O53:O54,O60)+SUM('[59]Tariff 26P'!O26,'[59]Tariff 26P'!O34,'[59]Tariff 26P'!O43,'[59]Tariff 26P'!O48)</f>
        <v>13072170</v>
      </c>
      <c r="P150" s="466">
        <f ca="1">SUM(P38,P43,P53:P54,P60)+SUM('[59]Tariff 26P'!P26,'[59]Tariff 26P'!P34,'[59]Tariff 26P'!P43,'[59]Tariff 26P'!P48)</f>
        <v>13632221</v>
      </c>
    </row>
    <row r="151" spans="1:16" x14ac:dyDescent="0.3">
      <c r="A151" s="458">
        <f t="shared" si="54"/>
        <v>146</v>
      </c>
      <c r="B151" t="s">
        <v>485</v>
      </c>
      <c r="C151"/>
      <c r="D151" s="466">
        <f t="shared" ca="1" si="67"/>
        <v>164491859.5</v>
      </c>
      <c r="E151" s="466">
        <f t="shared" ref="E151:P151" ca="1" si="69">+E150+E149</f>
        <v>13386210</v>
      </c>
      <c r="F151" s="466">
        <f t="shared" ca="1" si="69"/>
        <v>13135789</v>
      </c>
      <c r="G151" s="466">
        <f t="shared" ca="1" si="69"/>
        <v>14940700</v>
      </c>
      <c r="H151" s="466">
        <f t="shared" ca="1" si="69"/>
        <v>13823520</v>
      </c>
      <c r="I151" s="466">
        <f t="shared" ca="1" si="69"/>
        <v>15214291</v>
      </c>
      <c r="J151" s="466">
        <f t="shared" ca="1" si="69"/>
        <v>13512287</v>
      </c>
      <c r="K151" s="466">
        <f t="shared" ca="1" si="69"/>
        <v>12893996</v>
      </c>
      <c r="L151" s="466">
        <f t="shared" ca="1" si="69"/>
        <v>11872558.5</v>
      </c>
      <c r="M151" s="466">
        <f t="shared" ca="1" si="69"/>
        <v>13120989</v>
      </c>
      <c r="N151" s="466">
        <f t="shared" ca="1" si="69"/>
        <v>13742510</v>
      </c>
      <c r="O151" s="466">
        <f t="shared" ca="1" si="69"/>
        <v>14114087</v>
      </c>
      <c r="P151" s="466">
        <f t="shared" ca="1" si="69"/>
        <v>14734922</v>
      </c>
    </row>
    <row r="152" spans="1:16" x14ac:dyDescent="0.3">
      <c r="A152" s="458">
        <f t="shared" si="54"/>
        <v>147</v>
      </c>
      <c r="B152" t="s">
        <v>486</v>
      </c>
      <c r="C152"/>
      <c r="D152" s="466">
        <f t="shared" ca="1" si="67"/>
        <v>276229.31999999098</v>
      </c>
      <c r="E152" s="476">
        <f ca="1">+E151-E113</f>
        <v>90705.900000002235</v>
      </c>
      <c r="F152" s="476">
        <f t="shared" ref="F152:P152" ca="1" si="70">+F151-F113</f>
        <v>1775.1300000008196</v>
      </c>
      <c r="G152" s="476">
        <f t="shared" ca="1" si="70"/>
        <v>2683.7699999976903</v>
      </c>
      <c r="H152" s="476">
        <f t="shared" ca="1" si="70"/>
        <v>-16.350000001490116</v>
      </c>
      <c r="I152" s="476">
        <f t="shared" ca="1" si="70"/>
        <v>-58.060000000521541</v>
      </c>
      <c r="J152" s="476">
        <f t="shared" ca="1" si="70"/>
        <v>-41.410000000149012</v>
      </c>
      <c r="K152" s="476">
        <f t="shared" ca="1" si="70"/>
        <v>68533.620000001043</v>
      </c>
      <c r="L152" s="476">
        <f t="shared" ca="1" si="70"/>
        <v>88515.159999998286</v>
      </c>
      <c r="M152" s="476">
        <f t="shared" ca="1" si="70"/>
        <v>20136.089999997988</v>
      </c>
      <c r="N152" s="476">
        <f t="shared" ca="1" si="70"/>
        <v>4049.7699999958277</v>
      </c>
      <c r="O152" s="476">
        <f t="shared" ca="1" si="70"/>
        <v>-16.330000001937151</v>
      </c>
      <c r="P152" s="476">
        <f t="shared" ca="1" si="70"/>
        <v>-37.969999998807907</v>
      </c>
    </row>
    <row r="153" spans="1:16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35" fitToHeight="2" orientation="landscape" r:id="rId3"/>
  <headerFooter>
    <oddFooter>&amp;L&amp;F
&amp;A&amp;RPage &amp;N of &amp;N</oddFooter>
  </headerFooter>
  <rowBreaks count="1" manualBreakCount="1">
    <brk id="7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zoomScale="90" zoomScaleNormal="90" workbookViewId="0">
      <pane xSplit="3" ySplit="5" topLeftCell="D6" activePane="bottomRight" state="frozen"/>
      <selection activeCell="C61" sqref="C61"/>
      <selection pane="topRight" activeCell="C61" sqref="C61"/>
      <selection pane="bottomLeft" activeCell="C61" sqref="C61"/>
      <selection pane="bottomRight" activeCell="E66" sqref="E66"/>
    </sheetView>
  </sheetViews>
  <sheetFormatPr defaultColWidth="15.33203125" defaultRowHeight="15" customHeight="1" x14ac:dyDescent="0.3"/>
  <cols>
    <col min="1" max="1" width="4.88671875" style="274" customWidth="1"/>
    <col min="2" max="2" width="40" style="274" bestFit="1" customWidth="1"/>
    <col min="3" max="3" width="21.109375" style="274" bestFit="1" customWidth="1"/>
    <col min="4" max="4" width="17.5546875" style="274" customWidth="1"/>
    <col min="5" max="5" width="13.33203125" style="274" customWidth="1"/>
    <col min="6" max="6" width="14.88671875" style="274" customWidth="1"/>
    <col min="7" max="16" width="13.33203125" style="274" customWidth="1"/>
    <col min="17" max="16384" width="15.33203125" style="274"/>
  </cols>
  <sheetData>
    <row r="1" spans="1:16" ht="15" customHeight="1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customHeight="1" x14ac:dyDescent="0.25">
      <c r="A2" s="523" t="str">
        <f>+B5</f>
        <v>Proforma Schedule 26P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customHeight="1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39" x14ac:dyDescent="0.25">
      <c r="A5" s="278" t="s">
        <v>16</v>
      </c>
      <c r="B5" s="279" t="s">
        <v>487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customHeight="1" x14ac:dyDescent="0.25">
      <c r="A6" s="458">
        <v>1</v>
      </c>
      <c r="B6" t="s">
        <v>142</v>
      </c>
      <c r="C6"/>
      <c r="D6" s="459">
        <f>SUM(E6:P6)</f>
        <v>24</v>
      </c>
      <c r="E6" s="459">
        <f>ROUND(E59/$C59,0)</f>
        <v>2</v>
      </c>
      <c r="F6" s="459">
        <f t="shared" ref="F6:P6" si="0">ROUND(F59/$C59,0)</f>
        <v>-2</v>
      </c>
      <c r="G6" s="459">
        <f t="shared" si="0"/>
        <v>6</v>
      </c>
      <c r="H6" s="459">
        <f t="shared" si="0"/>
        <v>1</v>
      </c>
      <c r="I6" s="459">
        <f t="shared" si="0"/>
        <v>3</v>
      </c>
      <c r="J6" s="459">
        <f t="shared" si="0"/>
        <v>2</v>
      </c>
      <c r="K6" s="459">
        <f t="shared" si="0"/>
        <v>1</v>
      </c>
      <c r="L6" s="459">
        <f t="shared" si="0"/>
        <v>0</v>
      </c>
      <c r="M6" s="459">
        <f t="shared" si="0"/>
        <v>2</v>
      </c>
      <c r="N6" s="459">
        <f t="shared" si="0"/>
        <v>4</v>
      </c>
      <c r="O6" s="459">
        <f t="shared" si="0"/>
        <v>3</v>
      </c>
      <c r="P6" s="459">
        <f t="shared" si="0"/>
        <v>2</v>
      </c>
    </row>
    <row r="7" spans="1:16" ht="15" customHeight="1" x14ac:dyDescent="0.25">
      <c r="A7" s="458">
        <f>+A6+1</f>
        <v>2</v>
      </c>
      <c r="B7"/>
      <c r="C7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</row>
    <row r="8" spans="1:16" ht="15" customHeight="1" x14ac:dyDescent="0.25">
      <c r="A8" s="458">
        <f t="shared" ref="A8:A71" si="1">+A7+1</f>
        <v>3</v>
      </c>
      <c r="B8" t="s">
        <v>75</v>
      </c>
      <c r="C8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</row>
    <row r="9" spans="1:16" ht="15" customHeight="1" x14ac:dyDescent="0.25">
      <c r="A9" s="458">
        <f t="shared" si="1"/>
        <v>4</v>
      </c>
      <c r="B9" s="460" t="s">
        <v>76</v>
      </c>
      <c r="C9"/>
      <c r="D9" s="459">
        <f>SUM(E9:P9)</f>
        <v>13232300</v>
      </c>
      <c r="E9" s="459">
        <f>ROUND(+E62/$C62+E63/$C63,0)</f>
        <v>1043200</v>
      </c>
      <c r="F9" s="459">
        <f t="shared" ref="F9:P9" si="2">ROUND(+F62/$C62+F63/$C63,0)</f>
        <v>-1522500</v>
      </c>
      <c r="G9" s="459">
        <f t="shared" si="2"/>
        <v>4001000</v>
      </c>
      <c r="H9" s="459">
        <f t="shared" si="2"/>
        <v>326700</v>
      </c>
      <c r="I9" s="459">
        <f t="shared" si="2"/>
        <v>2315100</v>
      </c>
      <c r="J9" s="459">
        <f t="shared" si="2"/>
        <v>1170900</v>
      </c>
      <c r="K9" s="459">
        <f t="shared" si="2"/>
        <v>763000</v>
      </c>
      <c r="L9" s="459">
        <f t="shared" si="2"/>
        <v>0</v>
      </c>
      <c r="M9" s="459">
        <f t="shared" si="2"/>
        <v>1320900</v>
      </c>
      <c r="N9" s="459">
        <f t="shared" si="2"/>
        <v>1118700</v>
      </c>
      <c r="O9" s="459">
        <f t="shared" si="2"/>
        <v>1754900</v>
      </c>
      <c r="P9" s="459">
        <f t="shared" si="2"/>
        <v>940400</v>
      </c>
    </row>
    <row r="10" spans="1:16" ht="15" customHeight="1" x14ac:dyDescent="0.25">
      <c r="A10" s="458">
        <f t="shared" si="1"/>
        <v>5</v>
      </c>
      <c r="B10" s="461" t="s">
        <v>79</v>
      </c>
      <c r="C10"/>
      <c r="D10" s="459">
        <f t="shared" ref="D10:D11" ca="1" si="3">SUM(E10:P10)</f>
        <v>0</v>
      </c>
      <c r="E10" s="459">
        <f ca="1">+'[59]Change in Unbilled kWh'!O82</f>
        <v>0</v>
      </c>
      <c r="F10" s="459">
        <f ca="1">+'[59]Change in Unbilled kWh'!P82</f>
        <v>0</v>
      </c>
      <c r="G10" s="459">
        <f ca="1">+'[59]Change in Unbilled kWh'!Q82</f>
        <v>0</v>
      </c>
      <c r="H10" s="459">
        <f ca="1">+'[59]Change in Unbilled kWh'!F82</f>
        <v>0</v>
      </c>
      <c r="I10" s="459">
        <f ca="1">+'[59]Change in Unbilled kWh'!G82</f>
        <v>0</v>
      </c>
      <c r="J10" s="459">
        <f ca="1">+'[59]Change in Unbilled kWh'!H82</f>
        <v>0</v>
      </c>
      <c r="K10" s="459">
        <f ca="1">+'[59]Change in Unbilled kWh'!I82</f>
        <v>0</v>
      </c>
      <c r="L10" s="459">
        <f ca="1">+'[59]Change in Unbilled kWh'!J82</f>
        <v>0</v>
      </c>
      <c r="M10" s="459">
        <f ca="1">+'[59]Change in Unbilled kWh'!K82</f>
        <v>0</v>
      </c>
      <c r="N10" s="459">
        <f ca="1">+'[59]Change in Unbilled kWh'!L82</f>
        <v>0</v>
      </c>
      <c r="O10" s="459">
        <f ca="1">+'[59]Change in Unbilled kWh'!M82</f>
        <v>0</v>
      </c>
      <c r="P10" s="459">
        <f ca="1">+'[59]Change in Unbilled kWh'!N82</f>
        <v>0</v>
      </c>
    </row>
    <row r="11" spans="1:16" ht="15" customHeight="1" x14ac:dyDescent="0.25">
      <c r="A11" s="458">
        <f t="shared" si="1"/>
        <v>6</v>
      </c>
      <c r="B11" s="461" t="s">
        <v>80</v>
      </c>
      <c r="C11"/>
      <c r="D11" s="459">
        <f t="shared" ca="1" si="3"/>
        <v>0</v>
      </c>
      <c r="E11" s="459">
        <v>0</v>
      </c>
      <c r="F11" s="459">
        <v>0</v>
      </c>
      <c r="G11" s="459">
        <v>0</v>
      </c>
      <c r="H11" s="459">
        <v>0</v>
      </c>
      <c r="I11" s="459">
        <v>0</v>
      </c>
      <c r="J11" s="459">
        <v>0</v>
      </c>
      <c r="K11" s="459">
        <v>0</v>
      </c>
      <c r="L11" s="459">
        <v>0</v>
      </c>
      <c r="M11" s="459">
        <v>0</v>
      </c>
      <c r="N11" s="459">
        <v>0</v>
      </c>
      <c r="O11" s="459">
        <v>0</v>
      </c>
      <c r="P11" s="459">
        <v>0</v>
      </c>
    </row>
    <row r="12" spans="1:16" ht="15" customHeight="1" x14ac:dyDescent="0.25">
      <c r="A12" s="458">
        <f t="shared" si="1"/>
        <v>7</v>
      </c>
      <c r="B12" s="460" t="s">
        <v>57</v>
      </c>
      <c r="C12"/>
      <c r="D12" s="459">
        <f t="shared" ref="D12:P12" ca="1" si="4">SUM(D9:D11)</f>
        <v>13232300</v>
      </c>
      <c r="E12" s="459">
        <f t="shared" ca="1" si="4"/>
        <v>1043200</v>
      </c>
      <c r="F12" s="459">
        <f t="shared" ca="1" si="4"/>
        <v>-1522500</v>
      </c>
      <c r="G12" s="459">
        <f t="shared" ca="1" si="4"/>
        <v>4001000</v>
      </c>
      <c r="H12" s="459">
        <f t="shared" ca="1" si="4"/>
        <v>326700</v>
      </c>
      <c r="I12" s="459">
        <f t="shared" ca="1" si="4"/>
        <v>2315100</v>
      </c>
      <c r="J12" s="459">
        <f t="shared" ca="1" si="4"/>
        <v>1170900</v>
      </c>
      <c r="K12" s="459">
        <f t="shared" ca="1" si="4"/>
        <v>763000</v>
      </c>
      <c r="L12" s="459">
        <f t="shared" ca="1" si="4"/>
        <v>0</v>
      </c>
      <c r="M12" s="459">
        <f t="shared" ca="1" si="4"/>
        <v>1320900</v>
      </c>
      <c r="N12" s="459">
        <f t="shared" ca="1" si="4"/>
        <v>1118700</v>
      </c>
      <c r="O12" s="459">
        <f t="shared" ca="1" si="4"/>
        <v>1754900</v>
      </c>
      <c r="P12" s="459">
        <f t="shared" ca="1" si="4"/>
        <v>940400</v>
      </c>
    </row>
    <row r="13" spans="1:16" ht="15" customHeight="1" x14ac:dyDescent="0.25">
      <c r="A13" s="458">
        <f t="shared" si="1"/>
        <v>8</v>
      </c>
      <c r="B13" s="460"/>
      <c r="C13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</row>
    <row r="14" spans="1:16" ht="15" customHeight="1" x14ac:dyDescent="0.25">
      <c r="A14" s="458">
        <f t="shared" si="1"/>
        <v>9</v>
      </c>
      <c r="B14" s="310" t="s">
        <v>81</v>
      </c>
      <c r="C14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</row>
    <row r="15" spans="1:16" ht="15" customHeight="1" x14ac:dyDescent="0.25">
      <c r="A15" s="458">
        <f t="shared" si="1"/>
        <v>10</v>
      </c>
      <c r="B15" s="460" t="s">
        <v>82</v>
      </c>
      <c r="C15"/>
      <c r="D15" s="459">
        <f>SUM(E15:P15)</f>
        <v>16911</v>
      </c>
      <c r="E15" s="459">
        <f>ROUND(E67/$C67,0)</f>
        <v>1758</v>
      </c>
      <c r="F15" s="459">
        <f t="shared" ref="F15:P15" si="5">ROUND(F67/$C67,0)</f>
        <v>-1370</v>
      </c>
      <c r="G15" s="459">
        <f t="shared" si="5"/>
        <v>7320</v>
      </c>
      <c r="H15" s="459">
        <f t="shared" si="5"/>
        <v>554</v>
      </c>
      <c r="I15" s="459">
        <f t="shared" si="5"/>
        <v>5208</v>
      </c>
      <c r="J15" s="459">
        <f t="shared" si="5"/>
        <v>2764</v>
      </c>
      <c r="K15" s="459">
        <f t="shared" si="5"/>
        <v>544</v>
      </c>
      <c r="L15" s="459">
        <f t="shared" si="5"/>
        <v>0</v>
      </c>
      <c r="M15" s="459">
        <f t="shared" si="5"/>
        <v>0</v>
      </c>
      <c r="N15" s="459">
        <f t="shared" si="5"/>
        <v>133</v>
      </c>
      <c r="O15" s="459">
        <f t="shared" si="5"/>
        <v>0</v>
      </c>
      <c r="P15" s="459">
        <f t="shared" si="5"/>
        <v>0</v>
      </c>
    </row>
    <row r="16" spans="1:16" ht="15" customHeight="1" x14ac:dyDescent="0.25">
      <c r="A16" s="458">
        <f t="shared" si="1"/>
        <v>11</v>
      </c>
      <c r="B16" s="460" t="s">
        <v>85</v>
      </c>
      <c r="C16"/>
      <c r="D16" s="459">
        <f>SUM(E16:P16)</f>
        <v>14150</v>
      </c>
      <c r="E16" s="459">
        <f>ROUND(E65/$C65+E66/$C66,0)</f>
        <v>728</v>
      </c>
      <c r="F16" s="459">
        <f t="shared" ref="F16:P16" si="6">ROUND(F65/$C65+F66/$C66,0)</f>
        <v>-2398</v>
      </c>
      <c r="G16" s="459">
        <f t="shared" si="6"/>
        <v>2398</v>
      </c>
      <c r="H16" s="459">
        <f t="shared" si="6"/>
        <v>0</v>
      </c>
      <c r="I16" s="459">
        <f t="shared" si="6"/>
        <v>0</v>
      </c>
      <c r="J16" s="459">
        <f t="shared" si="6"/>
        <v>0</v>
      </c>
      <c r="K16" s="459">
        <f t="shared" si="6"/>
        <v>1427</v>
      </c>
      <c r="L16" s="459">
        <f t="shared" si="6"/>
        <v>0</v>
      </c>
      <c r="M16" s="459">
        <f t="shared" si="6"/>
        <v>3527</v>
      </c>
      <c r="N16" s="459">
        <f t="shared" si="6"/>
        <v>2095</v>
      </c>
      <c r="O16" s="459">
        <f t="shared" si="6"/>
        <v>4162</v>
      </c>
      <c r="P16" s="459">
        <f t="shared" si="6"/>
        <v>2211</v>
      </c>
    </row>
    <row r="17" spans="1:16" ht="15" customHeight="1" x14ac:dyDescent="0.25">
      <c r="A17" s="458">
        <f t="shared" si="1"/>
        <v>12</v>
      </c>
      <c r="B17" s="460" t="s">
        <v>143</v>
      </c>
      <c r="C17"/>
      <c r="D17" s="459">
        <f t="shared" ref="D17:E17" si="7">SUM(D13:D16)</f>
        <v>31061</v>
      </c>
      <c r="E17" s="459">
        <f t="shared" si="7"/>
        <v>2486</v>
      </c>
      <c r="F17" s="459">
        <f t="shared" ref="F17:P17" si="8">SUM(F13:F16)</f>
        <v>-3768</v>
      </c>
      <c r="G17" s="459">
        <f t="shared" si="8"/>
        <v>9718</v>
      </c>
      <c r="H17" s="459">
        <f t="shared" si="8"/>
        <v>554</v>
      </c>
      <c r="I17" s="459">
        <f t="shared" si="8"/>
        <v>5208</v>
      </c>
      <c r="J17" s="459">
        <f t="shared" si="8"/>
        <v>2764</v>
      </c>
      <c r="K17" s="459">
        <f t="shared" si="8"/>
        <v>1971</v>
      </c>
      <c r="L17" s="459">
        <f t="shared" si="8"/>
        <v>0</v>
      </c>
      <c r="M17" s="459">
        <f t="shared" si="8"/>
        <v>3527</v>
      </c>
      <c r="N17" s="459">
        <f t="shared" si="8"/>
        <v>2228</v>
      </c>
      <c r="O17" s="459">
        <f t="shared" si="8"/>
        <v>4162</v>
      </c>
      <c r="P17" s="459">
        <f t="shared" si="8"/>
        <v>2211</v>
      </c>
    </row>
    <row r="18" spans="1:16" ht="15" customHeight="1" x14ac:dyDescent="0.25">
      <c r="A18" s="458">
        <f t="shared" si="1"/>
        <v>13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 customHeight="1" x14ac:dyDescent="0.25">
      <c r="A19" s="458">
        <f t="shared" si="1"/>
        <v>14</v>
      </c>
      <c r="B19" t="s">
        <v>144</v>
      </c>
      <c r="C19"/>
      <c r="D19" s="459">
        <f>SUM(E19:P19)</f>
        <v>4625110</v>
      </c>
      <c r="E19" s="459">
        <f>ROUND(+E69/$C69,0)</f>
        <v>416606</v>
      </c>
      <c r="F19" s="459">
        <f t="shared" ref="F19:P19" si="9">ROUND(+F69/$C69,0)</f>
        <v>-553701</v>
      </c>
      <c r="G19" s="459">
        <f t="shared" si="9"/>
        <v>1331598</v>
      </c>
      <c r="H19" s="459">
        <f t="shared" si="9"/>
        <v>148504</v>
      </c>
      <c r="I19" s="459">
        <f t="shared" si="9"/>
        <v>625701</v>
      </c>
      <c r="J19" s="459">
        <f t="shared" si="9"/>
        <v>363197</v>
      </c>
      <c r="K19" s="459">
        <f t="shared" si="9"/>
        <v>220504</v>
      </c>
      <c r="L19" s="459">
        <f t="shared" si="9"/>
        <v>0</v>
      </c>
      <c r="M19" s="459">
        <f t="shared" si="9"/>
        <v>455701</v>
      </c>
      <c r="N19" s="459">
        <f t="shared" si="9"/>
        <v>579598</v>
      </c>
      <c r="O19" s="459">
        <f t="shared" si="9"/>
        <v>659701</v>
      </c>
      <c r="P19" s="459">
        <f t="shared" si="9"/>
        <v>377701</v>
      </c>
    </row>
    <row r="20" spans="1:16" ht="15" customHeight="1" x14ac:dyDescent="0.25">
      <c r="A20" s="458">
        <f t="shared" si="1"/>
        <v>15</v>
      </c>
      <c r="B20"/>
      <c r="C20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</row>
    <row r="21" spans="1:16" ht="15" customHeight="1" x14ac:dyDescent="0.25">
      <c r="A21" s="458">
        <f t="shared" si="1"/>
        <v>16</v>
      </c>
      <c r="B21" s="310" t="s">
        <v>91</v>
      </c>
      <c r="C21" s="462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</row>
    <row r="22" spans="1:16" ht="15" customHeight="1" x14ac:dyDescent="0.25">
      <c r="A22" s="458">
        <f t="shared" si="1"/>
        <v>17</v>
      </c>
      <c r="B22" s="460" t="s">
        <v>92</v>
      </c>
      <c r="C22" s="266">
        <v>104.46</v>
      </c>
      <c r="D22" s="464">
        <f>SUM(E22:P22)</f>
        <v>2506</v>
      </c>
      <c r="E22" s="464">
        <f>ROUND(+$C22*E$6,0)</f>
        <v>209</v>
      </c>
      <c r="F22" s="464">
        <f t="shared" ref="F22:P25" si="10">ROUND(+$C22*F$6,0)</f>
        <v>-209</v>
      </c>
      <c r="G22" s="464">
        <f t="shared" si="10"/>
        <v>627</v>
      </c>
      <c r="H22" s="464">
        <f t="shared" si="10"/>
        <v>104</v>
      </c>
      <c r="I22" s="464">
        <f t="shared" si="10"/>
        <v>313</v>
      </c>
      <c r="J22" s="464">
        <f t="shared" si="10"/>
        <v>209</v>
      </c>
      <c r="K22" s="464">
        <f t="shared" si="10"/>
        <v>104</v>
      </c>
      <c r="L22" s="464">
        <f t="shared" si="10"/>
        <v>0</v>
      </c>
      <c r="M22" s="464">
        <f t="shared" si="10"/>
        <v>209</v>
      </c>
      <c r="N22" s="464">
        <f t="shared" si="10"/>
        <v>418</v>
      </c>
      <c r="O22" s="464">
        <f t="shared" si="10"/>
        <v>313</v>
      </c>
      <c r="P22" s="464">
        <f t="shared" si="10"/>
        <v>209</v>
      </c>
    </row>
    <row r="23" spans="1:16" ht="15" customHeight="1" x14ac:dyDescent="0.25">
      <c r="A23" s="458">
        <f t="shared" si="1"/>
        <v>18</v>
      </c>
      <c r="B23" s="461" t="s">
        <v>141</v>
      </c>
      <c r="C23" s="266">
        <v>0</v>
      </c>
      <c r="D23" s="464">
        <f t="shared" ref="D23:D25" si="11">SUM(E23:P23)</f>
        <v>0</v>
      </c>
      <c r="E23" s="464">
        <f>ROUND(+$C23*E$6,0)</f>
        <v>0</v>
      </c>
      <c r="F23" s="464">
        <f t="shared" si="10"/>
        <v>0</v>
      </c>
      <c r="G23" s="464">
        <f t="shared" si="10"/>
        <v>0</v>
      </c>
      <c r="H23" s="464">
        <f t="shared" si="10"/>
        <v>0</v>
      </c>
      <c r="I23" s="464">
        <f t="shared" si="10"/>
        <v>0</v>
      </c>
      <c r="J23" s="464">
        <f t="shared" si="10"/>
        <v>0</v>
      </c>
      <c r="K23" s="464">
        <f t="shared" si="10"/>
        <v>0</v>
      </c>
      <c r="L23" s="464">
        <f t="shared" si="10"/>
        <v>0</v>
      </c>
      <c r="M23" s="464">
        <f t="shared" si="10"/>
        <v>0</v>
      </c>
      <c r="N23" s="464">
        <f t="shared" si="10"/>
        <v>0</v>
      </c>
      <c r="O23" s="464">
        <f t="shared" si="10"/>
        <v>0</v>
      </c>
      <c r="P23" s="464">
        <f t="shared" si="10"/>
        <v>0</v>
      </c>
    </row>
    <row r="24" spans="1:16" ht="15" customHeight="1" x14ac:dyDescent="0.25">
      <c r="A24" s="458">
        <f t="shared" si="1"/>
        <v>19</v>
      </c>
      <c r="B24" s="461" t="s">
        <v>145</v>
      </c>
      <c r="C24" s="266">
        <v>235.05</v>
      </c>
      <c r="D24" s="464">
        <f t="shared" si="11"/>
        <v>5640</v>
      </c>
      <c r="E24" s="464">
        <f>ROUND(+$C24*E$6,0)</f>
        <v>470</v>
      </c>
      <c r="F24" s="464">
        <f t="shared" si="10"/>
        <v>-470</v>
      </c>
      <c r="G24" s="464">
        <f t="shared" si="10"/>
        <v>1410</v>
      </c>
      <c r="H24" s="464">
        <f t="shared" si="10"/>
        <v>235</v>
      </c>
      <c r="I24" s="464">
        <f t="shared" si="10"/>
        <v>705</v>
      </c>
      <c r="J24" s="464">
        <f t="shared" si="10"/>
        <v>470</v>
      </c>
      <c r="K24" s="464">
        <f t="shared" si="10"/>
        <v>235</v>
      </c>
      <c r="L24" s="464">
        <f t="shared" si="10"/>
        <v>0</v>
      </c>
      <c r="M24" s="464">
        <f t="shared" si="10"/>
        <v>470</v>
      </c>
      <c r="N24" s="464">
        <f t="shared" si="10"/>
        <v>940</v>
      </c>
      <c r="O24" s="464">
        <f t="shared" si="10"/>
        <v>705</v>
      </c>
      <c r="P24" s="464">
        <f t="shared" si="10"/>
        <v>470</v>
      </c>
    </row>
    <row r="25" spans="1:16" ht="15" customHeight="1" x14ac:dyDescent="0.25">
      <c r="A25" s="458">
        <f t="shared" si="1"/>
        <v>20</v>
      </c>
      <c r="B25" s="461" t="s">
        <v>146</v>
      </c>
      <c r="C25" s="266">
        <v>0</v>
      </c>
      <c r="D25" s="464">
        <f t="shared" si="11"/>
        <v>0</v>
      </c>
      <c r="E25" s="464">
        <f>ROUND(+$C25*E$6,0)</f>
        <v>0</v>
      </c>
      <c r="F25" s="464">
        <f t="shared" si="10"/>
        <v>0</v>
      </c>
      <c r="G25" s="464">
        <f t="shared" si="10"/>
        <v>0</v>
      </c>
      <c r="H25" s="464">
        <f t="shared" si="10"/>
        <v>0</v>
      </c>
      <c r="I25" s="464">
        <f t="shared" si="10"/>
        <v>0</v>
      </c>
      <c r="J25" s="464">
        <f t="shared" si="10"/>
        <v>0</v>
      </c>
      <c r="K25" s="464">
        <f t="shared" si="10"/>
        <v>0</v>
      </c>
      <c r="L25" s="464">
        <f t="shared" si="10"/>
        <v>0</v>
      </c>
      <c r="M25" s="464">
        <f t="shared" si="10"/>
        <v>0</v>
      </c>
      <c r="N25" s="464">
        <f t="shared" si="10"/>
        <v>0</v>
      </c>
      <c r="O25" s="464">
        <f t="shared" si="10"/>
        <v>0</v>
      </c>
      <c r="P25" s="464">
        <f t="shared" si="10"/>
        <v>0</v>
      </c>
    </row>
    <row r="26" spans="1:16" ht="15" customHeight="1" x14ac:dyDescent="0.25">
      <c r="A26" s="458">
        <f t="shared" si="1"/>
        <v>21</v>
      </c>
      <c r="B26" s="461" t="s">
        <v>94</v>
      </c>
      <c r="C26"/>
      <c r="D26" s="464">
        <f t="shared" ref="D26:E26" si="12">SUM(D22:D25)</f>
        <v>8146</v>
      </c>
      <c r="E26" s="464">
        <f t="shared" si="12"/>
        <v>679</v>
      </c>
      <c r="F26" s="464">
        <f t="shared" ref="F26:P26" si="13">SUM(F22:F25)</f>
        <v>-679</v>
      </c>
      <c r="G26" s="464">
        <f t="shared" si="13"/>
        <v>2037</v>
      </c>
      <c r="H26" s="464">
        <f t="shared" si="13"/>
        <v>339</v>
      </c>
      <c r="I26" s="464">
        <f t="shared" si="13"/>
        <v>1018</v>
      </c>
      <c r="J26" s="464">
        <f t="shared" si="13"/>
        <v>679</v>
      </c>
      <c r="K26" s="464">
        <f t="shared" si="13"/>
        <v>339</v>
      </c>
      <c r="L26" s="464">
        <f t="shared" si="13"/>
        <v>0</v>
      </c>
      <c r="M26" s="464">
        <f t="shared" si="13"/>
        <v>679</v>
      </c>
      <c r="N26" s="464">
        <f t="shared" si="13"/>
        <v>1358</v>
      </c>
      <c r="O26" s="464">
        <f t="shared" si="13"/>
        <v>1018</v>
      </c>
      <c r="P26" s="464">
        <f t="shared" si="13"/>
        <v>679</v>
      </c>
    </row>
    <row r="27" spans="1:16" ht="15" customHeight="1" x14ac:dyDescent="0.25">
      <c r="A27" s="458">
        <f t="shared" si="1"/>
        <v>22</v>
      </c>
      <c r="B27" s="465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 customHeight="1" x14ac:dyDescent="0.25">
      <c r="A28" s="458">
        <f t="shared" si="1"/>
        <v>23</v>
      </c>
      <c r="B28" s="465" t="s">
        <v>95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 customHeight="1" x14ac:dyDescent="0.25">
      <c r="A29" s="458">
        <f t="shared" si="1"/>
        <v>24</v>
      </c>
      <c r="B29" s="461" t="s">
        <v>76</v>
      </c>
      <c r="C29" s="284">
        <v>5.6732999999999999E-2</v>
      </c>
      <c r="D29" s="464">
        <f t="shared" ref="D29:D33" si="14">SUM(E29:P29)</f>
        <v>750710</v>
      </c>
      <c r="E29" s="464">
        <f>ROUND(+$C29*E$9,0)</f>
        <v>59184</v>
      </c>
      <c r="F29" s="464">
        <f t="shared" ref="F29:P31" si="15">ROUND(+$C29*F$9,0)</f>
        <v>-86376</v>
      </c>
      <c r="G29" s="464">
        <f t="shared" si="15"/>
        <v>226989</v>
      </c>
      <c r="H29" s="464">
        <f t="shared" si="15"/>
        <v>18535</v>
      </c>
      <c r="I29" s="464">
        <f t="shared" si="15"/>
        <v>131343</v>
      </c>
      <c r="J29" s="464">
        <f t="shared" si="15"/>
        <v>66429</v>
      </c>
      <c r="K29" s="464">
        <f t="shared" si="15"/>
        <v>43287</v>
      </c>
      <c r="L29" s="464">
        <f t="shared" si="15"/>
        <v>0</v>
      </c>
      <c r="M29" s="464">
        <f t="shared" si="15"/>
        <v>74939</v>
      </c>
      <c r="N29" s="464">
        <f t="shared" si="15"/>
        <v>63467</v>
      </c>
      <c r="O29" s="464">
        <f t="shared" si="15"/>
        <v>99561</v>
      </c>
      <c r="P29" s="464">
        <f t="shared" si="15"/>
        <v>53352</v>
      </c>
    </row>
    <row r="30" spans="1:16" ht="15" customHeight="1" x14ac:dyDescent="0.25">
      <c r="A30" s="458">
        <f t="shared" si="1"/>
        <v>25</v>
      </c>
      <c r="B30" s="461" t="s">
        <v>147</v>
      </c>
      <c r="C30" s="360">
        <f>-ROUND(C29*C49,6)</f>
        <v>-1.957E-3</v>
      </c>
      <c r="D30" s="464">
        <f t="shared" si="14"/>
        <v>-25894</v>
      </c>
      <c r="E30" s="464">
        <f>ROUND(+$C30*E$9,0)</f>
        <v>-2042</v>
      </c>
      <c r="F30" s="464">
        <f t="shared" si="15"/>
        <v>2980</v>
      </c>
      <c r="G30" s="464">
        <f t="shared" si="15"/>
        <v>-7830</v>
      </c>
      <c r="H30" s="464">
        <f t="shared" si="15"/>
        <v>-639</v>
      </c>
      <c r="I30" s="464">
        <f t="shared" si="15"/>
        <v>-4531</v>
      </c>
      <c r="J30" s="464">
        <f t="shared" si="15"/>
        <v>-2291</v>
      </c>
      <c r="K30" s="464">
        <f t="shared" si="15"/>
        <v>-1493</v>
      </c>
      <c r="L30" s="464">
        <f t="shared" si="15"/>
        <v>0</v>
      </c>
      <c r="M30" s="464">
        <f t="shared" si="15"/>
        <v>-2585</v>
      </c>
      <c r="N30" s="464">
        <f t="shared" si="15"/>
        <v>-2189</v>
      </c>
      <c r="O30" s="464">
        <f t="shared" si="15"/>
        <v>-3434</v>
      </c>
      <c r="P30" s="464">
        <f t="shared" si="15"/>
        <v>-1840</v>
      </c>
    </row>
    <row r="31" spans="1:16" ht="15" customHeight="1" x14ac:dyDescent="0.25">
      <c r="A31" s="458">
        <f t="shared" si="1"/>
        <v>26</v>
      </c>
      <c r="B31" s="461" t="s">
        <v>97</v>
      </c>
      <c r="C31" s="284">
        <v>0</v>
      </c>
      <c r="D31" s="464">
        <f t="shared" si="14"/>
        <v>0</v>
      </c>
      <c r="E31" s="464">
        <f>ROUND(+$C31*E$9,0)</f>
        <v>0</v>
      </c>
      <c r="F31" s="464">
        <f t="shared" si="15"/>
        <v>0</v>
      </c>
      <c r="G31" s="464">
        <f t="shared" si="15"/>
        <v>0</v>
      </c>
      <c r="H31" s="464">
        <f t="shared" si="15"/>
        <v>0</v>
      </c>
      <c r="I31" s="464">
        <f t="shared" si="15"/>
        <v>0</v>
      </c>
      <c r="J31" s="464">
        <f t="shared" si="15"/>
        <v>0</v>
      </c>
      <c r="K31" s="464">
        <f t="shared" si="15"/>
        <v>0</v>
      </c>
      <c r="L31" s="464">
        <f t="shared" si="15"/>
        <v>0</v>
      </c>
      <c r="M31" s="464">
        <f t="shared" si="15"/>
        <v>0</v>
      </c>
      <c r="N31" s="464">
        <f t="shared" si="15"/>
        <v>0</v>
      </c>
      <c r="O31" s="464">
        <f t="shared" si="15"/>
        <v>0</v>
      </c>
      <c r="P31" s="464">
        <f t="shared" si="15"/>
        <v>0</v>
      </c>
    </row>
    <row r="32" spans="1:16" ht="15" customHeight="1" x14ac:dyDescent="0.25">
      <c r="A32" s="458">
        <f t="shared" si="1"/>
        <v>27</v>
      </c>
      <c r="B32" s="461" t="s">
        <v>79</v>
      </c>
      <c r="C32" s="284">
        <f ca="1">SUM(D29:D31,D26,D43,D48,D33)/SUM(D9:D9,D11)</f>
        <v>7.8176658630774692E-2</v>
      </c>
      <c r="D32" s="464">
        <f t="shared" ca="1" si="14"/>
        <v>0</v>
      </c>
      <c r="E32" s="479">
        <f ca="1">ROUND(+$C32*E$10,0)</f>
        <v>0</v>
      </c>
      <c r="F32" s="479">
        <f t="shared" ref="F32:P32" ca="1" si="16">ROUND(+$C32*F$10,0)</f>
        <v>0</v>
      </c>
      <c r="G32" s="479">
        <f t="shared" ca="1" si="16"/>
        <v>0</v>
      </c>
      <c r="H32" s="479">
        <f t="shared" ca="1" si="16"/>
        <v>0</v>
      </c>
      <c r="I32" s="479">
        <f t="shared" ca="1" si="16"/>
        <v>0</v>
      </c>
      <c r="J32" s="479">
        <f t="shared" ca="1" si="16"/>
        <v>0</v>
      </c>
      <c r="K32" s="479">
        <f t="shared" ca="1" si="16"/>
        <v>0</v>
      </c>
      <c r="L32" s="479">
        <f t="shared" ca="1" si="16"/>
        <v>0</v>
      </c>
      <c r="M32" s="479">
        <f t="shared" ca="1" si="16"/>
        <v>0</v>
      </c>
      <c r="N32" s="479">
        <f t="shared" ca="1" si="16"/>
        <v>0</v>
      </c>
      <c r="O32" s="479">
        <f t="shared" ca="1" si="16"/>
        <v>0</v>
      </c>
      <c r="P32" s="479">
        <f t="shared" ca="1" si="16"/>
        <v>0</v>
      </c>
    </row>
    <row r="33" spans="1:16" ht="15" customHeight="1" x14ac:dyDescent="0.25">
      <c r="A33" s="458">
        <f t="shared" si="1"/>
        <v>28</v>
      </c>
      <c r="B33" s="461" t="s">
        <v>80</v>
      </c>
      <c r="C33" s="284">
        <v>0</v>
      </c>
      <c r="D33" s="464">
        <f t="shared" si="14"/>
        <v>0</v>
      </c>
      <c r="E33" s="464">
        <f>ROUND(+$C33*E11,0)</f>
        <v>0</v>
      </c>
      <c r="F33" s="464">
        <f t="shared" ref="F33:P33" si="17">ROUND(+$C33*F11,0)</f>
        <v>0</v>
      </c>
      <c r="G33" s="464">
        <f t="shared" si="17"/>
        <v>0</v>
      </c>
      <c r="H33" s="464">
        <f t="shared" si="17"/>
        <v>0</v>
      </c>
      <c r="I33" s="464">
        <f t="shared" si="17"/>
        <v>0</v>
      </c>
      <c r="J33" s="464">
        <f t="shared" si="17"/>
        <v>0</v>
      </c>
      <c r="K33" s="464">
        <f t="shared" si="17"/>
        <v>0</v>
      </c>
      <c r="L33" s="464">
        <f t="shared" si="17"/>
        <v>0</v>
      </c>
      <c r="M33" s="464">
        <f t="shared" si="17"/>
        <v>0</v>
      </c>
      <c r="N33" s="464">
        <f t="shared" si="17"/>
        <v>0</v>
      </c>
      <c r="O33" s="464">
        <f t="shared" si="17"/>
        <v>0</v>
      </c>
      <c r="P33" s="464">
        <f t="shared" si="17"/>
        <v>0</v>
      </c>
    </row>
    <row r="34" spans="1:16" ht="15" customHeight="1" x14ac:dyDescent="0.25">
      <c r="A34" s="458">
        <f t="shared" si="1"/>
        <v>29</v>
      </c>
      <c r="B34" s="467" t="s">
        <v>100</v>
      </c>
      <c r="C34"/>
      <c r="D34" s="464">
        <f ca="1">SUM(D29:D33)</f>
        <v>724816</v>
      </c>
      <c r="E34" s="464">
        <f t="shared" ref="E34:P34" ca="1" si="18">SUM(E29:E33)</f>
        <v>57142</v>
      </c>
      <c r="F34" s="464">
        <f t="shared" ca="1" si="18"/>
        <v>-83396</v>
      </c>
      <c r="G34" s="464">
        <f t="shared" ca="1" si="18"/>
        <v>219159</v>
      </c>
      <c r="H34" s="464">
        <f t="shared" ca="1" si="18"/>
        <v>17896</v>
      </c>
      <c r="I34" s="464">
        <f t="shared" ca="1" si="18"/>
        <v>126812</v>
      </c>
      <c r="J34" s="464">
        <f t="shared" ca="1" si="18"/>
        <v>64138</v>
      </c>
      <c r="K34" s="464">
        <f t="shared" ca="1" si="18"/>
        <v>41794</v>
      </c>
      <c r="L34" s="464">
        <f t="shared" ca="1" si="18"/>
        <v>0</v>
      </c>
      <c r="M34" s="464">
        <f t="shared" ca="1" si="18"/>
        <v>72354</v>
      </c>
      <c r="N34" s="464">
        <f t="shared" ca="1" si="18"/>
        <v>61278</v>
      </c>
      <c r="O34" s="464">
        <f t="shared" ca="1" si="18"/>
        <v>96127</v>
      </c>
      <c r="P34" s="464">
        <f t="shared" ca="1" si="18"/>
        <v>51512</v>
      </c>
    </row>
    <row r="35" spans="1:16" ht="15" customHeight="1" x14ac:dyDescent="0.25">
      <c r="A35" s="458">
        <f t="shared" si="1"/>
        <v>30</v>
      </c>
      <c r="B35" s="46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customHeight="1" x14ac:dyDescent="0.25">
      <c r="A36" s="458">
        <f t="shared" si="1"/>
        <v>31</v>
      </c>
      <c r="B36" s="465" t="s">
        <v>101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customHeight="1" x14ac:dyDescent="0.3">
      <c r="A37" s="458">
        <f t="shared" si="1"/>
        <v>32</v>
      </c>
      <c r="B37" s="461" t="s">
        <v>148</v>
      </c>
      <c r="C37" s="266">
        <v>11.65</v>
      </c>
      <c r="D37" s="464">
        <f t="shared" ref="D37:D42" si="19">SUM(E37:P37)</f>
        <v>197013</v>
      </c>
      <c r="E37" s="464">
        <f>ROUND(+$C37*E15,0)</f>
        <v>20481</v>
      </c>
      <c r="F37" s="464">
        <f t="shared" ref="F37:P39" si="20">ROUND(+$C37*F15,0)</f>
        <v>-15961</v>
      </c>
      <c r="G37" s="464">
        <f t="shared" si="20"/>
        <v>85278</v>
      </c>
      <c r="H37" s="464">
        <f t="shared" si="20"/>
        <v>6454</v>
      </c>
      <c r="I37" s="464">
        <f t="shared" si="20"/>
        <v>60673</v>
      </c>
      <c r="J37" s="464">
        <f t="shared" si="20"/>
        <v>32201</v>
      </c>
      <c r="K37" s="464">
        <f t="shared" si="20"/>
        <v>6338</v>
      </c>
      <c r="L37" s="464">
        <f t="shared" si="20"/>
        <v>0</v>
      </c>
      <c r="M37" s="464">
        <f t="shared" si="20"/>
        <v>0</v>
      </c>
      <c r="N37" s="464">
        <f t="shared" si="20"/>
        <v>1549</v>
      </c>
      <c r="O37" s="464">
        <f t="shared" si="20"/>
        <v>0</v>
      </c>
      <c r="P37" s="464">
        <f t="shared" si="20"/>
        <v>0</v>
      </c>
    </row>
    <row r="38" spans="1:16" ht="15" customHeight="1" x14ac:dyDescent="0.3">
      <c r="A38" s="458">
        <f t="shared" si="1"/>
        <v>33</v>
      </c>
      <c r="B38" s="461" t="s">
        <v>149</v>
      </c>
      <c r="C38" s="266">
        <v>7.76</v>
      </c>
      <c r="D38" s="464">
        <f t="shared" si="19"/>
        <v>109804</v>
      </c>
      <c r="E38" s="464">
        <f>ROUND(+$C38*E16,0)</f>
        <v>5649</v>
      </c>
      <c r="F38" s="464">
        <f t="shared" si="20"/>
        <v>-18608</v>
      </c>
      <c r="G38" s="464">
        <f t="shared" si="20"/>
        <v>18608</v>
      </c>
      <c r="H38" s="464">
        <f t="shared" si="20"/>
        <v>0</v>
      </c>
      <c r="I38" s="464">
        <f t="shared" si="20"/>
        <v>0</v>
      </c>
      <c r="J38" s="464">
        <f t="shared" si="20"/>
        <v>0</v>
      </c>
      <c r="K38" s="464">
        <f t="shared" si="20"/>
        <v>11074</v>
      </c>
      <c r="L38" s="464">
        <f t="shared" si="20"/>
        <v>0</v>
      </c>
      <c r="M38" s="464">
        <f t="shared" si="20"/>
        <v>27370</v>
      </c>
      <c r="N38" s="464">
        <f t="shared" si="20"/>
        <v>16257</v>
      </c>
      <c r="O38" s="464">
        <f t="shared" si="20"/>
        <v>32297</v>
      </c>
      <c r="P38" s="464">
        <f t="shared" si="20"/>
        <v>17157</v>
      </c>
    </row>
    <row r="39" spans="1:16" ht="15" customHeight="1" x14ac:dyDescent="0.3">
      <c r="A39" s="458">
        <f t="shared" si="1"/>
        <v>34</v>
      </c>
      <c r="B39" s="461" t="s">
        <v>150</v>
      </c>
      <c r="C39" s="266">
        <v>-0.35</v>
      </c>
      <c r="D39" s="464">
        <f t="shared" si="19"/>
        <v>-10871</v>
      </c>
      <c r="E39" s="464">
        <f>ROUND(+$C39*E17,0)</f>
        <v>-870</v>
      </c>
      <c r="F39" s="464">
        <f t="shared" si="20"/>
        <v>1319</v>
      </c>
      <c r="G39" s="464">
        <f t="shared" si="20"/>
        <v>-3401</v>
      </c>
      <c r="H39" s="464">
        <f t="shared" si="20"/>
        <v>-194</v>
      </c>
      <c r="I39" s="464">
        <f t="shared" si="20"/>
        <v>-1823</v>
      </c>
      <c r="J39" s="464">
        <f t="shared" si="20"/>
        <v>-967</v>
      </c>
      <c r="K39" s="464">
        <f t="shared" si="20"/>
        <v>-690</v>
      </c>
      <c r="L39" s="464">
        <f t="shared" si="20"/>
        <v>0</v>
      </c>
      <c r="M39" s="464">
        <f t="shared" si="20"/>
        <v>-1234</v>
      </c>
      <c r="N39" s="464">
        <f t="shared" si="20"/>
        <v>-780</v>
      </c>
      <c r="O39" s="464">
        <f t="shared" si="20"/>
        <v>-1457</v>
      </c>
      <c r="P39" s="464">
        <f t="shared" si="20"/>
        <v>-774</v>
      </c>
    </row>
    <row r="40" spans="1:16" ht="15" customHeight="1" x14ac:dyDescent="0.3">
      <c r="A40" s="458">
        <f t="shared" si="1"/>
        <v>35</v>
      </c>
      <c r="B40" s="461" t="s">
        <v>151</v>
      </c>
      <c r="C40" s="266">
        <v>0</v>
      </c>
      <c r="D40" s="464">
        <f t="shared" si="19"/>
        <v>0</v>
      </c>
      <c r="E40" s="464">
        <f>ROUND(+$C40*E15,0)</f>
        <v>0</v>
      </c>
      <c r="F40" s="464">
        <f t="shared" ref="F40:P42" si="21">ROUND(+$C40*F15,0)</f>
        <v>0</v>
      </c>
      <c r="G40" s="464">
        <f t="shared" si="21"/>
        <v>0</v>
      </c>
      <c r="H40" s="464">
        <f t="shared" si="21"/>
        <v>0</v>
      </c>
      <c r="I40" s="464">
        <f t="shared" si="21"/>
        <v>0</v>
      </c>
      <c r="J40" s="464">
        <f t="shared" si="21"/>
        <v>0</v>
      </c>
      <c r="K40" s="464">
        <f t="shared" si="21"/>
        <v>0</v>
      </c>
      <c r="L40" s="464">
        <f t="shared" si="21"/>
        <v>0</v>
      </c>
      <c r="M40" s="464">
        <f t="shared" si="21"/>
        <v>0</v>
      </c>
      <c r="N40" s="464">
        <f t="shared" si="21"/>
        <v>0</v>
      </c>
      <c r="O40" s="464">
        <f t="shared" si="21"/>
        <v>0</v>
      </c>
      <c r="P40" s="464">
        <f t="shared" si="21"/>
        <v>0</v>
      </c>
    </row>
    <row r="41" spans="1:16" ht="15" customHeight="1" x14ac:dyDescent="0.3">
      <c r="A41" s="458">
        <f t="shared" si="1"/>
        <v>36</v>
      </c>
      <c r="B41" s="461" t="s">
        <v>152</v>
      </c>
      <c r="C41" s="266">
        <v>0</v>
      </c>
      <c r="D41" s="464">
        <f t="shared" si="19"/>
        <v>0</v>
      </c>
      <c r="E41" s="464">
        <f>ROUND(+$C41*E16,0)</f>
        <v>0</v>
      </c>
      <c r="F41" s="464">
        <f t="shared" si="21"/>
        <v>0</v>
      </c>
      <c r="G41" s="464">
        <f t="shared" si="21"/>
        <v>0</v>
      </c>
      <c r="H41" s="464">
        <f t="shared" si="21"/>
        <v>0</v>
      </c>
      <c r="I41" s="464">
        <f t="shared" si="21"/>
        <v>0</v>
      </c>
      <c r="J41" s="464">
        <f t="shared" si="21"/>
        <v>0</v>
      </c>
      <c r="K41" s="464">
        <f t="shared" si="21"/>
        <v>0</v>
      </c>
      <c r="L41" s="464">
        <f t="shared" si="21"/>
        <v>0</v>
      </c>
      <c r="M41" s="464">
        <f t="shared" si="21"/>
        <v>0</v>
      </c>
      <c r="N41" s="464">
        <f t="shared" si="21"/>
        <v>0</v>
      </c>
      <c r="O41" s="464">
        <f t="shared" si="21"/>
        <v>0</v>
      </c>
      <c r="P41" s="464">
        <f t="shared" si="21"/>
        <v>0</v>
      </c>
    </row>
    <row r="42" spans="1:16" ht="15" customHeight="1" x14ac:dyDescent="0.3">
      <c r="A42" s="458">
        <f t="shared" si="1"/>
        <v>37</v>
      </c>
      <c r="B42" s="461" t="s">
        <v>153</v>
      </c>
      <c r="C42" s="281">
        <v>0</v>
      </c>
      <c r="D42" s="464">
        <f t="shared" si="19"/>
        <v>0</v>
      </c>
      <c r="E42" s="464">
        <f>ROUND(+$C42*E17,0)</f>
        <v>0</v>
      </c>
      <c r="F42" s="464">
        <f t="shared" si="21"/>
        <v>0</v>
      </c>
      <c r="G42" s="464">
        <f t="shared" si="21"/>
        <v>0</v>
      </c>
      <c r="H42" s="464">
        <f t="shared" si="21"/>
        <v>0</v>
      </c>
      <c r="I42" s="464">
        <f t="shared" si="21"/>
        <v>0</v>
      </c>
      <c r="J42" s="464">
        <f t="shared" si="21"/>
        <v>0</v>
      </c>
      <c r="K42" s="464">
        <f t="shared" si="21"/>
        <v>0</v>
      </c>
      <c r="L42" s="464">
        <f t="shared" si="21"/>
        <v>0</v>
      </c>
      <c r="M42" s="464">
        <f t="shared" si="21"/>
        <v>0</v>
      </c>
      <c r="N42" s="464">
        <f t="shared" si="21"/>
        <v>0</v>
      </c>
      <c r="O42" s="464">
        <f t="shared" si="21"/>
        <v>0</v>
      </c>
      <c r="P42" s="464">
        <f t="shared" si="21"/>
        <v>0</v>
      </c>
    </row>
    <row r="43" spans="1:16" ht="15" customHeight="1" x14ac:dyDescent="0.3">
      <c r="A43" s="458">
        <f t="shared" si="1"/>
        <v>38</v>
      </c>
      <c r="B43" s="467" t="s">
        <v>104</v>
      </c>
      <c r="C43"/>
      <c r="D43" s="464">
        <f>SUM(D37:D42)</f>
        <v>295946</v>
      </c>
      <c r="E43" s="464">
        <f>SUM(E37:E42)</f>
        <v>25260</v>
      </c>
      <c r="F43" s="464">
        <f t="shared" ref="F43:P43" si="22">SUM(F37:F42)</f>
        <v>-33250</v>
      </c>
      <c r="G43" s="464">
        <f t="shared" si="22"/>
        <v>100485</v>
      </c>
      <c r="H43" s="464">
        <f t="shared" si="22"/>
        <v>6260</v>
      </c>
      <c r="I43" s="464">
        <f t="shared" si="22"/>
        <v>58850</v>
      </c>
      <c r="J43" s="464">
        <f t="shared" si="22"/>
        <v>31234</v>
      </c>
      <c r="K43" s="464">
        <f t="shared" si="22"/>
        <v>16722</v>
      </c>
      <c r="L43" s="464">
        <f t="shared" si="22"/>
        <v>0</v>
      </c>
      <c r="M43" s="464">
        <f t="shared" si="22"/>
        <v>26136</v>
      </c>
      <c r="N43" s="464">
        <f t="shared" si="22"/>
        <v>17026</v>
      </c>
      <c r="O43" s="464">
        <f t="shared" si="22"/>
        <v>30840</v>
      </c>
      <c r="P43" s="464">
        <f t="shared" si="22"/>
        <v>16383</v>
      </c>
    </row>
    <row r="44" spans="1:16" ht="15" customHeight="1" x14ac:dyDescent="0.3">
      <c r="A44" s="458">
        <f t="shared" si="1"/>
        <v>39</v>
      </c>
      <c r="B44" s="467"/>
      <c r="C4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</row>
    <row r="45" spans="1:16" ht="15" customHeight="1" x14ac:dyDescent="0.3">
      <c r="A45" s="458">
        <f t="shared" si="1"/>
        <v>40</v>
      </c>
      <c r="B45" s="460" t="s">
        <v>105</v>
      </c>
      <c r="C45" s="468">
        <v>1.24E-3</v>
      </c>
      <c r="D45" s="464">
        <f t="shared" ref="D45:D47" si="23">SUM(E45:P45)</f>
        <v>5734</v>
      </c>
      <c r="E45" s="464">
        <f>ROUND(+$C45*E$19,0)</f>
        <v>517</v>
      </c>
      <c r="F45" s="464">
        <f t="shared" ref="F45:P47" si="24">ROUND(+$C45*F$19,0)</f>
        <v>-687</v>
      </c>
      <c r="G45" s="464">
        <f t="shared" si="24"/>
        <v>1651</v>
      </c>
      <c r="H45" s="464">
        <f t="shared" si="24"/>
        <v>184</v>
      </c>
      <c r="I45" s="464">
        <f t="shared" si="24"/>
        <v>776</v>
      </c>
      <c r="J45" s="464">
        <f t="shared" si="24"/>
        <v>450</v>
      </c>
      <c r="K45" s="464">
        <f t="shared" si="24"/>
        <v>273</v>
      </c>
      <c r="L45" s="464">
        <f t="shared" si="24"/>
        <v>0</v>
      </c>
      <c r="M45" s="464">
        <f t="shared" si="24"/>
        <v>565</v>
      </c>
      <c r="N45" s="464">
        <f t="shared" si="24"/>
        <v>719</v>
      </c>
      <c r="O45" s="464">
        <f t="shared" si="24"/>
        <v>818</v>
      </c>
      <c r="P45" s="464">
        <f t="shared" si="24"/>
        <v>468</v>
      </c>
    </row>
    <row r="46" spans="1:16" ht="15" customHeight="1" x14ac:dyDescent="0.3">
      <c r="A46" s="458">
        <f t="shared" si="1"/>
        <v>41</v>
      </c>
      <c r="B46" s="461" t="s">
        <v>141</v>
      </c>
      <c r="C46" s="468">
        <v>0</v>
      </c>
      <c r="D46" s="464">
        <f t="shared" si="23"/>
        <v>0</v>
      </c>
      <c r="E46" s="464">
        <f>ROUND(+$C46*E$19,0)</f>
        <v>0</v>
      </c>
      <c r="F46" s="464">
        <f t="shared" si="24"/>
        <v>0</v>
      </c>
      <c r="G46" s="464">
        <f t="shared" si="24"/>
        <v>0</v>
      </c>
      <c r="H46" s="464">
        <f t="shared" si="24"/>
        <v>0</v>
      </c>
      <c r="I46" s="464">
        <f t="shared" si="24"/>
        <v>0</v>
      </c>
      <c r="J46" s="464">
        <f t="shared" si="24"/>
        <v>0</v>
      </c>
      <c r="K46" s="464">
        <f t="shared" si="24"/>
        <v>0</v>
      </c>
      <c r="L46" s="464">
        <f t="shared" si="24"/>
        <v>0</v>
      </c>
      <c r="M46" s="464">
        <f t="shared" si="24"/>
        <v>0</v>
      </c>
      <c r="N46" s="464">
        <f t="shared" si="24"/>
        <v>0</v>
      </c>
      <c r="O46" s="464">
        <f t="shared" si="24"/>
        <v>0</v>
      </c>
      <c r="P46" s="464">
        <f t="shared" si="24"/>
        <v>0</v>
      </c>
    </row>
    <row r="47" spans="1:16" ht="15" customHeight="1" x14ac:dyDescent="0.3">
      <c r="A47" s="458">
        <f t="shared" si="1"/>
        <v>42</v>
      </c>
      <c r="B47" s="461" t="s">
        <v>154</v>
      </c>
      <c r="C47" s="468">
        <f>-ROUND(C45*C49,5)</f>
        <v>-4.0000000000000003E-5</v>
      </c>
      <c r="D47" s="464">
        <f t="shared" si="23"/>
        <v>-185</v>
      </c>
      <c r="E47" s="464">
        <f>ROUND(+$C47*E$19,0)</f>
        <v>-17</v>
      </c>
      <c r="F47" s="464">
        <f t="shared" si="24"/>
        <v>22</v>
      </c>
      <c r="G47" s="464">
        <f t="shared" si="24"/>
        <v>-53</v>
      </c>
      <c r="H47" s="464">
        <f t="shared" si="24"/>
        <v>-6</v>
      </c>
      <c r="I47" s="464">
        <f t="shared" si="24"/>
        <v>-25</v>
      </c>
      <c r="J47" s="464">
        <f t="shared" si="24"/>
        <v>-15</v>
      </c>
      <c r="K47" s="464">
        <f t="shared" si="24"/>
        <v>-9</v>
      </c>
      <c r="L47" s="464">
        <f t="shared" si="24"/>
        <v>0</v>
      </c>
      <c r="M47" s="464">
        <f t="shared" si="24"/>
        <v>-18</v>
      </c>
      <c r="N47" s="464">
        <f t="shared" si="24"/>
        <v>-23</v>
      </c>
      <c r="O47" s="464">
        <f t="shared" si="24"/>
        <v>-26</v>
      </c>
      <c r="P47" s="464">
        <f t="shared" si="24"/>
        <v>-15</v>
      </c>
    </row>
    <row r="48" spans="1:16" ht="15" customHeight="1" x14ac:dyDescent="0.3">
      <c r="A48" s="458">
        <f t="shared" si="1"/>
        <v>43</v>
      </c>
      <c r="B48" s="460" t="s">
        <v>105</v>
      </c>
      <c r="C48" s="468"/>
      <c r="D48" s="464">
        <f>SUM(D45:D47)</f>
        <v>5549</v>
      </c>
      <c r="E48" s="464">
        <f t="shared" ref="E48:P48" si="25">SUM(E45:E47)</f>
        <v>500</v>
      </c>
      <c r="F48" s="464">
        <f t="shared" si="25"/>
        <v>-665</v>
      </c>
      <c r="G48" s="464">
        <f t="shared" si="25"/>
        <v>1598</v>
      </c>
      <c r="H48" s="464">
        <f t="shared" si="25"/>
        <v>178</v>
      </c>
      <c r="I48" s="464">
        <f t="shared" si="25"/>
        <v>751</v>
      </c>
      <c r="J48" s="464">
        <f t="shared" si="25"/>
        <v>435</v>
      </c>
      <c r="K48" s="464">
        <f t="shared" si="25"/>
        <v>264</v>
      </c>
      <c r="L48" s="464">
        <f t="shared" si="25"/>
        <v>0</v>
      </c>
      <c r="M48" s="464">
        <f t="shared" si="25"/>
        <v>547</v>
      </c>
      <c r="N48" s="464">
        <f t="shared" si="25"/>
        <v>696</v>
      </c>
      <c r="O48" s="464">
        <f t="shared" si="25"/>
        <v>792</v>
      </c>
      <c r="P48" s="464">
        <f t="shared" si="25"/>
        <v>453</v>
      </c>
    </row>
    <row r="49" spans="1:16" ht="15" customHeight="1" x14ac:dyDescent="0.3">
      <c r="A49" s="458">
        <f t="shared" si="1"/>
        <v>44</v>
      </c>
      <c r="B49" t="s">
        <v>488</v>
      </c>
      <c r="C49" s="480">
        <v>3.4500000000000003E-2</v>
      </c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</row>
    <row r="50" spans="1:16" ht="15" customHeight="1" x14ac:dyDescent="0.3">
      <c r="A50" s="458">
        <f t="shared" si="1"/>
        <v>45</v>
      </c>
      <c r="B50" s="460" t="s">
        <v>155</v>
      </c>
      <c r="C50"/>
      <c r="D50" s="464">
        <f t="shared" ref="D50:P50" ca="1" si="26">SUM(D48,D43,D34,D26)</f>
        <v>1034457</v>
      </c>
      <c r="E50" s="464">
        <f t="shared" ca="1" si="26"/>
        <v>83581</v>
      </c>
      <c r="F50" s="464">
        <f t="shared" ca="1" si="26"/>
        <v>-117990</v>
      </c>
      <c r="G50" s="464">
        <f t="shared" ca="1" si="26"/>
        <v>323279</v>
      </c>
      <c r="H50" s="464">
        <f t="shared" ca="1" si="26"/>
        <v>24673</v>
      </c>
      <c r="I50" s="464">
        <f ca="1">SUM(I48,I43,I34,I26)</f>
        <v>187431</v>
      </c>
      <c r="J50" s="464">
        <f t="shared" ca="1" si="26"/>
        <v>96486</v>
      </c>
      <c r="K50" s="464">
        <f t="shared" ca="1" si="26"/>
        <v>59119</v>
      </c>
      <c r="L50" s="464">
        <f t="shared" ca="1" si="26"/>
        <v>0</v>
      </c>
      <c r="M50" s="464">
        <f t="shared" ca="1" si="26"/>
        <v>99716</v>
      </c>
      <c r="N50" s="464">
        <f t="shared" ca="1" si="26"/>
        <v>80358</v>
      </c>
      <c r="O50" s="464">
        <f t="shared" ca="1" si="26"/>
        <v>128777</v>
      </c>
      <c r="P50" s="464">
        <f t="shared" ca="1" si="26"/>
        <v>69027</v>
      </c>
    </row>
    <row r="51" spans="1:16" ht="15" customHeight="1" x14ac:dyDescent="0.3">
      <c r="A51" s="458">
        <f t="shared" si="1"/>
        <v>46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customHeight="1" x14ac:dyDescent="0.3">
      <c r="A52" s="458">
        <f t="shared" si="1"/>
        <v>47</v>
      </c>
      <c r="B52" t="s">
        <v>113</v>
      </c>
      <c r="C52"/>
      <c r="D52" s="469">
        <f t="shared" ref="D52" ca="1" si="27">SUM(E52:P52)</f>
        <v>-71650.560000000056</v>
      </c>
      <c r="E52" s="469">
        <f t="shared" ref="E52:P52" ca="1" si="28">+E50-E71</f>
        <v>-5281.9499999999825</v>
      </c>
      <c r="F52" s="469">
        <f t="shared" ca="1" si="28"/>
        <v>7653.0900000000111</v>
      </c>
      <c r="G52" s="469">
        <f t="shared" ca="1" si="28"/>
        <v>-20524.830000000016</v>
      </c>
      <c r="H52" s="469">
        <f t="shared" ca="1" si="28"/>
        <v>-1417.4700000000012</v>
      </c>
      <c r="I52" s="469">
        <f t="shared" ca="1" si="28"/>
        <v>-11548.240000000049</v>
      </c>
      <c r="J52" s="469">
        <f t="shared" ca="1" si="28"/>
        <v>-6013.9000000000087</v>
      </c>
      <c r="K52" s="469">
        <f t="shared" ca="1" si="28"/>
        <v>-3899.0400000000009</v>
      </c>
      <c r="L52" s="469">
        <f t="shared" ca="1" si="28"/>
        <v>0</v>
      </c>
      <c r="M52" s="469">
        <f t="shared" ca="1" si="28"/>
        <v>-8362.320000000007</v>
      </c>
      <c r="N52" s="469">
        <f t="shared" ca="1" si="28"/>
        <v>-5844.5199999999895</v>
      </c>
      <c r="O52" s="469">
        <f t="shared" ca="1" si="28"/>
        <v>-10701.570000000007</v>
      </c>
      <c r="P52" s="469">
        <f t="shared" ca="1" si="28"/>
        <v>-5709.8099999999977</v>
      </c>
    </row>
    <row r="53" spans="1:16" ht="15" customHeight="1" x14ac:dyDescent="0.3">
      <c r="A53" s="458">
        <f t="shared" si="1"/>
        <v>48</v>
      </c>
      <c r="B53"/>
      <c r="C53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</row>
    <row r="54" spans="1:16" ht="15" customHeight="1" x14ac:dyDescent="0.3">
      <c r="A54" s="458">
        <f t="shared" si="1"/>
        <v>49</v>
      </c>
      <c r="B54"/>
      <c r="C54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</row>
    <row r="55" spans="1:16" ht="15" customHeight="1" x14ac:dyDescent="0.3">
      <c r="A55" s="458">
        <f t="shared" si="1"/>
        <v>50</v>
      </c>
      <c r="B55" s="477" t="s">
        <v>58</v>
      </c>
      <c r="C55" t="s">
        <v>50</v>
      </c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</row>
    <row r="56" spans="1:16" ht="15" customHeight="1" x14ac:dyDescent="0.3">
      <c r="A56" s="458">
        <f t="shared" si="1"/>
        <v>51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customHeight="1" x14ac:dyDescent="0.3">
      <c r="A57" s="458">
        <f t="shared" si="1"/>
        <v>52</v>
      </c>
      <c r="B57"/>
      <c r="C57"/>
      <c r="D57" s="477" t="s">
        <v>114</v>
      </c>
      <c r="E57"/>
      <c r="F57"/>
      <c r="G57"/>
      <c r="H57"/>
      <c r="I57"/>
      <c r="J57"/>
      <c r="K57"/>
      <c r="L57"/>
      <c r="M57"/>
      <c r="N57"/>
      <c r="O57"/>
      <c r="P57"/>
    </row>
    <row r="58" spans="1:16" s="280" customFormat="1" ht="28.8" x14ac:dyDescent="0.3">
      <c r="A58" s="471">
        <f t="shared" si="1"/>
        <v>53</v>
      </c>
      <c r="B58" s="482" t="s">
        <v>115</v>
      </c>
      <c r="C58" s="482" t="s">
        <v>116</v>
      </c>
      <c r="D58" s="463" t="s">
        <v>439</v>
      </c>
      <c r="E58" s="463" t="s">
        <v>440</v>
      </c>
      <c r="F58" s="463" t="s">
        <v>441</v>
      </c>
      <c r="G58" s="463" t="s">
        <v>442</v>
      </c>
      <c r="H58" s="463" t="s">
        <v>443</v>
      </c>
      <c r="I58" s="463" t="s">
        <v>444</v>
      </c>
      <c r="J58" s="463" t="s">
        <v>445</v>
      </c>
      <c r="K58" s="463" t="s">
        <v>446</v>
      </c>
      <c r="L58" s="463" t="s">
        <v>447</v>
      </c>
      <c r="M58" s="463" t="s">
        <v>448</v>
      </c>
      <c r="N58" s="463" t="s">
        <v>449</v>
      </c>
      <c r="O58" s="463" t="s">
        <v>450</v>
      </c>
      <c r="P58" s="463" t="s">
        <v>451</v>
      </c>
    </row>
    <row r="59" spans="1:16" ht="15" customHeight="1" x14ac:dyDescent="0.3">
      <c r="A59" s="458">
        <f t="shared" si="1"/>
        <v>54</v>
      </c>
      <c r="B59" t="s">
        <v>117</v>
      </c>
      <c r="C59" t="s">
        <v>119</v>
      </c>
      <c r="D59" s="481">
        <v>8565.84</v>
      </c>
      <c r="E59" s="481">
        <v>713.82</v>
      </c>
      <c r="F59" s="481">
        <v>-713.82</v>
      </c>
      <c r="G59" s="481">
        <v>2141.46</v>
      </c>
      <c r="H59" s="481">
        <v>356.91</v>
      </c>
      <c r="I59" s="481">
        <v>1070.73</v>
      </c>
      <c r="J59" s="481">
        <v>713.82</v>
      </c>
      <c r="K59" s="481">
        <v>356.91</v>
      </c>
      <c r="L59" s="481"/>
      <c r="M59" s="481">
        <v>713.82</v>
      </c>
      <c r="N59" s="481">
        <v>1427.64</v>
      </c>
      <c r="O59" s="481">
        <v>1070.73</v>
      </c>
      <c r="P59" s="481">
        <v>713.82</v>
      </c>
    </row>
    <row r="60" spans="1:16" ht="15" customHeight="1" x14ac:dyDescent="0.3">
      <c r="A60" s="458">
        <f t="shared" si="1"/>
        <v>55</v>
      </c>
      <c r="B60" t="s">
        <v>120</v>
      </c>
      <c r="C60"/>
      <c r="D60" s="481">
        <v>8565.84</v>
      </c>
      <c r="E60" s="481">
        <v>713.82</v>
      </c>
      <c r="F60" s="481">
        <v>-713.82</v>
      </c>
      <c r="G60" s="481">
        <v>2141.46</v>
      </c>
      <c r="H60" s="481">
        <v>356.91</v>
      </c>
      <c r="I60" s="481">
        <v>1070.73</v>
      </c>
      <c r="J60" s="481">
        <v>713.82</v>
      </c>
      <c r="K60" s="481">
        <v>356.91</v>
      </c>
      <c r="L60" s="481"/>
      <c r="M60" s="481">
        <v>713.82</v>
      </c>
      <c r="N60" s="481">
        <v>1427.64</v>
      </c>
      <c r="O60" s="481">
        <v>1070.73</v>
      </c>
      <c r="P60" s="481">
        <v>713.82</v>
      </c>
    </row>
    <row r="61" spans="1:16" ht="15" customHeight="1" x14ac:dyDescent="0.3">
      <c r="A61" s="458">
        <f t="shared" si="1"/>
        <v>56</v>
      </c>
      <c r="B61" t="s">
        <v>127</v>
      </c>
      <c r="C61" t="s">
        <v>122</v>
      </c>
      <c r="D61" s="481">
        <v>0</v>
      </c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</row>
    <row r="62" spans="1:16" ht="15" customHeight="1" x14ac:dyDescent="0.3">
      <c r="A62" s="458">
        <f t="shared" si="1"/>
        <v>57</v>
      </c>
      <c r="B62"/>
      <c r="C62" t="s">
        <v>128</v>
      </c>
      <c r="D62" s="481">
        <v>489301.22</v>
      </c>
      <c r="E62" s="481">
        <v>59298.619999999995</v>
      </c>
      <c r="F62" s="481">
        <v>-86543.47</v>
      </c>
      <c r="G62" s="481">
        <v>227428.84</v>
      </c>
      <c r="H62" s="481">
        <v>18570.61</v>
      </c>
      <c r="I62" s="481">
        <v>131597.23000000001</v>
      </c>
      <c r="J62" s="481">
        <v>66557.47</v>
      </c>
      <c r="K62" s="481">
        <v>43371.21</v>
      </c>
      <c r="L62" s="481"/>
      <c r="M62" s="481">
        <v>10138.24</v>
      </c>
      <c r="N62" s="481">
        <v>18882.47</v>
      </c>
      <c r="O62" s="481"/>
      <c r="P62" s="481"/>
    </row>
    <row r="63" spans="1:16" ht="15" customHeight="1" x14ac:dyDescent="0.3">
      <c r="A63" s="458">
        <f t="shared" si="1"/>
        <v>58</v>
      </c>
      <c r="B63"/>
      <c r="C63" t="s">
        <v>454</v>
      </c>
      <c r="D63" s="481">
        <v>264245.09999999998</v>
      </c>
      <c r="E63" s="481"/>
      <c r="F63" s="481"/>
      <c r="G63" s="481"/>
      <c r="H63" s="481"/>
      <c r="I63" s="481"/>
      <c r="J63" s="481"/>
      <c r="K63" s="481"/>
      <c r="L63" s="481"/>
      <c r="M63" s="481">
        <v>65287.3</v>
      </c>
      <c r="N63" s="481">
        <v>44942.96</v>
      </c>
      <c r="O63" s="481">
        <v>100278.5</v>
      </c>
      <c r="P63" s="481">
        <v>53736.340000000004</v>
      </c>
    </row>
    <row r="64" spans="1:16" ht="15" customHeight="1" x14ac:dyDescent="0.3">
      <c r="A64" s="458">
        <f t="shared" si="1"/>
        <v>59</v>
      </c>
      <c r="B64" t="s">
        <v>129</v>
      </c>
      <c r="C64"/>
      <c r="D64" s="481">
        <v>753546.32</v>
      </c>
      <c r="E64" s="481">
        <v>59298.619999999995</v>
      </c>
      <c r="F64" s="481">
        <v>-86543.47</v>
      </c>
      <c r="G64" s="481">
        <v>227428.84</v>
      </c>
      <c r="H64" s="481">
        <v>18570.61</v>
      </c>
      <c r="I64" s="481">
        <v>131597.23000000001</v>
      </c>
      <c r="J64" s="481">
        <v>66557.47</v>
      </c>
      <c r="K64" s="481">
        <v>43371.21</v>
      </c>
      <c r="L64" s="481"/>
      <c r="M64" s="481">
        <v>75425.540000000008</v>
      </c>
      <c r="N64" s="481">
        <v>63825.43</v>
      </c>
      <c r="O64" s="481">
        <v>100278.5</v>
      </c>
      <c r="P64" s="481">
        <v>53736.340000000004</v>
      </c>
    </row>
    <row r="65" spans="1:16" ht="15" customHeight="1" x14ac:dyDescent="0.3">
      <c r="A65" s="458">
        <f t="shared" si="1"/>
        <v>60</v>
      </c>
      <c r="B65" t="s">
        <v>130</v>
      </c>
      <c r="C65" t="s">
        <v>132</v>
      </c>
      <c r="D65" s="481">
        <v>27755.4</v>
      </c>
      <c r="E65" s="481">
        <v>6210.43</v>
      </c>
      <c r="F65" s="481">
        <v>-20453.66</v>
      </c>
      <c r="G65" s="481">
        <v>20453.66</v>
      </c>
      <c r="H65" s="481"/>
      <c r="I65" s="481"/>
      <c r="J65" s="481"/>
      <c r="K65" s="481">
        <v>12171.57</v>
      </c>
      <c r="L65" s="481"/>
      <c r="M65" s="481">
        <v>4723.47</v>
      </c>
      <c r="N65" s="481">
        <v>4649.93</v>
      </c>
      <c r="O65" s="481"/>
      <c r="P65" s="481"/>
    </row>
    <row r="66" spans="1:16" ht="15" customHeight="1" x14ac:dyDescent="0.3">
      <c r="A66" s="458">
        <f t="shared" si="1"/>
        <v>61</v>
      </c>
      <c r="B66"/>
      <c r="C66" t="s">
        <v>455</v>
      </c>
      <c r="D66" s="481">
        <v>97626.140000000014</v>
      </c>
      <c r="E66" s="481"/>
      <c r="F66" s="481"/>
      <c r="G66" s="481"/>
      <c r="H66" s="481"/>
      <c r="I66" s="481"/>
      <c r="J66" s="481"/>
      <c r="K66" s="481"/>
      <c r="L66" s="481"/>
      <c r="M66" s="481">
        <v>26636.75</v>
      </c>
      <c r="N66" s="481">
        <v>13890.9</v>
      </c>
      <c r="O66" s="481">
        <v>37291.520000000004</v>
      </c>
      <c r="P66" s="481">
        <v>19806.97</v>
      </c>
    </row>
    <row r="67" spans="1:16" ht="15" customHeight="1" x14ac:dyDescent="0.3">
      <c r="A67" s="458">
        <f t="shared" si="1"/>
        <v>62</v>
      </c>
      <c r="B67"/>
      <c r="C67" t="s">
        <v>457</v>
      </c>
      <c r="D67" s="481">
        <v>212739.97</v>
      </c>
      <c r="E67" s="481">
        <v>22110.989999999998</v>
      </c>
      <c r="F67" s="481">
        <v>-17228.939999999999</v>
      </c>
      <c r="G67" s="481">
        <v>92088.74</v>
      </c>
      <c r="H67" s="481">
        <v>6974.35</v>
      </c>
      <c r="I67" s="481">
        <v>65516.639999999999</v>
      </c>
      <c r="J67" s="481">
        <v>34767.35</v>
      </c>
      <c r="K67" s="481">
        <v>6838.31</v>
      </c>
      <c r="L67" s="481"/>
      <c r="M67" s="481"/>
      <c r="N67" s="481">
        <v>1672.53</v>
      </c>
      <c r="O67" s="481"/>
      <c r="P67" s="481"/>
    </row>
    <row r="68" spans="1:16" ht="15" customHeight="1" x14ac:dyDescent="0.3">
      <c r="A68" s="458">
        <f t="shared" si="1"/>
        <v>63</v>
      </c>
      <c r="B68" t="s">
        <v>135</v>
      </c>
      <c r="C68"/>
      <c r="D68" s="481">
        <v>338121.51</v>
      </c>
      <c r="E68" s="481">
        <v>28321.42</v>
      </c>
      <c r="F68" s="481">
        <v>-37682.6</v>
      </c>
      <c r="G68" s="481">
        <v>112542.40000000001</v>
      </c>
      <c r="H68" s="481">
        <v>6974.35</v>
      </c>
      <c r="I68" s="481">
        <v>65516.639999999999</v>
      </c>
      <c r="J68" s="481">
        <v>34767.35</v>
      </c>
      <c r="K68" s="481">
        <v>19009.88</v>
      </c>
      <c r="L68" s="481"/>
      <c r="M68" s="481">
        <v>31360.22</v>
      </c>
      <c r="N68" s="481">
        <v>20213.36</v>
      </c>
      <c r="O68" s="481">
        <v>37291.520000000004</v>
      </c>
      <c r="P68" s="481">
        <v>19806.97</v>
      </c>
    </row>
    <row r="69" spans="1:16" ht="15" customHeight="1" x14ac:dyDescent="0.3">
      <c r="A69" s="458">
        <f t="shared" si="1"/>
        <v>64</v>
      </c>
      <c r="B69" t="s">
        <v>138</v>
      </c>
      <c r="C69" t="s">
        <v>139</v>
      </c>
      <c r="D69" s="481">
        <v>5873.8899999999994</v>
      </c>
      <c r="E69" s="481">
        <v>529.09</v>
      </c>
      <c r="F69" s="481">
        <v>-703.2</v>
      </c>
      <c r="G69" s="481">
        <v>1691.13</v>
      </c>
      <c r="H69" s="481">
        <v>188.6</v>
      </c>
      <c r="I69" s="481">
        <v>794.6400000000001</v>
      </c>
      <c r="J69" s="481">
        <v>461.26</v>
      </c>
      <c r="K69" s="481">
        <v>280.04000000000002</v>
      </c>
      <c r="L69" s="481"/>
      <c r="M69" s="481">
        <v>578.74</v>
      </c>
      <c r="N69" s="481">
        <v>736.09</v>
      </c>
      <c r="O69" s="481">
        <v>837.82</v>
      </c>
      <c r="P69" s="481">
        <v>479.68</v>
      </c>
    </row>
    <row r="70" spans="1:16" ht="15" customHeight="1" x14ac:dyDescent="0.3">
      <c r="A70" s="458">
        <f t="shared" si="1"/>
        <v>65</v>
      </c>
      <c r="B70" t="s">
        <v>140</v>
      </c>
      <c r="C70"/>
      <c r="D70" s="481">
        <v>5873.8899999999994</v>
      </c>
      <c r="E70" s="481">
        <v>529.09</v>
      </c>
      <c r="F70" s="481">
        <v>-703.2</v>
      </c>
      <c r="G70" s="481">
        <v>1691.13</v>
      </c>
      <c r="H70" s="481">
        <v>188.6</v>
      </c>
      <c r="I70" s="481">
        <v>794.6400000000001</v>
      </c>
      <c r="J70" s="481">
        <v>461.26</v>
      </c>
      <c r="K70" s="481">
        <v>280.04000000000002</v>
      </c>
      <c r="L70" s="481"/>
      <c r="M70" s="481">
        <v>578.74</v>
      </c>
      <c r="N70" s="481">
        <v>736.09</v>
      </c>
      <c r="O70" s="481">
        <v>837.82</v>
      </c>
      <c r="P70" s="481">
        <v>479.68</v>
      </c>
    </row>
    <row r="71" spans="1:16" ht="15" customHeight="1" x14ac:dyDescent="0.3">
      <c r="A71" s="458">
        <f t="shared" si="1"/>
        <v>66</v>
      </c>
      <c r="B71" t="s">
        <v>40</v>
      </c>
      <c r="C71"/>
      <c r="D71" s="481">
        <v>1106107.5599999998</v>
      </c>
      <c r="E71" s="481">
        <v>88862.949999999983</v>
      </c>
      <c r="F71" s="481">
        <v>-125643.09000000001</v>
      </c>
      <c r="G71" s="481">
        <v>343803.83</v>
      </c>
      <c r="H71" s="481">
        <v>26090.47</v>
      </c>
      <c r="I71" s="481">
        <v>198979.24000000005</v>
      </c>
      <c r="J71" s="481">
        <v>102499.90000000001</v>
      </c>
      <c r="K71" s="481">
        <v>63018.04</v>
      </c>
      <c r="L71" s="481"/>
      <c r="M71" s="481">
        <v>108078.32</v>
      </c>
      <c r="N71" s="481">
        <v>86202.51999999999</v>
      </c>
      <c r="O71" s="481">
        <v>139478.57</v>
      </c>
      <c r="P71" s="481">
        <v>74736.81</v>
      </c>
    </row>
    <row r="72" spans="1:16" ht="15" customHeigh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customHeigh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customHeigh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customHeigh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customHeight="1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customHeight="1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customHeight="1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customHeigh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customHeigh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customHeight="1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customHeight="1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customHeight="1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customHeight="1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customHeight="1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customHeight="1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customHeigh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customHeigh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customHeigh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customHeight="1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customHeigh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customHeight="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customHeigh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39" fitToHeight="2" orientation="landscape" r:id="rId2"/>
  <headerFooter>
    <oddFooter>&amp;L&amp;F
&amp;A&amp;RPage &amp;N of &amp;N</oddFooter>
  </headerFooter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zoomScale="90" zoomScaleNormal="90" workbookViewId="0">
      <pane xSplit="4" ySplit="5" topLeftCell="E201" activePane="bottomRight" state="frozen"/>
      <selection activeCell="C61" sqref="C61"/>
      <selection pane="topRight" activeCell="C61" sqref="C61"/>
      <selection pane="bottomLeft" activeCell="C61" sqref="C61"/>
      <selection pane="bottomRight" activeCell="W35" sqref="W35"/>
    </sheetView>
  </sheetViews>
  <sheetFormatPr defaultColWidth="3.6640625" defaultRowHeight="14.4" x14ac:dyDescent="0.3"/>
  <cols>
    <col min="1" max="1" width="4.6640625" style="274" bestFit="1" customWidth="1"/>
    <col min="2" max="2" width="37.33203125" style="274" bestFit="1" customWidth="1"/>
    <col min="3" max="3" width="15.88671875" style="274" customWidth="1"/>
    <col min="4" max="4" width="16.88671875" style="274" customWidth="1"/>
    <col min="5" max="16" width="13.109375" style="274" customWidth="1"/>
    <col min="17" max="17" width="10.6640625" style="274" bestFit="1" customWidth="1"/>
    <col min="18" max="16384" width="3.6640625" style="274"/>
  </cols>
  <sheetData>
    <row r="1" spans="1:16" ht="15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tr">
        <f>+B5</f>
        <v>Proforma Schedule 31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39" x14ac:dyDescent="0.25">
      <c r="A5" s="278" t="s">
        <v>16</v>
      </c>
      <c r="B5" s="279" t="s">
        <v>489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x14ac:dyDescent="0.25">
      <c r="A6" s="458">
        <v>1</v>
      </c>
      <c r="B6" t="s">
        <v>21</v>
      </c>
      <c r="C6"/>
      <c r="D6" s="459">
        <f>SUM(E6:P6)</f>
        <v>5854</v>
      </c>
      <c r="E6" s="459">
        <f>ROUND(+E71/$C$71+E72/$C$72,0)</f>
        <v>484</v>
      </c>
      <c r="F6" s="459">
        <f t="shared" ref="F6:P6" si="0">ROUND(+F71/$C$71+F72/$C$72,0)</f>
        <v>467</v>
      </c>
      <c r="G6" s="459">
        <f t="shared" si="0"/>
        <v>507</v>
      </c>
      <c r="H6" s="459">
        <f t="shared" si="0"/>
        <v>458</v>
      </c>
      <c r="I6" s="459">
        <f t="shared" si="0"/>
        <v>509</v>
      </c>
      <c r="J6" s="459">
        <f t="shared" si="0"/>
        <v>464</v>
      </c>
      <c r="K6" s="459">
        <f t="shared" si="0"/>
        <v>467</v>
      </c>
      <c r="L6" s="459">
        <f t="shared" si="0"/>
        <v>455</v>
      </c>
      <c r="M6" s="459">
        <f t="shared" si="0"/>
        <v>488</v>
      </c>
      <c r="N6" s="459">
        <f t="shared" si="0"/>
        <v>460</v>
      </c>
      <c r="O6" s="459">
        <f t="shared" si="0"/>
        <v>595</v>
      </c>
      <c r="P6" s="459">
        <f t="shared" si="0"/>
        <v>500</v>
      </c>
    </row>
    <row r="7" spans="1:16" ht="15" x14ac:dyDescent="0.25">
      <c r="A7" s="458">
        <f t="shared" ref="A7:A70" si="1">+A6+1</f>
        <v>2</v>
      </c>
      <c r="B7" t="s">
        <v>73</v>
      </c>
      <c r="C7"/>
      <c r="D7" s="459">
        <f t="shared" ref="D7" ca="1" si="2">SUM(E7:P7)</f>
        <v>0</v>
      </c>
      <c r="E7" s="459">
        <f ca="1">+'[60]Sch 31 Prof Sch40 Rev Adj'!E4</f>
        <v>0</v>
      </c>
      <c r="F7" s="459">
        <f ca="1">+'[60]Sch 31 Prof Sch40 Rev Adj'!F4</f>
        <v>0</v>
      </c>
      <c r="G7" s="459">
        <f ca="1">+'[60]Sch 31 Prof Sch40 Rev Adj'!G4</f>
        <v>0</v>
      </c>
      <c r="H7" s="459">
        <f ca="1">+'[60]Sch 31 Prof Sch40 Rev Adj'!H4</f>
        <v>0</v>
      </c>
      <c r="I7" s="459">
        <f ca="1">+'[60]Sch 31 Prof Sch40 Rev Adj'!I4</f>
        <v>0</v>
      </c>
      <c r="J7" s="459">
        <f ca="1">+'[60]Sch 31 Prof Sch40 Rev Adj'!J4</f>
        <v>0</v>
      </c>
      <c r="K7" s="459">
        <f ca="1">+'[60]Sch 31 Prof Sch40 Rev Adj'!K4</f>
        <v>0</v>
      </c>
      <c r="L7" s="459">
        <f ca="1">+'[60]Sch 31 Prof Sch40 Rev Adj'!L4</f>
        <v>0</v>
      </c>
      <c r="M7" s="459">
        <f ca="1">+'[60]Sch 31 Prof Sch40 Rev Adj'!M4</f>
        <v>0</v>
      </c>
      <c r="N7" s="459">
        <f ca="1">+'[60]Sch 31 Prof Sch40 Rev Adj'!N4</f>
        <v>0</v>
      </c>
      <c r="O7" s="459">
        <f ca="1">+'[60]Sch 31 Prof Sch40 Rev Adj'!O4</f>
        <v>0</v>
      </c>
      <c r="P7" s="459">
        <f ca="1">+'[60]Sch 31 Prof Sch40 Rev Adj'!P4</f>
        <v>0</v>
      </c>
    </row>
    <row r="8" spans="1:16" ht="15" x14ac:dyDescent="0.25">
      <c r="A8" s="458">
        <f t="shared" si="1"/>
        <v>3</v>
      </c>
      <c r="B8" s="465" t="s">
        <v>142</v>
      </c>
      <c r="C8"/>
      <c r="D8" s="459">
        <f ca="1">SUM(D6:D7)</f>
        <v>5854</v>
      </c>
      <c r="E8" s="459">
        <f t="shared" ref="E8:P8" ca="1" si="3">SUM(E6:E7)</f>
        <v>484</v>
      </c>
      <c r="F8" s="459">
        <f t="shared" ca="1" si="3"/>
        <v>467</v>
      </c>
      <c r="G8" s="459">
        <f t="shared" ca="1" si="3"/>
        <v>507</v>
      </c>
      <c r="H8" s="459">
        <f t="shared" ca="1" si="3"/>
        <v>458</v>
      </c>
      <c r="I8" s="459">
        <f t="shared" ca="1" si="3"/>
        <v>509</v>
      </c>
      <c r="J8" s="459">
        <f t="shared" ca="1" si="3"/>
        <v>464</v>
      </c>
      <c r="K8" s="459">
        <f t="shared" ca="1" si="3"/>
        <v>467</v>
      </c>
      <c r="L8" s="459">
        <f t="shared" ca="1" si="3"/>
        <v>455</v>
      </c>
      <c r="M8" s="459">
        <f t="shared" ca="1" si="3"/>
        <v>488</v>
      </c>
      <c r="N8" s="459">
        <f t="shared" ca="1" si="3"/>
        <v>460</v>
      </c>
      <c r="O8" s="459">
        <f t="shared" ca="1" si="3"/>
        <v>595</v>
      </c>
      <c r="P8" s="459">
        <f t="shared" ca="1" si="3"/>
        <v>500</v>
      </c>
    </row>
    <row r="9" spans="1:16" ht="15" x14ac:dyDescent="0.25">
      <c r="A9" s="458">
        <f t="shared" si="1"/>
        <v>4</v>
      </c>
      <c r="B9"/>
      <c r="C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</row>
    <row r="10" spans="1:16" ht="15" x14ac:dyDescent="0.25">
      <c r="A10" s="458">
        <f t="shared" si="1"/>
        <v>5</v>
      </c>
      <c r="B10" t="s">
        <v>75</v>
      </c>
      <c r="C10"/>
      <c r="D10" s="459"/>
      <c r="E10" s="459">
        <f ca="1">+E58</f>
        <v>0.47999998927116394</v>
      </c>
      <c r="F10" s="459">
        <f t="shared" ref="F10:P10" ca="1" si="4">+F58</f>
        <v>-0.10899999737739563</v>
      </c>
      <c r="G10" s="459">
        <f t="shared" ca="1" si="4"/>
        <v>-8.7999999523162842E-2</v>
      </c>
      <c r="H10" s="459">
        <f t="shared" ca="1" si="4"/>
        <v>0.12299999594688416</v>
      </c>
      <c r="I10" s="459">
        <f t="shared" ca="1" si="4"/>
        <v>-0.25599999725818634</v>
      </c>
      <c r="J10" s="459">
        <f t="shared" ca="1" si="4"/>
        <v>0.24500000476837158</v>
      </c>
      <c r="K10" s="459">
        <f t="shared" ca="1" si="4"/>
        <v>-0.43400000035762787</v>
      </c>
      <c r="L10" s="459">
        <f t="shared" ca="1" si="4"/>
        <v>-0.44900000095367432</v>
      </c>
      <c r="M10" s="459">
        <f t="shared" ca="1" si="4"/>
        <v>0.40399999916553497</v>
      </c>
      <c r="N10" s="459">
        <f t="shared" ca="1" si="4"/>
        <v>8.5000008344650269E-2</v>
      </c>
      <c r="O10" s="459">
        <f t="shared" ca="1" si="4"/>
        <v>0.335999995470047</v>
      </c>
      <c r="P10" s="459">
        <f t="shared" ca="1" si="4"/>
        <v>1.6580000072717667</v>
      </c>
    </row>
    <row r="11" spans="1:16" ht="15" x14ac:dyDescent="0.25">
      <c r="A11" s="458">
        <f t="shared" si="1"/>
        <v>6</v>
      </c>
      <c r="B11" s="460" t="s">
        <v>76</v>
      </c>
      <c r="C11"/>
      <c r="D11" s="459">
        <f>SUM(E11:P11)</f>
        <v>1298591685</v>
      </c>
      <c r="E11" s="459">
        <f>ROUND(+E74/$C$74+E75/$C$75+E76/$C$76+E77/$C$77+E78/$C$78+E79/$C$79,0)</f>
        <v>109053868</v>
      </c>
      <c r="F11" s="459">
        <f>ROUND(+F74/$C$74+F75/$C$75+F76/$C$76+F77/$C$77+F78/$C$78+F79/$C$79,0)+1</f>
        <v>93118408</v>
      </c>
      <c r="G11" s="459">
        <f t="shared" ref="G11:P11" si="5">ROUND(+G74/$C$74+G75/$C$75+G76/$C$76+G77/$C$77+G78/$C$78+G79/$C$79,0)</f>
        <v>124261477</v>
      </c>
      <c r="H11" s="459">
        <f>ROUND(+H74/$C$74+H75/$C$75+H76/$C$76+H77/$C$77+H78/$C$78+H79/$C$79,0)-1</f>
        <v>99517419</v>
      </c>
      <c r="I11" s="459">
        <f t="shared" si="5"/>
        <v>117569070</v>
      </c>
      <c r="J11" s="459">
        <f t="shared" si="5"/>
        <v>106099439</v>
      </c>
      <c r="K11" s="459">
        <f t="shared" si="5"/>
        <v>92950178</v>
      </c>
      <c r="L11" s="459">
        <f t="shared" si="5"/>
        <v>94591911</v>
      </c>
      <c r="M11" s="459">
        <f>ROUND(+M74/$C$74+M75/$C$75+M76/$C$76+M77/$C$77+M78/$C$78+M79/$C$79,0)+1</f>
        <v>107946737</v>
      </c>
      <c r="N11" s="459">
        <f>ROUND(+N74/$C$74+N75/$C$75+N76/$C$76+N77/$C$77+N78/$C$78+N79/$C$79,0)-1</f>
        <v>98942736</v>
      </c>
      <c r="O11" s="459">
        <f>ROUND(+O74/$C$74+O75/$C$75+O76/$C$76+O77/$C$77+O78/$C$78+O79/$C$79,0)+1</f>
        <v>144891320</v>
      </c>
      <c r="P11" s="459">
        <f t="shared" si="5"/>
        <v>109649122</v>
      </c>
    </row>
    <row r="12" spans="1:16" ht="15" x14ac:dyDescent="0.25">
      <c r="A12" s="458">
        <f t="shared" si="1"/>
        <v>7</v>
      </c>
      <c r="B12" s="460" t="s">
        <v>96</v>
      </c>
      <c r="C12"/>
      <c r="D12" s="459">
        <f ca="1">SUM(E12:P12)</f>
        <v>0</v>
      </c>
      <c r="E12" s="459">
        <f ca="1">+'[60]Sch 31 Prof Sch40 Rev Adj'!E10</f>
        <v>0</v>
      </c>
      <c r="F12" s="459">
        <f ca="1">+'[60]Sch 31 Prof Sch40 Rev Adj'!F10</f>
        <v>0</v>
      </c>
      <c r="G12" s="459">
        <f ca="1">+'[60]Sch 31 Prof Sch40 Rev Adj'!G10</f>
        <v>0</v>
      </c>
      <c r="H12" s="459">
        <f ca="1">+'[60]Sch 31 Prof Sch40 Rev Adj'!H10</f>
        <v>0</v>
      </c>
      <c r="I12" s="459">
        <f ca="1">+'[60]Sch 31 Prof Sch40 Rev Adj'!I10</f>
        <v>0</v>
      </c>
      <c r="J12" s="459">
        <f ca="1">+'[60]Sch 31 Prof Sch40 Rev Adj'!J10</f>
        <v>0</v>
      </c>
      <c r="K12" s="459">
        <f ca="1">+'[60]Sch 31 Prof Sch40 Rev Adj'!K10</f>
        <v>0</v>
      </c>
      <c r="L12" s="459">
        <f ca="1">+'[60]Sch 31 Prof Sch40 Rev Adj'!L10</f>
        <v>0</v>
      </c>
      <c r="M12" s="459">
        <f ca="1">+'[60]Sch 31 Prof Sch40 Rev Adj'!M10</f>
        <v>0</v>
      </c>
      <c r="N12" s="459">
        <f ca="1">+'[60]Sch 31 Prof Sch40 Rev Adj'!N10</f>
        <v>0</v>
      </c>
      <c r="O12" s="459">
        <f ca="1">+'[60]Sch 31 Prof Sch40 Rev Adj'!O10</f>
        <v>0</v>
      </c>
      <c r="P12" s="459">
        <f ca="1">+'[60]Sch 31 Prof Sch40 Rev Adj'!P10</f>
        <v>0</v>
      </c>
    </row>
    <row r="13" spans="1:16" ht="15" x14ac:dyDescent="0.25">
      <c r="A13" s="458">
        <f t="shared" si="1"/>
        <v>8</v>
      </c>
      <c r="B13" s="461" t="s">
        <v>79</v>
      </c>
      <c r="C13"/>
      <c r="D13" s="459">
        <f t="shared" ref="D13:D14" ca="1" si="6">SUM(E13:P13)</f>
        <v>-15147343.245038178</v>
      </c>
      <c r="E13" s="459">
        <f ca="1">+'[59]Change in Unbilled kWh'!O85</f>
        <v>-2567592.990401349</v>
      </c>
      <c r="F13" s="459">
        <f ca="1">+'[59]Change in Unbilled kWh'!P85</f>
        <v>10862127.79738168</v>
      </c>
      <c r="G13" s="459">
        <f ca="1">+'[59]Change in Unbilled kWh'!Q85</f>
        <v>-11495872.583449567</v>
      </c>
      <c r="H13" s="459">
        <f ca="1">+'[59]Change in Unbilled kWh'!F85</f>
        <v>4840444.8797686379</v>
      </c>
      <c r="I13" s="459">
        <f ca="1">+'[59]Change in Unbilled kWh'!G85</f>
        <v>-5621683.1051861122</v>
      </c>
      <c r="J13" s="459">
        <f ca="1">+'[59]Change in Unbilled kWh'!H85</f>
        <v>-251583.01040536817</v>
      </c>
      <c r="K13" s="459">
        <f ca="1">+'[59]Change in Unbilled kWh'!I85</f>
        <v>2448319.2610121556</v>
      </c>
      <c r="L13" s="459">
        <f ca="1">+'[59]Change in Unbilled kWh'!J85</f>
        <v>-5941642.7565214206</v>
      </c>
      <c r="M13" s="459">
        <f ca="1">+'[59]Change in Unbilled kWh'!K85</f>
        <v>8361320.7438094094</v>
      </c>
      <c r="N13" s="459">
        <f ca="1">+'[59]Change in Unbilled kWh'!L85</f>
        <v>12368130.530093901</v>
      </c>
      <c r="O13" s="459">
        <f ca="1">+'[59]Change in Unbilled kWh'!M85</f>
        <v>-28551275.393078938</v>
      </c>
      <c r="P13" s="459">
        <f ca="1">+'[59]Change in Unbilled kWh'!N85</f>
        <v>401963.38193879277</v>
      </c>
    </row>
    <row r="14" spans="1:16" ht="15" x14ac:dyDescent="0.25">
      <c r="A14" s="458">
        <f t="shared" si="1"/>
        <v>9</v>
      </c>
      <c r="B14" s="461" t="s">
        <v>80</v>
      </c>
      <c r="C14"/>
      <c r="D14" s="459">
        <f t="shared" ca="1" si="6"/>
        <v>957232.70373482059</v>
      </c>
      <c r="E14" s="483">
        <f ca="1">+'[59]Temperature Adj'!L29</f>
        <v>78780.35178826013</v>
      </c>
      <c r="F14" s="483">
        <f ca="1">+'[59]Temperature Adj'!M29</f>
        <v>-456073.88833467982</v>
      </c>
      <c r="G14" s="483">
        <f ca="1">+'[59]Temperature Adj'!N29</f>
        <v>446741.22748542775</v>
      </c>
      <c r="H14" s="483">
        <f ca="1">+'[59]Temperature Adj'!C29</f>
        <v>488668.50670832384</v>
      </c>
      <c r="I14" s="483">
        <f ca="1">+'[59]Temperature Adj'!D29</f>
        <v>852094.39585394401</v>
      </c>
      <c r="J14" s="483">
        <f ca="1">+'[59]Temperature Adj'!E29</f>
        <v>387277.2240582158</v>
      </c>
      <c r="K14" s="483">
        <f ca="1">+'[59]Temperature Adj'!F29</f>
        <v>168295.94810319183</v>
      </c>
      <c r="L14" s="483">
        <f ca="1">+'[59]Temperature Adj'!G29</f>
        <v>19932.671785689305</v>
      </c>
      <c r="M14" s="483">
        <f ca="1">+'[59]Temperature Adj'!H29</f>
        <v>-317290.26320523722</v>
      </c>
      <c r="N14" s="483">
        <f ca="1">+'[59]Temperature Adj'!I29</f>
        <v>-61033.767155856884</v>
      </c>
      <c r="O14" s="483">
        <f ca="1">+'[59]Temperature Adj'!J29</f>
        <v>-817043.29791386984</v>
      </c>
      <c r="P14" s="483">
        <f ca="1">+'[59]Temperature Adj'!K29</f>
        <v>166883.59456141185</v>
      </c>
    </row>
    <row r="15" spans="1:16" ht="15" x14ac:dyDescent="0.25">
      <c r="A15" s="458">
        <f t="shared" si="1"/>
        <v>10</v>
      </c>
      <c r="B15" s="460" t="s">
        <v>57</v>
      </c>
      <c r="C15"/>
      <c r="D15" s="459">
        <f t="shared" ref="D15:P15" ca="1" si="7">SUM(D11:D14)</f>
        <v>1284401574.4586966</v>
      </c>
      <c r="E15" s="459">
        <f t="shared" ca="1" si="7"/>
        <v>106565055.36138692</v>
      </c>
      <c r="F15" s="459">
        <f t="shared" ca="1" si="7"/>
        <v>103524461.90904701</v>
      </c>
      <c r="G15" s="459">
        <f t="shared" ca="1" si="7"/>
        <v>113212345.64403586</v>
      </c>
      <c r="H15" s="459">
        <f t="shared" ca="1" si="7"/>
        <v>104846532.38647696</v>
      </c>
      <c r="I15" s="459">
        <f t="shared" ca="1" si="7"/>
        <v>112799481.29066783</v>
      </c>
      <c r="J15" s="459">
        <f t="shared" ca="1" si="7"/>
        <v>106235133.21365285</v>
      </c>
      <c r="K15" s="459">
        <f t="shared" ca="1" si="7"/>
        <v>95566793.209115341</v>
      </c>
      <c r="L15" s="459">
        <f t="shared" ca="1" si="7"/>
        <v>88670200.915264264</v>
      </c>
      <c r="M15" s="459">
        <f t="shared" ca="1" si="7"/>
        <v>115990767.48060417</v>
      </c>
      <c r="N15" s="459">
        <f t="shared" ca="1" si="7"/>
        <v>111249832.76293805</v>
      </c>
      <c r="O15" s="459">
        <f t="shared" ca="1" si="7"/>
        <v>115523001.3090072</v>
      </c>
      <c r="P15" s="459">
        <f t="shared" ca="1" si="7"/>
        <v>110217968.9765002</v>
      </c>
    </row>
    <row r="16" spans="1:16" ht="15" x14ac:dyDescent="0.25">
      <c r="A16" s="458">
        <f t="shared" si="1"/>
        <v>11</v>
      </c>
      <c r="B16" s="460"/>
      <c r="C16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</row>
    <row r="17" spans="1:16" ht="15" x14ac:dyDescent="0.25">
      <c r="A17" s="458">
        <f t="shared" si="1"/>
        <v>12</v>
      </c>
      <c r="B17" s="310" t="s">
        <v>81</v>
      </c>
      <c r="C17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</row>
    <row r="18" spans="1:16" ht="15" x14ac:dyDescent="0.25">
      <c r="A18" s="458">
        <f t="shared" si="1"/>
        <v>13</v>
      </c>
      <c r="B18" s="460" t="s">
        <v>82</v>
      </c>
      <c r="C18"/>
      <c r="D18" s="459">
        <f>SUM(E18:P18)</f>
        <v>1595334</v>
      </c>
      <c r="E18" s="459">
        <f>ROUND(+E90/$C90+E91/$C91+E92/$C92+D106/$C106,0)</f>
        <v>93146</v>
      </c>
      <c r="F18" s="459">
        <f t="shared" ref="F18:P18" si="8">ROUND(+F90/$C90+F91/$C91+F92/$C92+E106/$C106,0)</f>
        <v>228278</v>
      </c>
      <c r="G18" s="459">
        <f t="shared" si="8"/>
        <v>296963</v>
      </c>
      <c r="H18" s="459">
        <f t="shared" si="8"/>
        <v>240144</v>
      </c>
      <c r="I18" s="459">
        <f t="shared" si="8"/>
        <v>285610</v>
      </c>
      <c r="J18" s="459">
        <f t="shared" si="8"/>
        <v>254669</v>
      </c>
      <c r="K18" s="459">
        <f t="shared" si="8"/>
        <v>160188</v>
      </c>
      <c r="L18" s="459">
        <f t="shared" si="8"/>
        <v>31637</v>
      </c>
      <c r="M18" s="459">
        <f t="shared" si="8"/>
        <v>3898</v>
      </c>
      <c r="N18" s="459">
        <f t="shared" si="8"/>
        <v>247</v>
      </c>
      <c r="O18" s="459">
        <f t="shared" si="8"/>
        <v>554</v>
      </c>
      <c r="P18" s="459">
        <f t="shared" si="8"/>
        <v>0</v>
      </c>
    </row>
    <row r="19" spans="1:16" ht="15" x14ac:dyDescent="0.25">
      <c r="A19" s="458">
        <f t="shared" si="1"/>
        <v>14</v>
      </c>
      <c r="B19" s="460" t="s">
        <v>83</v>
      </c>
      <c r="C19"/>
      <c r="D19" s="459">
        <f ca="1">SUM(E19:P19)</f>
        <v>0</v>
      </c>
      <c r="E19" s="459">
        <f ca="1">+'[60]Sch 31 Prof Sch40 Rev Adj'!E13</f>
        <v>0</v>
      </c>
      <c r="F19" s="459">
        <f ca="1">+'[60]Sch 31 Prof Sch40 Rev Adj'!F13</f>
        <v>0</v>
      </c>
      <c r="G19" s="459">
        <f ca="1">+'[60]Sch 31 Prof Sch40 Rev Adj'!G13</f>
        <v>0</v>
      </c>
      <c r="H19" s="459">
        <f ca="1">+'[60]Sch 31 Prof Sch40 Rev Adj'!H13</f>
        <v>0</v>
      </c>
      <c r="I19" s="459">
        <f ca="1">+'[60]Sch 31 Prof Sch40 Rev Adj'!I13</f>
        <v>0</v>
      </c>
      <c r="J19" s="459">
        <f ca="1">+'[60]Sch 31 Prof Sch40 Rev Adj'!J13</f>
        <v>0</v>
      </c>
      <c r="K19" s="459">
        <f ca="1">+'[60]Sch 31 Prof Sch40 Rev Adj'!K13</f>
        <v>0</v>
      </c>
      <c r="L19" s="459">
        <f ca="1">+'[60]Sch 31 Prof Sch40 Rev Adj'!L13</f>
        <v>0</v>
      </c>
      <c r="M19" s="459">
        <f ca="1">+'[60]Sch 31 Prof Sch40 Rev Adj'!M13</f>
        <v>0</v>
      </c>
      <c r="N19" s="459">
        <f ca="1">+'[60]Sch 31 Prof Sch40 Rev Adj'!N13</f>
        <v>0</v>
      </c>
      <c r="O19" s="459">
        <f ca="1">+'[60]Sch 31 Prof Sch40 Rev Adj'!O13</f>
        <v>0</v>
      </c>
      <c r="P19" s="459">
        <f ca="1">+'[60]Sch 31 Prof Sch40 Rev Adj'!P13</f>
        <v>0</v>
      </c>
    </row>
    <row r="20" spans="1:16" ht="15" x14ac:dyDescent="0.25">
      <c r="A20" s="458">
        <f t="shared" si="1"/>
        <v>15</v>
      </c>
      <c r="B20" s="460" t="s">
        <v>85</v>
      </c>
      <c r="C20"/>
      <c r="D20" s="459">
        <f>SUM(E20:P20)</f>
        <v>1682286</v>
      </c>
      <c r="E20" s="459">
        <f>ROUND(+E82/$C82+E83/$C83+E84/$C84+E85/$C85+E86/$C86+E87/$C87+E88/$C88+E89/$C89+E81/$C81+D104/$C104+D105/$C105,0)</f>
        <v>183974</v>
      </c>
      <c r="F20" s="459">
        <f t="shared" ref="F20:P20" si="9">ROUND(+F82/$C82+F83/$C83+F84/$C84+F85/$C85+F86/$C86+F87/$C87+F88/$C88+F89/$C89+F81/$C81+E104/$C104+E105/$C105,0)</f>
        <v>8949</v>
      </c>
      <c r="G20" s="459">
        <f t="shared" si="9"/>
        <v>6176</v>
      </c>
      <c r="H20" s="459">
        <f t="shared" si="9"/>
        <v>1</v>
      </c>
      <c r="I20" s="459">
        <f t="shared" si="9"/>
        <v>0</v>
      </c>
      <c r="J20" s="459">
        <f t="shared" si="9"/>
        <v>0</v>
      </c>
      <c r="K20" s="459">
        <f t="shared" si="9"/>
        <v>77145</v>
      </c>
      <c r="L20" s="459">
        <f t="shared" si="9"/>
        <v>222095</v>
      </c>
      <c r="M20" s="459">
        <f t="shared" si="9"/>
        <v>276947</v>
      </c>
      <c r="N20" s="459">
        <f t="shared" si="9"/>
        <v>261017</v>
      </c>
      <c r="O20" s="459">
        <f t="shared" si="9"/>
        <v>356282</v>
      </c>
      <c r="P20" s="459">
        <f t="shared" si="9"/>
        <v>289700</v>
      </c>
    </row>
    <row r="21" spans="1:16" ht="15" x14ac:dyDescent="0.25">
      <c r="A21" s="458">
        <f t="shared" si="1"/>
        <v>16</v>
      </c>
      <c r="B21" s="460" t="s">
        <v>102</v>
      </c>
      <c r="C21"/>
      <c r="D21" s="459">
        <f ca="1">SUM(E21:P21)</f>
        <v>0</v>
      </c>
      <c r="E21" s="459">
        <f ca="1">+'[60]Sch 31 Prof Sch40 Rev Adj'!E14</f>
        <v>0</v>
      </c>
      <c r="F21" s="459">
        <f ca="1">+'[60]Sch 31 Prof Sch40 Rev Adj'!F14</f>
        <v>0</v>
      </c>
      <c r="G21" s="459">
        <f ca="1">+'[60]Sch 31 Prof Sch40 Rev Adj'!G14</f>
        <v>0</v>
      </c>
      <c r="H21" s="459">
        <f ca="1">+'[60]Sch 31 Prof Sch40 Rev Adj'!H14</f>
        <v>0</v>
      </c>
      <c r="I21" s="459">
        <f ca="1">+'[60]Sch 31 Prof Sch40 Rev Adj'!I14</f>
        <v>0</v>
      </c>
      <c r="J21" s="459">
        <f ca="1">+'[60]Sch 31 Prof Sch40 Rev Adj'!J14</f>
        <v>0</v>
      </c>
      <c r="K21" s="459">
        <f ca="1">+'[60]Sch 31 Prof Sch40 Rev Adj'!K14</f>
        <v>0</v>
      </c>
      <c r="L21" s="459">
        <f ca="1">+'[60]Sch 31 Prof Sch40 Rev Adj'!L14</f>
        <v>0</v>
      </c>
      <c r="M21" s="459">
        <f ca="1">+'[60]Sch 31 Prof Sch40 Rev Adj'!M14</f>
        <v>0</v>
      </c>
      <c r="N21" s="459">
        <f ca="1">+'[60]Sch 31 Prof Sch40 Rev Adj'!N14</f>
        <v>0</v>
      </c>
      <c r="O21" s="459">
        <f ca="1">+'[60]Sch 31 Prof Sch40 Rev Adj'!O14</f>
        <v>0</v>
      </c>
      <c r="P21" s="459">
        <f ca="1">+'[60]Sch 31 Prof Sch40 Rev Adj'!P14</f>
        <v>0</v>
      </c>
    </row>
    <row r="22" spans="1:16" ht="15" x14ac:dyDescent="0.25">
      <c r="A22" s="458">
        <f t="shared" si="1"/>
        <v>17</v>
      </c>
      <c r="B22" s="461" t="s">
        <v>143</v>
      </c>
      <c r="C22"/>
      <c r="D22" s="459">
        <f ca="1">SUM(D18:D21)</f>
        <v>3277620</v>
      </c>
      <c r="E22" s="459">
        <f t="shared" ref="E22:P22" ca="1" si="10">SUM(E18:E21)</f>
        <v>277120</v>
      </c>
      <c r="F22" s="459">
        <f t="shared" ca="1" si="10"/>
        <v>237227</v>
      </c>
      <c r="G22" s="459">
        <f t="shared" ca="1" si="10"/>
        <v>303139</v>
      </c>
      <c r="H22" s="459">
        <f t="shared" ca="1" si="10"/>
        <v>240145</v>
      </c>
      <c r="I22" s="459">
        <f t="shared" ca="1" si="10"/>
        <v>285610</v>
      </c>
      <c r="J22" s="459">
        <f t="shared" ca="1" si="10"/>
        <v>254669</v>
      </c>
      <c r="K22" s="459">
        <f t="shared" ca="1" si="10"/>
        <v>237333</v>
      </c>
      <c r="L22" s="459">
        <f t="shared" ca="1" si="10"/>
        <v>253732</v>
      </c>
      <c r="M22" s="459">
        <f t="shared" ca="1" si="10"/>
        <v>280845</v>
      </c>
      <c r="N22" s="459">
        <f t="shared" ca="1" si="10"/>
        <v>261264</v>
      </c>
      <c r="O22" s="459">
        <f t="shared" ca="1" si="10"/>
        <v>356836</v>
      </c>
      <c r="P22" s="459">
        <f t="shared" ca="1" si="10"/>
        <v>289700</v>
      </c>
    </row>
    <row r="23" spans="1:16" ht="15" x14ac:dyDescent="0.25">
      <c r="A23" s="458">
        <f t="shared" si="1"/>
        <v>18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 s="458">
        <f t="shared" si="1"/>
        <v>19</v>
      </c>
      <c r="B24" t="s">
        <v>88</v>
      </c>
      <c r="C24"/>
      <c r="D24" s="459">
        <f>SUM(E24:P24)</f>
        <v>688319083</v>
      </c>
      <c r="E24" s="459">
        <f>ROUND(E94/$C94,0)</f>
        <v>60175339</v>
      </c>
      <c r="F24" s="459">
        <f t="shared" ref="F24:P24" si="11">ROUND(F94/$C94,0)</f>
        <v>51025826</v>
      </c>
      <c r="G24" s="459">
        <f t="shared" si="11"/>
        <v>61442303</v>
      </c>
      <c r="H24" s="459">
        <f t="shared" si="11"/>
        <v>48155394</v>
      </c>
      <c r="I24" s="459">
        <f t="shared" si="11"/>
        <v>58806422</v>
      </c>
      <c r="J24" s="459">
        <f t="shared" si="11"/>
        <v>52433193</v>
      </c>
      <c r="K24" s="459">
        <f t="shared" si="11"/>
        <v>48823890</v>
      </c>
      <c r="L24" s="459">
        <f t="shared" si="11"/>
        <v>52495193</v>
      </c>
      <c r="M24" s="459">
        <f t="shared" si="11"/>
        <v>58834330</v>
      </c>
      <c r="N24" s="459">
        <f t="shared" si="11"/>
        <v>55177982</v>
      </c>
      <c r="O24" s="459">
        <f t="shared" si="11"/>
        <v>79212349</v>
      </c>
      <c r="P24" s="459">
        <f t="shared" si="11"/>
        <v>61736862</v>
      </c>
    </row>
    <row r="25" spans="1:16" ht="15" x14ac:dyDescent="0.25">
      <c r="A25" s="458">
        <f t="shared" si="1"/>
        <v>20</v>
      </c>
      <c r="B25" t="s">
        <v>89</v>
      </c>
      <c r="C25"/>
      <c r="D25" s="459">
        <f t="shared" ref="D25" ca="1" si="12">SUM(E25:P25)</f>
        <v>0</v>
      </c>
      <c r="E25" s="459">
        <f ca="1">+'[60]Sch 31 Prof Sch40 Rev Adj'!E17</f>
        <v>0</v>
      </c>
      <c r="F25" s="459">
        <f ca="1">+'[60]Sch 31 Prof Sch40 Rev Adj'!F17</f>
        <v>0</v>
      </c>
      <c r="G25" s="459">
        <f ca="1">+'[60]Sch 31 Prof Sch40 Rev Adj'!G17</f>
        <v>0</v>
      </c>
      <c r="H25" s="459">
        <f ca="1">+'[60]Sch 31 Prof Sch40 Rev Adj'!H17</f>
        <v>0</v>
      </c>
      <c r="I25" s="459">
        <f ca="1">+'[60]Sch 31 Prof Sch40 Rev Adj'!I17</f>
        <v>0</v>
      </c>
      <c r="J25" s="459">
        <f ca="1">+'[60]Sch 31 Prof Sch40 Rev Adj'!J17</f>
        <v>0</v>
      </c>
      <c r="K25" s="459">
        <f ca="1">+'[60]Sch 31 Prof Sch40 Rev Adj'!K17</f>
        <v>0</v>
      </c>
      <c r="L25" s="459">
        <f ca="1">+'[60]Sch 31 Prof Sch40 Rev Adj'!L17</f>
        <v>0</v>
      </c>
      <c r="M25" s="459">
        <f ca="1">+'[60]Sch 31 Prof Sch40 Rev Adj'!M17</f>
        <v>0</v>
      </c>
      <c r="N25" s="459">
        <f ca="1">+'[60]Sch 31 Prof Sch40 Rev Adj'!N17</f>
        <v>0</v>
      </c>
      <c r="O25" s="459">
        <f ca="1">+'[60]Sch 31 Prof Sch40 Rev Adj'!O17</f>
        <v>0</v>
      </c>
      <c r="P25" s="459">
        <f ca="1">+'[60]Sch 31 Prof Sch40 Rev Adj'!P17</f>
        <v>0</v>
      </c>
    </row>
    <row r="26" spans="1:16" ht="15" x14ac:dyDescent="0.25">
      <c r="A26" s="458">
        <f t="shared" si="1"/>
        <v>21</v>
      </c>
      <c r="B26" s="465" t="s">
        <v>144</v>
      </c>
      <c r="C26"/>
      <c r="D26" s="459">
        <f ca="1">SUM(D24:D25)</f>
        <v>688319083</v>
      </c>
      <c r="E26" s="459">
        <f t="shared" ref="E26:P26" ca="1" si="13">SUM(E24:E25)</f>
        <v>60175339</v>
      </c>
      <c r="F26" s="459">
        <f t="shared" ca="1" si="13"/>
        <v>51025826</v>
      </c>
      <c r="G26" s="459">
        <f t="shared" ca="1" si="13"/>
        <v>61442303</v>
      </c>
      <c r="H26" s="459">
        <f t="shared" ca="1" si="13"/>
        <v>48155394</v>
      </c>
      <c r="I26" s="459">
        <f t="shared" ca="1" si="13"/>
        <v>58806422</v>
      </c>
      <c r="J26" s="459">
        <f t="shared" ca="1" si="13"/>
        <v>52433193</v>
      </c>
      <c r="K26" s="459">
        <f t="shared" ca="1" si="13"/>
        <v>48823890</v>
      </c>
      <c r="L26" s="459">
        <f t="shared" ca="1" si="13"/>
        <v>52495193</v>
      </c>
      <c r="M26" s="459">
        <f t="shared" ca="1" si="13"/>
        <v>58834330</v>
      </c>
      <c r="N26" s="459">
        <f t="shared" ca="1" si="13"/>
        <v>55177982</v>
      </c>
      <c r="O26" s="459">
        <f t="shared" ca="1" si="13"/>
        <v>79212349</v>
      </c>
      <c r="P26" s="459">
        <f t="shared" ca="1" si="13"/>
        <v>61736862</v>
      </c>
    </row>
    <row r="27" spans="1:16" ht="15" x14ac:dyDescent="0.25">
      <c r="A27" s="458">
        <f t="shared" si="1"/>
        <v>22</v>
      </c>
      <c r="B27"/>
      <c r="C27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</row>
    <row r="28" spans="1:16" ht="15" x14ac:dyDescent="0.25">
      <c r="A28" s="458">
        <f t="shared" si="1"/>
        <v>23</v>
      </c>
      <c r="B28" s="310" t="s">
        <v>91</v>
      </c>
      <c r="C28" s="462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</row>
    <row r="29" spans="1:16" ht="15" x14ac:dyDescent="0.25">
      <c r="A29" s="458">
        <f t="shared" si="1"/>
        <v>24</v>
      </c>
      <c r="B29" s="460" t="s">
        <v>92</v>
      </c>
      <c r="C29" s="266">
        <v>339.51</v>
      </c>
      <c r="D29" s="464">
        <f>SUM(E29:P29)</f>
        <v>1987493</v>
      </c>
      <c r="E29" s="464">
        <f>ROUND(+$C29*E6,0)</f>
        <v>164323</v>
      </c>
      <c r="F29" s="464">
        <f t="shared" ref="F29:P30" si="14">ROUND(+$C29*F6,0)</f>
        <v>158551</v>
      </c>
      <c r="G29" s="464">
        <f t="shared" si="14"/>
        <v>172132</v>
      </c>
      <c r="H29" s="464">
        <f t="shared" si="14"/>
        <v>155496</v>
      </c>
      <c r="I29" s="464">
        <f t="shared" si="14"/>
        <v>172811</v>
      </c>
      <c r="J29" s="464">
        <f t="shared" si="14"/>
        <v>157533</v>
      </c>
      <c r="K29" s="464">
        <f t="shared" si="14"/>
        <v>158551</v>
      </c>
      <c r="L29" s="464">
        <f t="shared" si="14"/>
        <v>154477</v>
      </c>
      <c r="M29" s="464">
        <f t="shared" si="14"/>
        <v>165681</v>
      </c>
      <c r="N29" s="464">
        <f t="shared" si="14"/>
        <v>156175</v>
      </c>
      <c r="O29" s="464">
        <f t="shared" si="14"/>
        <v>202008</v>
      </c>
      <c r="P29" s="464">
        <f t="shared" si="14"/>
        <v>169755</v>
      </c>
    </row>
    <row r="30" spans="1:16" ht="15" x14ac:dyDescent="0.25">
      <c r="A30" s="458">
        <f t="shared" si="1"/>
        <v>25</v>
      </c>
      <c r="B30" s="461" t="s">
        <v>73</v>
      </c>
      <c r="C30" s="266">
        <f>+C29</f>
        <v>339.51</v>
      </c>
      <c r="D30" s="464">
        <f t="shared" ref="D30" ca="1" si="15">SUM(E30:P30)</f>
        <v>0</v>
      </c>
      <c r="E30" s="464">
        <f ca="1">ROUND(+$C30*E7,0)</f>
        <v>0</v>
      </c>
      <c r="F30" s="464">
        <f t="shared" ca="1" si="14"/>
        <v>0</v>
      </c>
      <c r="G30" s="464">
        <f t="shared" ca="1" si="14"/>
        <v>0</v>
      </c>
      <c r="H30" s="464">
        <f t="shared" ca="1" si="14"/>
        <v>0</v>
      </c>
      <c r="I30" s="464">
        <f t="shared" ca="1" si="14"/>
        <v>0</v>
      </c>
      <c r="J30" s="464">
        <f t="shared" ca="1" si="14"/>
        <v>0</v>
      </c>
      <c r="K30" s="464">
        <f t="shared" ca="1" si="14"/>
        <v>0</v>
      </c>
      <c r="L30" s="464">
        <f t="shared" ca="1" si="14"/>
        <v>0</v>
      </c>
      <c r="M30" s="464">
        <f t="shared" ca="1" si="14"/>
        <v>0</v>
      </c>
      <c r="N30" s="464">
        <f t="shared" ca="1" si="14"/>
        <v>0</v>
      </c>
      <c r="O30" s="464">
        <f t="shared" ca="1" si="14"/>
        <v>0</v>
      </c>
      <c r="P30" s="464">
        <f t="shared" ca="1" si="14"/>
        <v>0</v>
      </c>
    </row>
    <row r="31" spans="1:16" ht="15" x14ac:dyDescent="0.25">
      <c r="A31" s="458">
        <f t="shared" si="1"/>
        <v>26</v>
      </c>
      <c r="B31" s="461" t="s">
        <v>94</v>
      </c>
      <c r="C31"/>
      <c r="D31" s="464">
        <f ca="1">SUM(D29:D30)</f>
        <v>1987493</v>
      </c>
      <c r="E31" s="464">
        <f t="shared" ref="E31:P31" ca="1" si="16">SUM(E29:E30)</f>
        <v>164323</v>
      </c>
      <c r="F31" s="464">
        <f t="shared" ca="1" si="16"/>
        <v>158551</v>
      </c>
      <c r="G31" s="464">
        <f t="shared" ca="1" si="16"/>
        <v>172132</v>
      </c>
      <c r="H31" s="464">
        <f t="shared" ca="1" si="16"/>
        <v>155496</v>
      </c>
      <c r="I31" s="464">
        <f t="shared" ca="1" si="16"/>
        <v>172811</v>
      </c>
      <c r="J31" s="464">
        <f t="shared" ca="1" si="16"/>
        <v>157533</v>
      </c>
      <c r="K31" s="464">
        <f t="shared" ca="1" si="16"/>
        <v>158551</v>
      </c>
      <c r="L31" s="464">
        <f t="shared" ca="1" si="16"/>
        <v>154477</v>
      </c>
      <c r="M31" s="464">
        <f t="shared" ca="1" si="16"/>
        <v>165681</v>
      </c>
      <c r="N31" s="464">
        <f t="shared" ca="1" si="16"/>
        <v>156175</v>
      </c>
      <c r="O31" s="464">
        <f t="shared" ca="1" si="16"/>
        <v>202008</v>
      </c>
      <c r="P31" s="464">
        <f t="shared" ca="1" si="16"/>
        <v>169755</v>
      </c>
    </row>
    <row r="32" spans="1:16" ht="15" x14ac:dyDescent="0.25">
      <c r="A32" s="458">
        <f t="shared" si="1"/>
        <v>27</v>
      </c>
      <c r="B32" s="465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 s="458">
        <f t="shared" si="1"/>
        <v>28</v>
      </c>
      <c r="B33" s="465" t="s">
        <v>95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 s="458">
        <f t="shared" si="1"/>
        <v>29</v>
      </c>
      <c r="B34" s="461" t="s">
        <v>76</v>
      </c>
      <c r="C34" s="284">
        <v>5.4346999999999999E-2</v>
      </c>
      <c r="D34" s="464">
        <f t="shared" ref="D34:D39" si="17">SUM(E34:P34)</f>
        <v>70574567</v>
      </c>
      <c r="E34" s="464">
        <f>ROUND(+$C34*E11,0)+5</f>
        <v>5926756</v>
      </c>
      <c r="F34" s="464">
        <f t="shared" ref="F34:P35" si="18">ROUND(+$C34*F11,0)</f>
        <v>5060706</v>
      </c>
      <c r="G34" s="464">
        <f t="shared" si="18"/>
        <v>6753238</v>
      </c>
      <c r="H34" s="464">
        <f t="shared" si="18"/>
        <v>5408473</v>
      </c>
      <c r="I34" s="464">
        <f t="shared" si="18"/>
        <v>6389526</v>
      </c>
      <c r="J34" s="464">
        <f t="shared" si="18"/>
        <v>5766186</v>
      </c>
      <c r="K34" s="464">
        <f t="shared" si="18"/>
        <v>5051563</v>
      </c>
      <c r="L34" s="464">
        <f t="shared" si="18"/>
        <v>5140787</v>
      </c>
      <c r="M34" s="464">
        <f t="shared" si="18"/>
        <v>5866581</v>
      </c>
      <c r="N34" s="464">
        <f t="shared" si="18"/>
        <v>5377241</v>
      </c>
      <c r="O34" s="464">
        <f t="shared" si="18"/>
        <v>7874409</v>
      </c>
      <c r="P34" s="464">
        <f t="shared" si="18"/>
        <v>5959101</v>
      </c>
    </row>
    <row r="35" spans="1:16" ht="15" x14ac:dyDescent="0.25">
      <c r="A35" s="458">
        <f t="shared" si="1"/>
        <v>30</v>
      </c>
      <c r="B35" s="461" t="s">
        <v>157</v>
      </c>
      <c r="C35" s="284">
        <f>+C34</f>
        <v>5.4346999999999999E-2</v>
      </c>
      <c r="D35" s="464">
        <f t="shared" ca="1" si="17"/>
        <v>0</v>
      </c>
      <c r="E35" s="464">
        <f ca="1">ROUND(+$C35*E12,0)</f>
        <v>0</v>
      </c>
      <c r="F35" s="464">
        <f t="shared" ca="1" si="18"/>
        <v>0</v>
      </c>
      <c r="G35" s="464">
        <f t="shared" ca="1" si="18"/>
        <v>0</v>
      </c>
      <c r="H35" s="464">
        <f t="shared" ca="1" si="18"/>
        <v>0</v>
      </c>
      <c r="I35" s="464">
        <f t="shared" ca="1" si="18"/>
        <v>0</v>
      </c>
      <c r="J35" s="464">
        <f t="shared" ca="1" si="18"/>
        <v>0</v>
      </c>
      <c r="K35" s="464">
        <f t="shared" ca="1" si="18"/>
        <v>0</v>
      </c>
      <c r="L35" s="464">
        <f t="shared" ca="1" si="18"/>
        <v>0</v>
      </c>
      <c r="M35" s="464">
        <f t="shared" ca="1" si="18"/>
        <v>0</v>
      </c>
      <c r="N35" s="464">
        <f t="shared" ca="1" si="18"/>
        <v>0</v>
      </c>
      <c r="O35" s="464">
        <f t="shared" ca="1" si="18"/>
        <v>0</v>
      </c>
      <c r="P35" s="464">
        <f t="shared" ca="1" si="18"/>
        <v>0</v>
      </c>
    </row>
    <row r="36" spans="1:16" ht="15" x14ac:dyDescent="0.25">
      <c r="A36" s="458">
        <f t="shared" si="1"/>
        <v>31</v>
      </c>
      <c r="B36" s="461" t="s">
        <v>98</v>
      </c>
      <c r="C36" s="284">
        <v>0</v>
      </c>
      <c r="D36" s="464">
        <f t="shared" si="17"/>
        <v>0</v>
      </c>
      <c r="E36" s="464">
        <f>ROUND(+$C36*E11,0)</f>
        <v>0</v>
      </c>
      <c r="F36" s="464">
        <f t="shared" ref="F36:P36" si="19">ROUND(+$C36*F11,0)</f>
        <v>0</v>
      </c>
      <c r="G36" s="464">
        <f t="shared" si="19"/>
        <v>0</v>
      </c>
      <c r="H36" s="464">
        <f t="shared" si="19"/>
        <v>0</v>
      </c>
      <c r="I36" s="464">
        <f t="shared" si="19"/>
        <v>0</v>
      </c>
      <c r="J36" s="464">
        <f t="shared" si="19"/>
        <v>0</v>
      </c>
      <c r="K36" s="464">
        <f t="shared" si="19"/>
        <v>0</v>
      </c>
      <c r="L36" s="464">
        <f t="shared" si="19"/>
        <v>0</v>
      </c>
      <c r="M36" s="464">
        <f t="shared" si="19"/>
        <v>0</v>
      </c>
      <c r="N36" s="464">
        <f t="shared" si="19"/>
        <v>0</v>
      </c>
      <c r="O36" s="464">
        <f t="shared" si="19"/>
        <v>0</v>
      </c>
      <c r="P36" s="464">
        <f t="shared" si="19"/>
        <v>0</v>
      </c>
    </row>
    <row r="37" spans="1:16" ht="15" x14ac:dyDescent="0.25">
      <c r="A37" s="458">
        <f t="shared" si="1"/>
        <v>32</v>
      </c>
      <c r="B37" s="461" t="s">
        <v>99</v>
      </c>
      <c r="C37" s="284">
        <v>0</v>
      </c>
      <c r="D37" s="464">
        <f t="shared" si="17"/>
        <v>0</v>
      </c>
      <c r="E37" s="464">
        <f>ROUND(+$C37*E11,0)</f>
        <v>0</v>
      </c>
      <c r="F37" s="464">
        <f t="shared" ref="F37:P37" si="20">ROUND(+$C37*F11,0)</f>
        <v>0</v>
      </c>
      <c r="G37" s="464">
        <f t="shared" si="20"/>
        <v>0</v>
      </c>
      <c r="H37" s="464">
        <f t="shared" si="20"/>
        <v>0</v>
      </c>
      <c r="I37" s="464">
        <f t="shared" si="20"/>
        <v>0</v>
      </c>
      <c r="J37" s="464">
        <f t="shared" si="20"/>
        <v>0</v>
      </c>
      <c r="K37" s="464">
        <f t="shared" si="20"/>
        <v>0</v>
      </c>
      <c r="L37" s="464">
        <f t="shared" si="20"/>
        <v>0</v>
      </c>
      <c r="M37" s="464">
        <f t="shared" si="20"/>
        <v>0</v>
      </c>
      <c r="N37" s="464">
        <f t="shared" si="20"/>
        <v>0</v>
      </c>
      <c r="O37" s="464">
        <f t="shared" si="20"/>
        <v>0</v>
      </c>
      <c r="P37" s="464">
        <f t="shared" si="20"/>
        <v>0</v>
      </c>
    </row>
    <row r="38" spans="1:16" ht="15" x14ac:dyDescent="0.25">
      <c r="A38" s="458">
        <f t="shared" si="1"/>
        <v>33</v>
      </c>
      <c r="B38" s="461" t="s">
        <v>79</v>
      </c>
      <c r="C38" s="284">
        <f ca="1">SUM(D34:D37,D31,D48,D52,D39)/SUM(D11:D12,D14)</f>
        <v>8.0107904044080913E-2</v>
      </c>
      <c r="D38" s="464">
        <f t="shared" ca="1" si="17"/>
        <v>-1213422</v>
      </c>
      <c r="E38" s="464">
        <f ca="1">ROUND(+$C38*E13,0)</f>
        <v>-205684</v>
      </c>
      <c r="F38" s="464">
        <f t="shared" ref="F38:P39" ca="1" si="21">ROUND(+$C38*F13,0)</f>
        <v>870142</v>
      </c>
      <c r="G38" s="464">
        <f t="shared" ca="1" si="21"/>
        <v>-920910</v>
      </c>
      <c r="H38" s="464">
        <f t="shared" ca="1" si="21"/>
        <v>387758</v>
      </c>
      <c r="I38" s="464">
        <f t="shared" ca="1" si="21"/>
        <v>-450341</v>
      </c>
      <c r="J38" s="464">
        <f t="shared" ca="1" si="21"/>
        <v>-20154</v>
      </c>
      <c r="K38" s="464">
        <f t="shared" ca="1" si="21"/>
        <v>196130</v>
      </c>
      <c r="L38" s="464">
        <f t="shared" ca="1" si="21"/>
        <v>-475973</v>
      </c>
      <c r="M38" s="464">
        <f t="shared" ca="1" si="21"/>
        <v>669808</v>
      </c>
      <c r="N38" s="464">
        <f t="shared" ca="1" si="21"/>
        <v>990785</v>
      </c>
      <c r="O38" s="464">
        <f t="shared" ca="1" si="21"/>
        <v>-2287183</v>
      </c>
      <c r="P38" s="464">
        <f t="shared" ca="1" si="21"/>
        <v>32200</v>
      </c>
    </row>
    <row r="39" spans="1:16" ht="15" x14ac:dyDescent="0.25">
      <c r="A39" s="458">
        <f t="shared" si="1"/>
        <v>34</v>
      </c>
      <c r="B39" s="461" t="s">
        <v>80</v>
      </c>
      <c r="C39" s="284">
        <f>+C34</f>
        <v>5.4346999999999999E-2</v>
      </c>
      <c r="D39" s="464">
        <f t="shared" ca="1" si="17"/>
        <v>52022</v>
      </c>
      <c r="E39" s="464">
        <f ca="1">ROUND(+$C39*E14,0)</f>
        <v>4281</v>
      </c>
      <c r="F39" s="464">
        <f t="shared" ca="1" si="21"/>
        <v>-24786</v>
      </c>
      <c r="G39" s="464">
        <f t="shared" ca="1" si="21"/>
        <v>24279</v>
      </c>
      <c r="H39" s="464">
        <f t="shared" ca="1" si="21"/>
        <v>26558</v>
      </c>
      <c r="I39" s="464">
        <f t="shared" ca="1" si="21"/>
        <v>46309</v>
      </c>
      <c r="J39" s="464">
        <f t="shared" ca="1" si="21"/>
        <v>21047</v>
      </c>
      <c r="K39" s="464">
        <f t="shared" ca="1" si="21"/>
        <v>9146</v>
      </c>
      <c r="L39" s="464">
        <f t="shared" ca="1" si="21"/>
        <v>1083</v>
      </c>
      <c r="M39" s="464">
        <f t="shared" ca="1" si="21"/>
        <v>-17244</v>
      </c>
      <c r="N39" s="464">
        <f t="shared" ca="1" si="21"/>
        <v>-3317</v>
      </c>
      <c r="O39" s="464">
        <f t="shared" ca="1" si="21"/>
        <v>-44404</v>
      </c>
      <c r="P39" s="464">
        <f t="shared" ca="1" si="21"/>
        <v>9070</v>
      </c>
    </row>
    <row r="40" spans="1:16" ht="15" x14ac:dyDescent="0.25">
      <c r="A40" s="458">
        <f t="shared" si="1"/>
        <v>35</v>
      </c>
      <c r="B40" s="467" t="s">
        <v>100</v>
      </c>
      <c r="C40"/>
      <c r="D40" s="464">
        <f ca="1">SUM(D34:D39)</f>
        <v>69413167</v>
      </c>
      <c r="E40" s="464">
        <f t="shared" ref="E40:P40" ca="1" si="22">SUM(E34:E39)</f>
        <v>5725353</v>
      </c>
      <c r="F40" s="464">
        <f t="shared" ca="1" si="22"/>
        <v>5906062</v>
      </c>
      <c r="G40" s="464">
        <f t="shared" ca="1" si="22"/>
        <v>5856607</v>
      </c>
      <c r="H40" s="464">
        <f t="shared" ca="1" si="22"/>
        <v>5822789</v>
      </c>
      <c r="I40" s="464">
        <f t="shared" ca="1" si="22"/>
        <v>5985494</v>
      </c>
      <c r="J40" s="464">
        <f t="shared" ca="1" si="22"/>
        <v>5767079</v>
      </c>
      <c r="K40" s="464">
        <f t="shared" ca="1" si="22"/>
        <v>5256839</v>
      </c>
      <c r="L40" s="464">
        <f t="shared" ca="1" si="22"/>
        <v>4665897</v>
      </c>
      <c r="M40" s="464">
        <f t="shared" ca="1" si="22"/>
        <v>6519145</v>
      </c>
      <c r="N40" s="464">
        <f t="shared" ca="1" si="22"/>
        <v>6364709</v>
      </c>
      <c r="O40" s="464">
        <f t="shared" ca="1" si="22"/>
        <v>5542822</v>
      </c>
      <c r="P40" s="464">
        <f t="shared" ca="1" si="22"/>
        <v>6000371</v>
      </c>
    </row>
    <row r="41" spans="1:16" ht="15" x14ac:dyDescent="0.25">
      <c r="A41" s="458">
        <f t="shared" si="1"/>
        <v>36</v>
      </c>
      <c r="B41" s="465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 s="458">
        <f t="shared" si="1"/>
        <v>37</v>
      </c>
      <c r="B42" s="465" t="s">
        <v>101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 s="458">
        <f t="shared" si="1"/>
        <v>38</v>
      </c>
      <c r="B43" s="461" t="s">
        <v>82</v>
      </c>
      <c r="C43" s="266">
        <v>11.32</v>
      </c>
      <c r="D43" s="464">
        <f t="shared" ref="D43:D47" si="23">SUM(E43:P43)</f>
        <v>18059180</v>
      </c>
      <c r="E43" s="464">
        <f>ROUND(+$C43*E18,0)</f>
        <v>1054413</v>
      </c>
      <c r="F43" s="464">
        <f t="shared" ref="F43:P43" si="24">ROUND(+$C43*F18,0)</f>
        <v>2584107</v>
      </c>
      <c r="G43" s="464">
        <f t="shared" si="24"/>
        <v>3361621</v>
      </c>
      <c r="H43" s="464">
        <f t="shared" si="24"/>
        <v>2718430</v>
      </c>
      <c r="I43" s="464">
        <f t="shared" si="24"/>
        <v>3233105</v>
      </c>
      <c r="J43" s="464">
        <f t="shared" si="24"/>
        <v>2882853</v>
      </c>
      <c r="K43" s="464">
        <f t="shared" si="24"/>
        <v>1813328</v>
      </c>
      <c r="L43" s="464">
        <f t="shared" si="24"/>
        <v>358131</v>
      </c>
      <c r="M43" s="464">
        <f t="shared" si="24"/>
        <v>44125</v>
      </c>
      <c r="N43" s="464">
        <f t="shared" si="24"/>
        <v>2796</v>
      </c>
      <c r="O43" s="464">
        <f t="shared" si="24"/>
        <v>6271</v>
      </c>
      <c r="P43" s="464">
        <f t="shared" si="24"/>
        <v>0</v>
      </c>
    </row>
    <row r="44" spans="1:16" ht="15" x14ac:dyDescent="0.25">
      <c r="A44" s="458">
        <f t="shared" si="1"/>
        <v>39</v>
      </c>
      <c r="B44" s="461" t="s">
        <v>85</v>
      </c>
      <c r="C44" s="266">
        <v>7.55</v>
      </c>
      <c r="D44" s="464">
        <f t="shared" si="23"/>
        <v>12701260</v>
      </c>
      <c r="E44" s="464">
        <f>ROUND(+$C44*E20,0)</f>
        <v>1389004</v>
      </c>
      <c r="F44" s="464">
        <f t="shared" ref="F44:P44" si="25">ROUND(+$C44*F20,0)</f>
        <v>67565</v>
      </c>
      <c r="G44" s="464">
        <f t="shared" si="25"/>
        <v>46629</v>
      </c>
      <c r="H44" s="464">
        <f t="shared" si="25"/>
        <v>8</v>
      </c>
      <c r="I44" s="464">
        <f t="shared" si="25"/>
        <v>0</v>
      </c>
      <c r="J44" s="464">
        <f t="shared" si="25"/>
        <v>0</v>
      </c>
      <c r="K44" s="464">
        <f t="shared" si="25"/>
        <v>582445</v>
      </c>
      <c r="L44" s="464">
        <f t="shared" si="25"/>
        <v>1676817</v>
      </c>
      <c r="M44" s="464">
        <f t="shared" si="25"/>
        <v>2090950</v>
      </c>
      <c r="N44" s="464">
        <f t="shared" si="25"/>
        <v>1970678</v>
      </c>
      <c r="O44" s="464">
        <f t="shared" si="25"/>
        <v>2689929</v>
      </c>
      <c r="P44" s="464">
        <f t="shared" si="25"/>
        <v>2187235</v>
      </c>
    </row>
    <row r="45" spans="1:16" ht="15" x14ac:dyDescent="0.25">
      <c r="A45" s="458">
        <f t="shared" si="1"/>
        <v>40</v>
      </c>
      <c r="B45" s="461" t="s">
        <v>158</v>
      </c>
      <c r="C45" s="266">
        <f>+C43</f>
        <v>11.32</v>
      </c>
      <c r="D45" s="464">
        <f t="shared" ca="1" si="23"/>
        <v>0</v>
      </c>
      <c r="E45" s="464">
        <f ca="1">ROUND(+$C45*E19,0)</f>
        <v>0</v>
      </c>
      <c r="F45" s="464">
        <f t="shared" ref="F45:P45" ca="1" si="26">ROUND(+$C45*F19,0)</f>
        <v>0</v>
      </c>
      <c r="G45" s="464">
        <f t="shared" ca="1" si="26"/>
        <v>0</v>
      </c>
      <c r="H45" s="464">
        <f t="shared" ca="1" si="26"/>
        <v>0</v>
      </c>
      <c r="I45" s="464">
        <f t="shared" ca="1" si="26"/>
        <v>0</v>
      </c>
      <c r="J45" s="464">
        <f t="shared" ca="1" si="26"/>
        <v>0</v>
      </c>
      <c r="K45" s="464">
        <f t="shared" ca="1" si="26"/>
        <v>0</v>
      </c>
      <c r="L45" s="464">
        <f t="shared" ca="1" si="26"/>
        <v>0</v>
      </c>
      <c r="M45" s="464">
        <f t="shared" ca="1" si="26"/>
        <v>0</v>
      </c>
      <c r="N45" s="464">
        <f t="shared" ca="1" si="26"/>
        <v>0</v>
      </c>
      <c r="O45" s="464">
        <f t="shared" ca="1" si="26"/>
        <v>0</v>
      </c>
      <c r="P45" s="464">
        <f t="shared" ca="1" si="26"/>
        <v>0</v>
      </c>
    </row>
    <row r="46" spans="1:16" ht="15" x14ac:dyDescent="0.25">
      <c r="A46" s="458">
        <f t="shared" si="1"/>
        <v>41</v>
      </c>
      <c r="B46" s="461" t="s">
        <v>159</v>
      </c>
      <c r="C46" s="266">
        <f>+C44</f>
        <v>7.55</v>
      </c>
      <c r="D46" s="464">
        <f t="shared" ca="1" si="23"/>
        <v>0</v>
      </c>
      <c r="E46" s="464">
        <f ca="1">ROUND(+$C46*E21,0)</f>
        <v>0</v>
      </c>
      <c r="F46" s="464">
        <f t="shared" ref="F46:P47" ca="1" si="27">ROUND(+$C46*F21,0)</f>
        <v>0</v>
      </c>
      <c r="G46" s="464">
        <f t="shared" ca="1" si="27"/>
        <v>0</v>
      </c>
      <c r="H46" s="464">
        <f t="shared" ca="1" si="27"/>
        <v>0</v>
      </c>
      <c r="I46" s="464">
        <f t="shared" ca="1" si="27"/>
        <v>0</v>
      </c>
      <c r="J46" s="464">
        <f t="shared" ca="1" si="27"/>
        <v>0</v>
      </c>
      <c r="K46" s="464">
        <f t="shared" ca="1" si="27"/>
        <v>0</v>
      </c>
      <c r="L46" s="464">
        <f t="shared" ca="1" si="27"/>
        <v>0</v>
      </c>
      <c r="M46" s="464">
        <f t="shared" ca="1" si="27"/>
        <v>0</v>
      </c>
      <c r="N46" s="464">
        <f t="shared" ca="1" si="27"/>
        <v>0</v>
      </c>
      <c r="O46" s="464">
        <f t="shared" ca="1" si="27"/>
        <v>0</v>
      </c>
      <c r="P46" s="464">
        <f t="shared" ca="1" si="27"/>
        <v>0</v>
      </c>
    </row>
    <row r="47" spans="1:16" ht="15" x14ac:dyDescent="0.25">
      <c r="A47" s="458">
        <f t="shared" si="1"/>
        <v>42</v>
      </c>
      <c r="B47" s="461" t="s">
        <v>103</v>
      </c>
      <c r="C47" s="281">
        <v>0</v>
      </c>
      <c r="D47" s="464">
        <f t="shared" ca="1" si="23"/>
        <v>0</v>
      </c>
      <c r="E47" s="464">
        <f ca="1">ROUND(+$C47*E22,0)</f>
        <v>0</v>
      </c>
      <c r="F47" s="464">
        <f t="shared" ca="1" si="27"/>
        <v>0</v>
      </c>
      <c r="G47" s="464">
        <f t="shared" ca="1" si="27"/>
        <v>0</v>
      </c>
      <c r="H47" s="464">
        <f t="shared" ca="1" si="27"/>
        <v>0</v>
      </c>
      <c r="I47" s="464">
        <f t="shared" ca="1" si="27"/>
        <v>0</v>
      </c>
      <c r="J47" s="464">
        <f t="shared" ca="1" si="27"/>
        <v>0</v>
      </c>
      <c r="K47" s="464">
        <f t="shared" ca="1" si="27"/>
        <v>0</v>
      </c>
      <c r="L47" s="464">
        <f t="shared" ca="1" si="27"/>
        <v>0</v>
      </c>
      <c r="M47" s="464">
        <f t="shared" ca="1" si="27"/>
        <v>0</v>
      </c>
      <c r="N47" s="464">
        <f t="shared" ca="1" si="27"/>
        <v>0</v>
      </c>
      <c r="O47" s="464">
        <f t="shared" ca="1" si="27"/>
        <v>0</v>
      </c>
      <c r="P47" s="464">
        <f t="shared" ca="1" si="27"/>
        <v>0</v>
      </c>
    </row>
    <row r="48" spans="1:16" ht="15" x14ac:dyDescent="0.25">
      <c r="A48" s="458">
        <f t="shared" si="1"/>
        <v>43</v>
      </c>
      <c r="B48" s="467" t="s">
        <v>104</v>
      </c>
      <c r="C48"/>
      <c r="D48" s="464">
        <f ca="1">SUM(D43:D47)</f>
        <v>30760440</v>
      </c>
      <c r="E48" s="464">
        <f t="shared" ref="E48:P48" ca="1" si="28">SUM(E43:E47)</f>
        <v>2443417</v>
      </c>
      <c r="F48" s="464">
        <f t="shared" ca="1" si="28"/>
        <v>2651672</v>
      </c>
      <c r="G48" s="464">
        <f t="shared" ca="1" si="28"/>
        <v>3408250</v>
      </c>
      <c r="H48" s="464">
        <f t="shared" ca="1" si="28"/>
        <v>2718438</v>
      </c>
      <c r="I48" s="464">
        <f t="shared" ca="1" si="28"/>
        <v>3233105</v>
      </c>
      <c r="J48" s="464">
        <f t="shared" ca="1" si="28"/>
        <v>2882853</v>
      </c>
      <c r="K48" s="464">
        <f t="shared" ca="1" si="28"/>
        <v>2395773</v>
      </c>
      <c r="L48" s="464">
        <f t="shared" ca="1" si="28"/>
        <v>2034948</v>
      </c>
      <c r="M48" s="464">
        <f t="shared" ca="1" si="28"/>
        <v>2135075</v>
      </c>
      <c r="N48" s="464">
        <f t="shared" ca="1" si="28"/>
        <v>1973474</v>
      </c>
      <c r="O48" s="464">
        <f t="shared" ca="1" si="28"/>
        <v>2696200</v>
      </c>
      <c r="P48" s="464">
        <f t="shared" ca="1" si="28"/>
        <v>2187235</v>
      </c>
    </row>
    <row r="49" spans="1:16" ht="15" x14ac:dyDescent="0.25">
      <c r="A49" s="458">
        <f t="shared" si="1"/>
        <v>44</v>
      </c>
      <c r="B49" s="467"/>
      <c r="C49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</row>
    <row r="50" spans="1:16" ht="15" x14ac:dyDescent="0.25">
      <c r="A50" s="458">
        <f t="shared" si="1"/>
        <v>45</v>
      </c>
      <c r="B50" s="460" t="s">
        <v>105</v>
      </c>
      <c r="C50" s="468">
        <v>1.06E-3</v>
      </c>
      <c r="D50" s="464">
        <f t="shared" ref="D50:D51" si="29">SUM(E50:P50)</f>
        <v>729618</v>
      </c>
      <c r="E50" s="464">
        <f>ROUND(+$C50*E24,0)</f>
        <v>63786</v>
      </c>
      <c r="F50" s="464">
        <f t="shared" ref="F50:P51" si="30">ROUND(+$C50*F24,0)</f>
        <v>54087</v>
      </c>
      <c r="G50" s="464">
        <f t="shared" si="30"/>
        <v>65129</v>
      </c>
      <c r="H50" s="464">
        <f t="shared" si="30"/>
        <v>51045</v>
      </c>
      <c r="I50" s="464">
        <f t="shared" si="30"/>
        <v>62335</v>
      </c>
      <c r="J50" s="464">
        <f t="shared" si="30"/>
        <v>55579</v>
      </c>
      <c r="K50" s="464">
        <f t="shared" si="30"/>
        <v>51753</v>
      </c>
      <c r="L50" s="464">
        <f t="shared" si="30"/>
        <v>55645</v>
      </c>
      <c r="M50" s="464">
        <f t="shared" si="30"/>
        <v>62364</v>
      </c>
      <c r="N50" s="464">
        <f t="shared" si="30"/>
        <v>58489</v>
      </c>
      <c r="O50" s="464">
        <f t="shared" si="30"/>
        <v>83965</v>
      </c>
      <c r="P50" s="464">
        <f t="shared" si="30"/>
        <v>65441</v>
      </c>
    </row>
    <row r="51" spans="1:16" ht="15" x14ac:dyDescent="0.25">
      <c r="A51" s="458">
        <f t="shared" si="1"/>
        <v>46</v>
      </c>
      <c r="B51" s="461" t="s">
        <v>160</v>
      </c>
      <c r="C51" s="468">
        <f>+C50</f>
        <v>1.06E-3</v>
      </c>
      <c r="D51" s="464">
        <f t="shared" ca="1" si="29"/>
        <v>0</v>
      </c>
      <c r="E51" s="464">
        <f ca="1">ROUND(+$C51*E25,0)</f>
        <v>0</v>
      </c>
      <c r="F51" s="464">
        <f t="shared" ca="1" si="30"/>
        <v>0</v>
      </c>
      <c r="G51" s="464">
        <f t="shared" ca="1" si="30"/>
        <v>0</v>
      </c>
      <c r="H51" s="464">
        <f t="shared" ca="1" si="30"/>
        <v>0</v>
      </c>
      <c r="I51" s="464">
        <f t="shared" ca="1" si="30"/>
        <v>0</v>
      </c>
      <c r="J51" s="464">
        <f t="shared" ca="1" si="30"/>
        <v>0</v>
      </c>
      <c r="K51" s="464">
        <f t="shared" ca="1" si="30"/>
        <v>0</v>
      </c>
      <c r="L51" s="464">
        <f t="shared" ca="1" si="30"/>
        <v>0</v>
      </c>
      <c r="M51" s="464">
        <f t="shared" ca="1" si="30"/>
        <v>0</v>
      </c>
      <c r="N51" s="464">
        <f t="shared" ca="1" si="30"/>
        <v>0</v>
      </c>
      <c r="O51" s="464">
        <f t="shared" ca="1" si="30"/>
        <v>0</v>
      </c>
      <c r="P51" s="464">
        <f t="shared" ca="1" si="30"/>
        <v>0</v>
      </c>
    </row>
    <row r="52" spans="1:16" ht="15" x14ac:dyDescent="0.25">
      <c r="A52" s="458">
        <f t="shared" si="1"/>
        <v>47</v>
      </c>
      <c r="B52" s="460" t="s">
        <v>105</v>
      </c>
      <c r="C52" s="468"/>
      <c r="D52" s="464">
        <f ca="1">SUM(D50:D51)</f>
        <v>729618</v>
      </c>
      <c r="E52" s="464">
        <f ca="1">SUM(E50:E51)</f>
        <v>63786</v>
      </c>
      <c r="F52" s="464">
        <f t="shared" ref="F52:P52" ca="1" si="31">SUM(F50:F51)</f>
        <v>54087</v>
      </c>
      <c r="G52" s="464">
        <f t="shared" ca="1" si="31"/>
        <v>65129</v>
      </c>
      <c r="H52" s="464">
        <f t="shared" ca="1" si="31"/>
        <v>51045</v>
      </c>
      <c r="I52" s="464">
        <f t="shared" ca="1" si="31"/>
        <v>62335</v>
      </c>
      <c r="J52" s="464">
        <f t="shared" ca="1" si="31"/>
        <v>55579</v>
      </c>
      <c r="K52" s="464">
        <f t="shared" ca="1" si="31"/>
        <v>51753</v>
      </c>
      <c r="L52" s="464">
        <f t="shared" ca="1" si="31"/>
        <v>55645</v>
      </c>
      <c r="M52" s="464">
        <f t="shared" ca="1" si="31"/>
        <v>62364</v>
      </c>
      <c r="N52" s="464">
        <f t="shared" ca="1" si="31"/>
        <v>58489</v>
      </c>
      <c r="O52" s="464">
        <f t="shared" ca="1" si="31"/>
        <v>83965</v>
      </c>
      <c r="P52" s="464">
        <f t="shared" ca="1" si="31"/>
        <v>65441</v>
      </c>
    </row>
    <row r="53" spans="1:16" ht="15" x14ac:dyDescent="0.25">
      <c r="A53" s="458">
        <f t="shared" si="1"/>
        <v>48</v>
      </c>
      <c r="B53"/>
      <c r="C53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</row>
    <row r="54" spans="1:16" ht="15" x14ac:dyDescent="0.25">
      <c r="A54" s="458">
        <f t="shared" si="1"/>
        <v>49</v>
      </c>
      <c r="B54" s="460" t="s">
        <v>161</v>
      </c>
      <c r="C54"/>
      <c r="D54" s="464">
        <f ca="1">SUM(D52,D48,D40,D31)</f>
        <v>102890718</v>
      </c>
      <c r="E54" s="464">
        <f ca="1">SUM(E52,E48,E40,E31)</f>
        <v>8396879</v>
      </c>
      <c r="F54" s="464">
        <f t="shared" ref="F54:P54" ca="1" si="32">SUM(F52,F48,F40,F31)</f>
        <v>8770372</v>
      </c>
      <c r="G54" s="464">
        <f t="shared" ca="1" si="32"/>
        <v>9502118</v>
      </c>
      <c r="H54" s="464">
        <f t="shared" ca="1" si="32"/>
        <v>8747768</v>
      </c>
      <c r="I54" s="464">
        <f t="shared" ca="1" si="32"/>
        <v>9453745</v>
      </c>
      <c r="J54" s="464">
        <f t="shared" ca="1" si="32"/>
        <v>8863044</v>
      </c>
      <c r="K54" s="464">
        <f t="shared" ca="1" si="32"/>
        <v>7862916</v>
      </c>
      <c r="L54" s="464">
        <f t="shared" ca="1" si="32"/>
        <v>6910967</v>
      </c>
      <c r="M54" s="464">
        <f t="shared" ca="1" si="32"/>
        <v>8882265</v>
      </c>
      <c r="N54" s="464">
        <f t="shared" ca="1" si="32"/>
        <v>8552847</v>
      </c>
      <c r="O54" s="464">
        <f t="shared" ca="1" si="32"/>
        <v>8524995</v>
      </c>
      <c r="P54" s="464">
        <f t="shared" ca="1" si="32"/>
        <v>8422802</v>
      </c>
    </row>
    <row r="55" spans="1:16" ht="15" x14ac:dyDescent="0.25">
      <c r="A55" s="458">
        <f t="shared" si="1"/>
        <v>50</v>
      </c>
      <c r="B55"/>
      <c r="C55"/>
      <c r="D55"/>
      <c r="E55" s="466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 s="458">
        <f t="shared" si="1"/>
        <v>51</v>
      </c>
      <c r="B56" s="310" t="s">
        <v>108</v>
      </c>
      <c r="C56"/>
      <c r="D56" s="459">
        <f t="shared" ref="D56:D58" ca="1" si="33">SUM(E56:P56)</f>
        <v>1298591683.0049999</v>
      </c>
      <c r="E56" s="459">
        <f ca="1">+'[59]Billed kWh'!O85</f>
        <v>109053867.52000001</v>
      </c>
      <c r="F56" s="459">
        <f ca="1">+'[59]Billed kWh'!P85</f>
        <v>93118408.108999997</v>
      </c>
      <c r="G56" s="459">
        <f ca="1">+'[59]Billed kWh'!Q85</f>
        <v>124261477.088</v>
      </c>
      <c r="H56" s="459">
        <f ca="1">+'[59]Billed kWh'!F85</f>
        <v>99517418.877000004</v>
      </c>
      <c r="I56" s="459">
        <f ca="1">+'[59]Billed kWh'!G85</f>
        <v>117569070.256</v>
      </c>
      <c r="J56" s="459">
        <f ca="1">+'[59]Billed kWh'!H85</f>
        <v>106099438.755</v>
      </c>
      <c r="K56" s="459">
        <f ca="1">+'[59]Billed kWh'!I85</f>
        <v>92950178.434</v>
      </c>
      <c r="L56" s="459">
        <f ca="1">+'[59]Billed kWh'!J85</f>
        <v>94591911.449000001</v>
      </c>
      <c r="M56" s="459">
        <f ca="1">+'[59]Billed kWh'!K85</f>
        <v>107946736.596</v>
      </c>
      <c r="N56" s="459">
        <f ca="1">+'[59]Billed kWh'!L85</f>
        <v>98942735.914999992</v>
      </c>
      <c r="O56" s="459">
        <f ca="1">+'[59]Billed kWh'!M85</f>
        <v>144891319.664</v>
      </c>
      <c r="P56" s="459">
        <f ca="1">+'[59]Billed kWh'!N85</f>
        <v>109649120.34199999</v>
      </c>
    </row>
    <row r="57" spans="1:16" ht="15" x14ac:dyDescent="0.25">
      <c r="A57" s="458">
        <f t="shared" si="1"/>
        <v>52</v>
      </c>
      <c r="B57" s="310" t="s">
        <v>162</v>
      </c>
      <c r="C57"/>
      <c r="D57" s="459">
        <f t="shared" si="33"/>
        <v>1298591685</v>
      </c>
      <c r="E57" s="459">
        <f t="shared" ref="E57:P57" si="34">SUM(E11)</f>
        <v>109053868</v>
      </c>
      <c r="F57" s="459">
        <f t="shared" si="34"/>
        <v>93118408</v>
      </c>
      <c r="G57" s="459">
        <f t="shared" si="34"/>
        <v>124261477</v>
      </c>
      <c r="H57" s="459">
        <f t="shared" si="34"/>
        <v>99517419</v>
      </c>
      <c r="I57" s="459">
        <f t="shared" si="34"/>
        <v>117569070</v>
      </c>
      <c r="J57" s="459">
        <f t="shared" si="34"/>
        <v>106099439</v>
      </c>
      <c r="K57" s="459">
        <f t="shared" si="34"/>
        <v>92950178</v>
      </c>
      <c r="L57" s="459">
        <f t="shared" si="34"/>
        <v>94591911</v>
      </c>
      <c r="M57" s="459">
        <f t="shared" si="34"/>
        <v>107946737</v>
      </c>
      <c r="N57" s="459">
        <f t="shared" si="34"/>
        <v>98942736</v>
      </c>
      <c r="O57" s="459">
        <f t="shared" si="34"/>
        <v>144891320</v>
      </c>
      <c r="P57" s="459">
        <f t="shared" si="34"/>
        <v>109649122</v>
      </c>
    </row>
    <row r="58" spans="1:16" ht="15" x14ac:dyDescent="0.25">
      <c r="A58" s="458">
        <f t="shared" si="1"/>
        <v>53</v>
      </c>
      <c r="B58" t="s">
        <v>46</v>
      </c>
      <c r="C58"/>
      <c r="D58" s="459">
        <f t="shared" ca="1" si="33"/>
        <v>1.9950000047683716</v>
      </c>
      <c r="E58" s="459">
        <f ca="1">+E57-E56</f>
        <v>0.47999998927116394</v>
      </c>
      <c r="F58" s="459">
        <f t="shared" ref="F58:P58" ca="1" si="35">+F57-F56</f>
        <v>-0.10899999737739563</v>
      </c>
      <c r="G58" s="459">
        <f t="shared" ca="1" si="35"/>
        <v>-8.7999999523162842E-2</v>
      </c>
      <c r="H58" s="459">
        <f t="shared" ca="1" si="35"/>
        <v>0.12299999594688416</v>
      </c>
      <c r="I58" s="459">
        <f t="shared" ca="1" si="35"/>
        <v>-0.25599999725818634</v>
      </c>
      <c r="J58" s="459">
        <f t="shared" ca="1" si="35"/>
        <v>0.24500000476837158</v>
      </c>
      <c r="K58" s="459">
        <f t="shared" ca="1" si="35"/>
        <v>-0.43400000035762787</v>
      </c>
      <c r="L58" s="459">
        <f t="shared" ca="1" si="35"/>
        <v>-0.44900000095367432</v>
      </c>
      <c r="M58" s="459">
        <f t="shared" ca="1" si="35"/>
        <v>0.40399999916553497</v>
      </c>
      <c r="N58" s="459">
        <f t="shared" ca="1" si="35"/>
        <v>8.5000008344650269E-2</v>
      </c>
      <c r="O58" s="459">
        <f t="shared" ca="1" si="35"/>
        <v>0.335999995470047</v>
      </c>
      <c r="P58" s="459">
        <f t="shared" ca="1" si="35"/>
        <v>1.6580000072717667</v>
      </c>
    </row>
    <row r="59" spans="1:16" ht="15" x14ac:dyDescent="0.25">
      <c r="A59" s="458">
        <f t="shared" si="1"/>
        <v>54</v>
      </c>
      <c r="B59"/>
      <c r="C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</row>
    <row r="60" spans="1:16" ht="15" x14ac:dyDescent="0.25">
      <c r="A60" s="458">
        <f t="shared" si="1"/>
        <v>55</v>
      </c>
      <c r="B60" t="s">
        <v>111</v>
      </c>
      <c r="C60"/>
      <c r="D60" s="459">
        <f t="shared" ref="D60:D61" ca="1" si="36">SUM(E60:P60)</f>
        <v>1298591683.0049999</v>
      </c>
      <c r="E60" s="459">
        <f ca="1">+'[59]kWh Summary'!C11</f>
        <v>109053867.52000001</v>
      </c>
      <c r="F60" s="459">
        <f ca="1">+'[59]kWh Summary'!D11</f>
        <v>93118408.108999997</v>
      </c>
      <c r="G60" s="459">
        <f ca="1">+'[59]kWh Summary'!E11</f>
        <v>124261477.088</v>
      </c>
      <c r="H60" s="459">
        <f ca="1">+'[59]kWh Summary'!F11</f>
        <v>99517418.877000004</v>
      </c>
      <c r="I60" s="459">
        <f ca="1">+'[59]kWh Summary'!G11</f>
        <v>117569070.256</v>
      </c>
      <c r="J60" s="459">
        <f ca="1">+'[59]kWh Summary'!H11</f>
        <v>106099438.755</v>
      </c>
      <c r="K60" s="459">
        <f ca="1">+'[59]kWh Summary'!I11</f>
        <v>92950178.434</v>
      </c>
      <c r="L60" s="459">
        <f ca="1">+'[59]kWh Summary'!J11</f>
        <v>94591911.449000001</v>
      </c>
      <c r="M60" s="459">
        <f ca="1">+'[59]kWh Summary'!K11</f>
        <v>107946736.596</v>
      </c>
      <c r="N60" s="459">
        <f ca="1">+'[59]kWh Summary'!L11</f>
        <v>98942735.914999992</v>
      </c>
      <c r="O60" s="459">
        <f ca="1">+'[59]kWh Summary'!M11</f>
        <v>144891319.664</v>
      </c>
      <c r="P60" s="459">
        <f ca="1">+'[59]kWh Summary'!N11</f>
        <v>109649120.34199999</v>
      </c>
    </row>
    <row r="61" spans="1:16" ht="15" x14ac:dyDescent="0.25">
      <c r="A61" s="458">
        <f t="shared" si="1"/>
        <v>56</v>
      </c>
      <c r="B61" t="s">
        <v>112</v>
      </c>
      <c r="C61"/>
      <c r="D61" s="459">
        <f t="shared" ca="1" si="36"/>
        <v>-1.9950000047683716</v>
      </c>
      <c r="E61" s="459">
        <f ca="1">+E60-E57</f>
        <v>-0.47999998927116394</v>
      </c>
      <c r="F61" s="459">
        <f t="shared" ref="F61:P61" ca="1" si="37">+F60-F57</f>
        <v>0.10899999737739563</v>
      </c>
      <c r="G61" s="459">
        <f t="shared" ca="1" si="37"/>
        <v>8.7999999523162842E-2</v>
      </c>
      <c r="H61" s="459">
        <f t="shared" ca="1" si="37"/>
        <v>-0.12299999594688416</v>
      </c>
      <c r="I61" s="459">
        <f t="shared" ca="1" si="37"/>
        <v>0.25599999725818634</v>
      </c>
      <c r="J61" s="459">
        <f t="shared" ca="1" si="37"/>
        <v>-0.24500000476837158</v>
      </c>
      <c r="K61" s="459">
        <f t="shared" ca="1" si="37"/>
        <v>0.43400000035762787</v>
      </c>
      <c r="L61" s="459">
        <f t="shared" ca="1" si="37"/>
        <v>0.44900000095367432</v>
      </c>
      <c r="M61" s="459">
        <f t="shared" ca="1" si="37"/>
        <v>-0.40399999916553497</v>
      </c>
      <c r="N61" s="459">
        <f t="shared" ca="1" si="37"/>
        <v>-8.5000008344650269E-2</v>
      </c>
      <c r="O61" s="459">
        <f t="shared" ca="1" si="37"/>
        <v>-0.335999995470047</v>
      </c>
      <c r="P61" s="459">
        <f t="shared" ca="1" si="37"/>
        <v>-1.6580000072717667</v>
      </c>
    </row>
    <row r="62" spans="1:16" ht="15" x14ac:dyDescent="0.25">
      <c r="A62" s="458">
        <f t="shared" si="1"/>
        <v>57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 s="458">
        <f t="shared" si="1"/>
        <v>58</v>
      </c>
      <c r="B63" t="s">
        <v>113</v>
      </c>
      <c r="C63"/>
      <c r="D63" s="469">
        <f t="shared" ref="D63" ca="1" si="38">SUM(E63:P63)</f>
        <v>-8717071.8099999949</v>
      </c>
      <c r="E63" s="469">
        <f ca="1">+E54-E96-D108</f>
        <v>-760852.59000000032</v>
      </c>
      <c r="F63" s="469">
        <f t="shared" ref="F63:P63" ca="1" si="39">+F54-F96-E108</f>
        <v>350896.61000000103</v>
      </c>
      <c r="G63" s="469">
        <f t="shared" ca="1" si="39"/>
        <v>-1546028.8999999983</v>
      </c>
      <c r="H63" s="469">
        <f t="shared" ca="1" si="39"/>
        <v>-104316.36000000029</v>
      </c>
      <c r="I63" s="469">
        <f t="shared" ca="1" si="39"/>
        <v>-1018558.0700000005</v>
      </c>
      <c r="J63" s="469">
        <f t="shared" ca="1" si="39"/>
        <v>-550121.04999999912</v>
      </c>
      <c r="K63" s="469">
        <f t="shared" ca="1" si="39"/>
        <v>-284154.17999999993</v>
      </c>
      <c r="L63" s="469">
        <f t="shared" ca="1" si="39"/>
        <v>-1018743.4099999997</v>
      </c>
      <c r="M63" s="469">
        <f t="shared" ca="1" si="39"/>
        <v>-65008.329999997768</v>
      </c>
      <c r="N63" s="469">
        <f t="shared" ca="1" si="39"/>
        <v>302573.24000000063</v>
      </c>
      <c r="O63" s="469">
        <f t="shared" ca="1" si="39"/>
        <v>-3296887.26</v>
      </c>
      <c r="P63" s="469">
        <f t="shared" ca="1" si="39"/>
        <v>-725871.51000000013</v>
      </c>
    </row>
    <row r="64" spans="1:16" ht="15" x14ac:dyDescent="0.25">
      <c r="A64" s="458">
        <f t="shared" si="1"/>
        <v>59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 s="458">
        <f t="shared" si="1"/>
        <v>60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 s="458">
        <f t="shared" si="1"/>
        <v>61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 s="458">
        <f t="shared" si="1"/>
        <v>62</v>
      </c>
      <c r="B67" s="477" t="s">
        <v>58</v>
      </c>
      <c r="C67" s="470">
        <v>31</v>
      </c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 s="458">
        <f t="shared" si="1"/>
        <v>63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 s="458">
        <f t="shared" si="1"/>
        <v>64</v>
      </c>
      <c r="B69"/>
      <c r="C69"/>
      <c r="D69" s="477" t="s">
        <v>114</v>
      </c>
      <c r="E69"/>
      <c r="F69"/>
      <c r="G69"/>
      <c r="H69"/>
      <c r="I69"/>
      <c r="J69"/>
      <c r="K69"/>
      <c r="L69"/>
      <c r="M69"/>
      <c r="N69"/>
      <c r="O69"/>
      <c r="P69"/>
    </row>
    <row r="70" spans="1:16" ht="30" x14ac:dyDescent="0.25">
      <c r="A70" s="458">
        <f t="shared" si="1"/>
        <v>65</v>
      </c>
      <c r="B70" s="478" t="s">
        <v>115</v>
      </c>
      <c r="C70" s="478" t="s">
        <v>116</v>
      </c>
      <c r="D70" s="471" t="s">
        <v>439</v>
      </c>
      <c r="E70" s="471" t="s">
        <v>440</v>
      </c>
      <c r="F70" s="471" t="s">
        <v>441</v>
      </c>
      <c r="G70" s="471" t="s">
        <v>442</v>
      </c>
      <c r="H70" s="471" t="s">
        <v>443</v>
      </c>
      <c r="I70" s="471" t="s">
        <v>444</v>
      </c>
      <c r="J70" s="471" t="s">
        <v>445</v>
      </c>
      <c r="K70" s="471" t="s">
        <v>446</v>
      </c>
      <c r="L70" s="471" t="s">
        <v>447</v>
      </c>
      <c r="M70" s="471" t="s">
        <v>448</v>
      </c>
      <c r="N70" s="471" t="s">
        <v>449</v>
      </c>
      <c r="O70" t="s">
        <v>450</v>
      </c>
      <c r="P70" t="s">
        <v>451</v>
      </c>
    </row>
    <row r="71" spans="1:16" ht="15" x14ac:dyDescent="0.25">
      <c r="A71" s="458">
        <f t="shared" ref="A71:A98" si="40">+A70+1</f>
        <v>66</v>
      </c>
      <c r="B71" t="s">
        <v>117</v>
      </c>
      <c r="C71" t="s">
        <v>163</v>
      </c>
      <c r="D71" s="472">
        <v>0</v>
      </c>
      <c r="E71" s="472">
        <v>0</v>
      </c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</row>
    <row r="72" spans="1:16" ht="15" x14ac:dyDescent="0.25">
      <c r="A72" s="458">
        <f t="shared" si="40"/>
        <v>67</v>
      </c>
      <c r="B72"/>
      <c r="C72" t="s">
        <v>119</v>
      </c>
      <c r="D72" s="472">
        <v>2089505.79</v>
      </c>
      <c r="E72" s="472">
        <v>172744.44</v>
      </c>
      <c r="F72" s="472">
        <v>166784.04</v>
      </c>
      <c r="G72" s="472">
        <v>180810.61</v>
      </c>
      <c r="H72" s="472">
        <v>163464.78</v>
      </c>
      <c r="I72" s="472">
        <v>181690.98</v>
      </c>
      <c r="J72" s="472">
        <v>165725.21000000002</v>
      </c>
      <c r="K72" s="472">
        <v>166700.76</v>
      </c>
      <c r="L72" s="472">
        <v>162394.04999999999</v>
      </c>
      <c r="M72" s="472">
        <v>174160.19</v>
      </c>
      <c r="N72" s="472">
        <v>164178.6</v>
      </c>
      <c r="O72" s="472">
        <v>212361.45</v>
      </c>
      <c r="P72" s="472">
        <v>178490.68</v>
      </c>
    </row>
    <row r="73" spans="1:16" ht="15" x14ac:dyDescent="0.25">
      <c r="A73" s="458">
        <f t="shared" si="40"/>
        <v>68</v>
      </c>
      <c r="B73" t="s">
        <v>120</v>
      </c>
      <c r="C73"/>
      <c r="D73" s="472">
        <v>2089505.79</v>
      </c>
      <c r="E73" s="472">
        <v>172744.44</v>
      </c>
      <c r="F73" s="472">
        <v>166784.04</v>
      </c>
      <c r="G73" s="472">
        <v>180810.61</v>
      </c>
      <c r="H73" s="472">
        <v>163464.78</v>
      </c>
      <c r="I73" s="472">
        <v>181690.98</v>
      </c>
      <c r="J73" s="472">
        <v>165725.21000000002</v>
      </c>
      <c r="K73" s="472">
        <v>166700.76</v>
      </c>
      <c r="L73" s="472">
        <v>162394.04999999999</v>
      </c>
      <c r="M73" s="472">
        <v>174160.19</v>
      </c>
      <c r="N73" s="472">
        <v>164178.6</v>
      </c>
      <c r="O73" s="472">
        <v>212361.45</v>
      </c>
      <c r="P73" s="472">
        <v>178490.68</v>
      </c>
    </row>
    <row r="74" spans="1:16" ht="15" x14ac:dyDescent="0.25">
      <c r="A74" s="458">
        <f t="shared" si="40"/>
        <v>69</v>
      </c>
      <c r="B74" t="s">
        <v>121</v>
      </c>
      <c r="C74" t="s">
        <v>164</v>
      </c>
      <c r="D74" s="472">
        <v>0</v>
      </c>
      <c r="E74" s="472">
        <v>0</v>
      </c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</row>
    <row r="75" spans="1:16" ht="15" x14ac:dyDescent="0.25">
      <c r="A75" s="458">
        <f t="shared" si="40"/>
        <v>70</v>
      </c>
      <c r="B75"/>
      <c r="C75" t="s">
        <v>165</v>
      </c>
      <c r="D75" s="472">
        <v>59780.869999999995</v>
      </c>
      <c r="E75" s="472">
        <v>-49134.89</v>
      </c>
      <c r="F75" s="472">
        <v>108915.76</v>
      </c>
      <c r="G75" s="472"/>
      <c r="H75" s="472"/>
      <c r="I75" s="472"/>
      <c r="J75" s="472"/>
      <c r="K75" s="472">
        <v>0</v>
      </c>
      <c r="L75" s="472"/>
      <c r="M75" s="472"/>
      <c r="N75" s="472"/>
      <c r="O75" s="472"/>
      <c r="P75" s="472"/>
    </row>
    <row r="76" spans="1:16" ht="15" x14ac:dyDescent="0.25">
      <c r="A76" s="458">
        <f t="shared" si="40"/>
        <v>71</v>
      </c>
      <c r="B76"/>
      <c r="C76" t="s">
        <v>166</v>
      </c>
      <c r="D76" s="472">
        <v>46940968.710000001</v>
      </c>
      <c r="E76" s="472">
        <v>6215806.6100000013</v>
      </c>
      <c r="F76" s="472">
        <v>5155640.41</v>
      </c>
      <c r="G76" s="472">
        <v>7026240.9499999993</v>
      </c>
      <c r="H76" s="472">
        <v>5627113.0199999996</v>
      </c>
      <c r="I76" s="472">
        <v>6647825.4700000007</v>
      </c>
      <c r="J76" s="472">
        <v>5999286.6799999997</v>
      </c>
      <c r="K76" s="472">
        <v>5255774.87</v>
      </c>
      <c r="L76" s="472">
        <v>3818988.43</v>
      </c>
      <c r="M76" s="472">
        <v>932600.83</v>
      </c>
      <c r="N76" s="472">
        <v>259265.14</v>
      </c>
      <c r="O76" s="472">
        <v>84582.46</v>
      </c>
      <c r="P76" s="472">
        <v>-82156.160000000003</v>
      </c>
    </row>
    <row r="77" spans="1:16" ht="15" x14ac:dyDescent="0.25">
      <c r="A77" s="458">
        <f t="shared" si="40"/>
        <v>72</v>
      </c>
      <c r="B77"/>
      <c r="C77" t="s">
        <v>490</v>
      </c>
      <c r="D77" s="472">
        <v>26475490.170000002</v>
      </c>
      <c r="E77" s="472"/>
      <c r="F77" s="472"/>
      <c r="G77" s="472"/>
      <c r="H77" s="472"/>
      <c r="I77" s="472"/>
      <c r="J77" s="472"/>
      <c r="K77" s="472"/>
      <c r="L77" s="472">
        <v>1532457.02</v>
      </c>
      <c r="M77" s="472">
        <v>5180742.01</v>
      </c>
      <c r="N77" s="472">
        <v>5345260.51</v>
      </c>
      <c r="O77" s="472">
        <v>8123208.7800000003</v>
      </c>
      <c r="P77" s="472">
        <v>6293821.8500000006</v>
      </c>
    </row>
    <row r="78" spans="1:16" ht="15" x14ac:dyDescent="0.25">
      <c r="A78" s="458">
        <f t="shared" si="40"/>
        <v>73</v>
      </c>
      <c r="B78"/>
      <c r="C78" t="s">
        <v>167</v>
      </c>
      <c r="D78" s="472">
        <v>0</v>
      </c>
      <c r="E78" s="472">
        <v>0</v>
      </c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</row>
    <row r="79" spans="1:16" ht="15" x14ac:dyDescent="0.25">
      <c r="A79" s="458">
        <f t="shared" si="40"/>
        <v>74</v>
      </c>
      <c r="B79"/>
      <c r="C79" t="s">
        <v>168</v>
      </c>
      <c r="D79" s="472">
        <v>0</v>
      </c>
      <c r="E79" s="472">
        <v>0</v>
      </c>
      <c r="F79" s="472"/>
      <c r="G79" s="472"/>
      <c r="H79" s="472"/>
      <c r="I79" s="472"/>
      <c r="J79" s="472"/>
      <c r="K79" s="472"/>
      <c r="L79" s="472"/>
      <c r="M79" s="472"/>
      <c r="N79" s="472"/>
      <c r="O79" s="472"/>
      <c r="P79" s="472"/>
    </row>
    <row r="80" spans="1:16" ht="15" x14ac:dyDescent="0.25">
      <c r="A80" s="458">
        <f t="shared" si="40"/>
        <v>75</v>
      </c>
      <c r="B80" t="s">
        <v>126</v>
      </c>
      <c r="C80"/>
      <c r="D80" s="472">
        <v>73476239.75</v>
      </c>
      <c r="E80" s="472">
        <v>6166671.7200000016</v>
      </c>
      <c r="F80" s="472">
        <v>5264556.17</v>
      </c>
      <c r="G80" s="472">
        <v>7026240.9499999993</v>
      </c>
      <c r="H80" s="472">
        <v>5627113.0199999996</v>
      </c>
      <c r="I80" s="472">
        <v>6647825.4700000007</v>
      </c>
      <c r="J80" s="472">
        <v>5999286.6799999997</v>
      </c>
      <c r="K80" s="472">
        <v>5255774.87</v>
      </c>
      <c r="L80" s="472">
        <v>5351445.45</v>
      </c>
      <c r="M80" s="472">
        <v>6113342.8399999999</v>
      </c>
      <c r="N80" s="472">
        <v>5604525.6499999994</v>
      </c>
      <c r="O80" s="472">
        <v>8207791.2400000002</v>
      </c>
      <c r="P80" s="472">
        <v>6211665.6900000004</v>
      </c>
    </row>
    <row r="81" spans="1:16" ht="15" x14ac:dyDescent="0.25">
      <c r="A81" s="458">
        <f t="shared" si="40"/>
        <v>76</v>
      </c>
      <c r="B81" t="s">
        <v>169</v>
      </c>
      <c r="C81" t="s">
        <v>170</v>
      </c>
      <c r="D81" s="472">
        <v>304.85000000000002</v>
      </c>
      <c r="E81" s="472">
        <v>304.85000000000002</v>
      </c>
      <c r="F81" s="472"/>
      <c r="G81" s="472"/>
      <c r="H81" s="472"/>
      <c r="I81" s="472"/>
      <c r="J81" s="472"/>
      <c r="K81" s="472"/>
      <c r="L81" s="472"/>
      <c r="M81" s="472"/>
      <c r="N81" s="472"/>
      <c r="O81" s="472"/>
      <c r="P81" s="472"/>
    </row>
    <row r="82" spans="1:16" ht="15" x14ac:dyDescent="0.25">
      <c r="A82" s="458">
        <f t="shared" si="40"/>
        <v>77</v>
      </c>
      <c r="B82"/>
      <c r="C82" t="s">
        <v>171</v>
      </c>
      <c r="D82" s="472">
        <v>567.27</v>
      </c>
      <c r="E82" s="472">
        <v>567.27</v>
      </c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</row>
    <row r="83" spans="1:16" ht="15" x14ac:dyDescent="0.25">
      <c r="A83" s="458">
        <f t="shared" si="40"/>
        <v>78</v>
      </c>
      <c r="B83"/>
      <c r="C83" t="s">
        <v>172</v>
      </c>
      <c r="D83" s="472">
        <v>6780.54</v>
      </c>
      <c r="E83" s="472">
        <v>1327.99</v>
      </c>
      <c r="F83" s="472">
        <v>5452.55</v>
      </c>
      <c r="G83" s="472"/>
      <c r="H83" s="472"/>
      <c r="I83" s="472"/>
      <c r="J83" s="472"/>
      <c r="K83" s="472">
        <v>0</v>
      </c>
      <c r="L83" s="472"/>
      <c r="M83" s="472"/>
      <c r="N83" s="472"/>
      <c r="O83" s="472"/>
      <c r="P83" s="472"/>
    </row>
    <row r="84" spans="1:16" ht="15" x14ac:dyDescent="0.25">
      <c r="A84" s="458">
        <f t="shared" si="40"/>
        <v>79</v>
      </c>
      <c r="B84"/>
      <c r="C84" t="s">
        <v>173</v>
      </c>
      <c r="D84" s="472">
        <v>180.43</v>
      </c>
      <c r="E84" s="472">
        <v>180.43</v>
      </c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</row>
    <row r="85" spans="1:16" ht="15" x14ac:dyDescent="0.25">
      <c r="A85" s="458">
        <f t="shared" si="40"/>
        <v>80</v>
      </c>
      <c r="B85"/>
      <c r="C85" t="s">
        <v>174</v>
      </c>
      <c r="D85" s="472">
        <v>600.48</v>
      </c>
      <c r="E85" s="472">
        <v>600.48</v>
      </c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</row>
    <row r="86" spans="1:16" ht="15" x14ac:dyDescent="0.25">
      <c r="A86" s="458">
        <f t="shared" si="40"/>
        <v>81</v>
      </c>
      <c r="B86"/>
      <c r="C86" t="s">
        <v>175</v>
      </c>
      <c r="D86" s="472">
        <v>3992140.62</v>
      </c>
      <c r="E86" s="472">
        <v>1544578.11</v>
      </c>
      <c r="F86" s="472">
        <v>70911.81</v>
      </c>
      <c r="G86" s="472">
        <v>53178.7</v>
      </c>
      <c r="H86" s="472">
        <v>6.68</v>
      </c>
      <c r="I86" s="472"/>
      <c r="J86" s="472"/>
      <c r="K86" s="472">
        <v>649166.55000000005</v>
      </c>
      <c r="L86" s="472">
        <v>1260220.47</v>
      </c>
      <c r="M86" s="472">
        <v>328584.7</v>
      </c>
      <c r="N86" s="472">
        <v>66469.179999999993</v>
      </c>
      <c r="O86" s="472">
        <v>17872.93</v>
      </c>
      <c r="P86" s="472">
        <v>1151.49</v>
      </c>
    </row>
    <row r="87" spans="1:16" ht="15" x14ac:dyDescent="0.25">
      <c r="A87" s="458">
        <f t="shared" si="40"/>
        <v>82</v>
      </c>
      <c r="B87"/>
      <c r="C87" t="s">
        <v>491</v>
      </c>
      <c r="D87" s="472">
        <v>21.39</v>
      </c>
      <c r="E87" s="472">
        <v>21.39</v>
      </c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</row>
    <row r="88" spans="1:16" ht="15" x14ac:dyDescent="0.25">
      <c r="A88" s="458">
        <f t="shared" si="40"/>
        <v>83</v>
      </c>
      <c r="B88"/>
      <c r="C88" t="s">
        <v>176</v>
      </c>
      <c r="D88" s="472">
        <v>432.96</v>
      </c>
      <c r="E88" s="472">
        <v>432.96</v>
      </c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</row>
    <row r="89" spans="1:16" ht="15" x14ac:dyDescent="0.25">
      <c r="A89" s="458">
        <f t="shared" si="40"/>
        <v>84</v>
      </c>
      <c r="B89"/>
      <c r="C89" t="s">
        <v>492</v>
      </c>
      <c r="D89" s="472">
        <v>10990729.15</v>
      </c>
      <c r="E89" s="472"/>
      <c r="F89" s="472"/>
      <c r="G89" s="472"/>
      <c r="H89" s="472"/>
      <c r="I89" s="472"/>
      <c r="J89" s="472"/>
      <c r="K89" s="472"/>
      <c r="L89" s="472">
        <v>671481.10000000009</v>
      </c>
      <c r="M89" s="472">
        <v>2180714.83</v>
      </c>
      <c r="N89" s="472">
        <v>2263776.36</v>
      </c>
      <c r="O89" s="472">
        <v>3235307.57</v>
      </c>
      <c r="P89" s="472">
        <v>2639449.29</v>
      </c>
    </row>
    <row r="90" spans="1:16" ht="15" x14ac:dyDescent="0.25">
      <c r="A90" s="458">
        <f t="shared" si="40"/>
        <v>85</v>
      </c>
      <c r="B90"/>
      <c r="C90" t="s">
        <v>177</v>
      </c>
      <c r="D90" s="472">
        <v>22914.58</v>
      </c>
      <c r="E90" s="472">
        <v>-27326.35</v>
      </c>
      <c r="F90" s="472">
        <v>50240.93</v>
      </c>
      <c r="G90" s="472"/>
      <c r="H90" s="472"/>
      <c r="I90" s="472"/>
      <c r="J90" s="472"/>
      <c r="K90" s="472">
        <v>0</v>
      </c>
      <c r="L90" s="472"/>
      <c r="M90" s="472"/>
      <c r="N90" s="472"/>
      <c r="O90" s="472"/>
      <c r="P90" s="472"/>
    </row>
    <row r="91" spans="1:16" ht="15" x14ac:dyDescent="0.25">
      <c r="A91" s="458">
        <f t="shared" si="40"/>
        <v>86</v>
      </c>
      <c r="B91"/>
      <c r="C91" t="s">
        <v>178</v>
      </c>
      <c r="D91" s="472">
        <v>456.03</v>
      </c>
      <c r="E91" s="472">
        <v>456.03</v>
      </c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</row>
    <row r="92" spans="1:16" ht="15" x14ac:dyDescent="0.25">
      <c r="A92" s="458">
        <f t="shared" si="40"/>
        <v>87</v>
      </c>
      <c r="B92"/>
      <c r="C92" t="s">
        <v>493</v>
      </c>
      <c r="D92" s="472">
        <v>19500049.909999996</v>
      </c>
      <c r="E92" s="472">
        <v>1176553.1299999999</v>
      </c>
      <c r="F92" s="472">
        <v>2737828.73</v>
      </c>
      <c r="G92" s="472">
        <v>3642288.21</v>
      </c>
      <c r="H92" s="472">
        <v>2916270.71</v>
      </c>
      <c r="I92" s="472">
        <v>3499113.36</v>
      </c>
      <c r="J92" s="472">
        <v>3124509.55</v>
      </c>
      <c r="K92" s="472">
        <v>1959873.2</v>
      </c>
      <c r="L92" s="472">
        <v>384735.35</v>
      </c>
      <c r="M92" s="472">
        <v>48836.869999999995</v>
      </c>
      <c r="N92" s="472">
        <v>3097.28</v>
      </c>
      <c r="O92" s="472">
        <v>6943.52</v>
      </c>
      <c r="P92" s="472">
        <v>0</v>
      </c>
    </row>
    <row r="93" spans="1:16" ht="15" x14ac:dyDescent="0.25">
      <c r="A93" s="458">
        <f t="shared" si="40"/>
        <v>88</v>
      </c>
      <c r="B93" t="s">
        <v>179</v>
      </c>
      <c r="C93"/>
      <c r="D93" s="472">
        <v>34515178.209999993</v>
      </c>
      <c r="E93" s="472">
        <v>2697696.29</v>
      </c>
      <c r="F93" s="472">
        <v>2864434.02</v>
      </c>
      <c r="G93" s="472">
        <v>3695466.91</v>
      </c>
      <c r="H93" s="472">
        <v>2916277.39</v>
      </c>
      <c r="I93" s="472">
        <v>3499113.36</v>
      </c>
      <c r="J93" s="472">
        <v>3124509.55</v>
      </c>
      <c r="K93" s="472">
        <v>2609039.75</v>
      </c>
      <c r="L93" s="472">
        <v>2316436.92</v>
      </c>
      <c r="M93" s="472">
        <v>2558136.4000000004</v>
      </c>
      <c r="N93" s="472">
        <v>2333342.8199999998</v>
      </c>
      <c r="O93" s="472">
        <v>3260124.02</v>
      </c>
      <c r="P93" s="472">
        <v>2640600.7800000003</v>
      </c>
    </row>
    <row r="94" spans="1:16" ht="15" x14ac:dyDescent="0.25">
      <c r="A94" s="458">
        <f t="shared" si="40"/>
        <v>89</v>
      </c>
      <c r="B94" t="s">
        <v>138</v>
      </c>
      <c r="C94" t="s">
        <v>180</v>
      </c>
      <c r="D94" s="472">
        <v>750267.79999999993</v>
      </c>
      <c r="E94" s="472">
        <v>65591.12000000001</v>
      </c>
      <c r="F94" s="472">
        <v>55618.149999999994</v>
      </c>
      <c r="G94" s="472">
        <v>66972.11</v>
      </c>
      <c r="H94" s="472">
        <v>52489.380000000005</v>
      </c>
      <c r="I94" s="472">
        <v>64099</v>
      </c>
      <c r="J94" s="472">
        <v>57152.18</v>
      </c>
      <c r="K94" s="472">
        <v>53218.04</v>
      </c>
      <c r="L94" s="472">
        <v>57219.759999999995</v>
      </c>
      <c r="M94" s="472">
        <v>64129.420000000006</v>
      </c>
      <c r="N94" s="472">
        <v>60144</v>
      </c>
      <c r="O94" s="472">
        <v>86341.459999999992</v>
      </c>
      <c r="P94" s="472">
        <v>67293.180000000008</v>
      </c>
    </row>
    <row r="95" spans="1:16" ht="15" x14ac:dyDescent="0.25">
      <c r="A95" s="458">
        <f t="shared" si="40"/>
        <v>90</v>
      </c>
      <c r="B95" t="s">
        <v>140</v>
      </c>
      <c r="C95"/>
      <c r="D95" s="472">
        <v>750267.79999999993</v>
      </c>
      <c r="E95" s="472">
        <v>65591.12000000001</v>
      </c>
      <c r="F95" s="472">
        <v>55618.149999999994</v>
      </c>
      <c r="G95" s="472">
        <v>66972.11</v>
      </c>
      <c r="H95" s="472">
        <v>52489.380000000005</v>
      </c>
      <c r="I95" s="472">
        <v>64099</v>
      </c>
      <c r="J95" s="472">
        <v>57152.18</v>
      </c>
      <c r="K95" s="472">
        <v>53218.04</v>
      </c>
      <c r="L95" s="472">
        <v>57219.759999999995</v>
      </c>
      <c r="M95" s="472">
        <v>64129.420000000006</v>
      </c>
      <c r="N95" s="472">
        <v>60144</v>
      </c>
      <c r="O95" s="472">
        <v>86341.459999999992</v>
      </c>
      <c r="P95" s="472">
        <v>67293.180000000008</v>
      </c>
    </row>
    <row r="96" spans="1:16" ht="15" x14ac:dyDescent="0.25">
      <c r="A96" s="458">
        <f t="shared" si="40"/>
        <v>91</v>
      </c>
      <c r="B96" t="s">
        <v>40</v>
      </c>
      <c r="C96"/>
      <c r="D96" s="472">
        <v>110831191.55000001</v>
      </c>
      <c r="E96" s="472">
        <v>9102703.5700000003</v>
      </c>
      <c r="F96" s="472">
        <v>8351392.379999999</v>
      </c>
      <c r="G96" s="472">
        <v>10969490.579999998</v>
      </c>
      <c r="H96" s="472">
        <v>8759344.5700000003</v>
      </c>
      <c r="I96" s="472">
        <v>10392728.810000001</v>
      </c>
      <c r="J96" s="472">
        <v>9346673.6199999992</v>
      </c>
      <c r="K96" s="472">
        <v>8084733.4199999999</v>
      </c>
      <c r="L96" s="472">
        <v>7887496.1799999997</v>
      </c>
      <c r="M96" s="472">
        <v>8909768.8499999978</v>
      </c>
      <c r="N96" s="472">
        <v>8162191.0699999994</v>
      </c>
      <c r="O96" s="472">
        <v>11766618.17</v>
      </c>
      <c r="P96" s="472">
        <v>9098050.3300000001</v>
      </c>
    </row>
    <row r="97" spans="1:16" ht="15" x14ac:dyDescent="0.25">
      <c r="A97" s="458">
        <f t="shared" si="40"/>
        <v>92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 s="458">
        <f t="shared" si="40"/>
        <v>93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 s="458">
        <f>+A98+1</f>
        <v>94</v>
      </c>
      <c r="B99" s="477" t="s">
        <v>64</v>
      </c>
      <c r="C99" t="s">
        <v>67</v>
      </c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 s="458">
        <f t="shared" ref="A100:A148" si="41">+A99+1</f>
        <v>95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 s="458">
        <f t="shared" si="41"/>
        <v>96</v>
      </c>
      <c r="B101" s="477" t="s">
        <v>494</v>
      </c>
      <c r="C101"/>
      <c r="D101" s="477" t="s">
        <v>495</v>
      </c>
      <c r="E101" s="477" t="s">
        <v>240</v>
      </c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 s="458">
        <f t="shared" si="41"/>
        <v>97</v>
      </c>
      <c r="B102"/>
      <c r="C102"/>
      <c r="D102">
        <v>2015</v>
      </c>
      <c r="E102"/>
      <c r="F102"/>
      <c r="G102">
        <v>2016</v>
      </c>
      <c r="H102"/>
      <c r="I102"/>
      <c r="J102"/>
      <c r="K102"/>
      <c r="L102"/>
      <c r="M102"/>
      <c r="N102"/>
      <c r="O102"/>
      <c r="P102" t="s">
        <v>40</v>
      </c>
    </row>
    <row r="103" spans="1:16" ht="15" x14ac:dyDescent="0.25">
      <c r="A103" s="458">
        <f t="shared" si="41"/>
        <v>98</v>
      </c>
      <c r="B103" s="477" t="s">
        <v>115</v>
      </c>
      <c r="C103" s="477" t="s">
        <v>116</v>
      </c>
      <c r="D103">
        <v>10</v>
      </c>
      <c r="E103">
        <v>11</v>
      </c>
      <c r="F103">
        <v>12</v>
      </c>
      <c r="G103">
        <v>1</v>
      </c>
      <c r="H103">
        <v>2</v>
      </c>
      <c r="I103">
        <v>3</v>
      </c>
      <c r="J103">
        <v>4</v>
      </c>
      <c r="K103">
        <v>5</v>
      </c>
      <c r="L103">
        <v>6</v>
      </c>
      <c r="M103">
        <v>7</v>
      </c>
      <c r="N103">
        <v>8</v>
      </c>
      <c r="O103">
        <v>9</v>
      </c>
      <c r="P103"/>
    </row>
    <row r="104" spans="1:16" ht="15" x14ac:dyDescent="0.25">
      <c r="A104" s="458">
        <f t="shared" si="41"/>
        <v>99</v>
      </c>
      <c r="B104" t="s">
        <v>496</v>
      </c>
      <c r="C104" t="s">
        <v>175</v>
      </c>
      <c r="D104" s="472">
        <v>35356.04</v>
      </c>
      <c r="E104" s="472"/>
      <c r="F104" s="472"/>
      <c r="G104" s="472"/>
      <c r="H104" s="472"/>
      <c r="I104" s="472"/>
      <c r="J104" s="472">
        <v>15048.6</v>
      </c>
      <c r="K104" s="472">
        <v>18847.98</v>
      </c>
      <c r="L104" s="472">
        <v>991.87</v>
      </c>
      <c r="M104" s="472">
        <v>16098.33</v>
      </c>
      <c r="N104" s="472"/>
      <c r="O104" s="472"/>
      <c r="P104" s="472">
        <v>86342.819999999992</v>
      </c>
    </row>
    <row r="105" spans="1:16" ht="15" x14ac:dyDescent="0.25">
      <c r="A105" s="458">
        <f t="shared" si="41"/>
        <v>100</v>
      </c>
      <c r="B105"/>
      <c r="C105" t="s">
        <v>492</v>
      </c>
      <c r="D105" s="472"/>
      <c r="E105" s="472"/>
      <c r="F105" s="472"/>
      <c r="G105" s="472"/>
      <c r="H105" s="472"/>
      <c r="I105" s="472"/>
      <c r="J105" s="472"/>
      <c r="K105" s="472">
        <v>11694.55</v>
      </c>
      <c r="L105" s="472">
        <v>36512.61</v>
      </c>
      <c r="M105" s="472">
        <v>71984.36</v>
      </c>
      <c r="N105" s="472">
        <v>55264.09</v>
      </c>
      <c r="O105" s="472">
        <v>50623.18</v>
      </c>
      <c r="P105" s="472">
        <v>226078.78999999998</v>
      </c>
    </row>
    <row r="106" spans="1:16" ht="15" x14ac:dyDescent="0.25">
      <c r="A106" s="458">
        <f t="shared" si="41"/>
        <v>101</v>
      </c>
      <c r="B106"/>
      <c r="C106" t="s">
        <v>493</v>
      </c>
      <c r="D106" s="472">
        <v>19671.98</v>
      </c>
      <c r="E106" s="472">
        <v>68083.009999999995</v>
      </c>
      <c r="F106" s="472">
        <v>78656.320000000007</v>
      </c>
      <c r="G106" s="472">
        <v>92739.79</v>
      </c>
      <c r="H106" s="472">
        <v>79574.259999999995</v>
      </c>
      <c r="I106" s="472">
        <v>66491.429999999993</v>
      </c>
      <c r="J106" s="472">
        <v>47288.160000000003</v>
      </c>
      <c r="K106" s="472">
        <v>11671.7</v>
      </c>
      <c r="L106" s="472"/>
      <c r="M106" s="472"/>
      <c r="N106" s="472"/>
      <c r="O106" s="472"/>
      <c r="P106" s="472">
        <v>464176.64999999997</v>
      </c>
    </row>
    <row r="107" spans="1:16" ht="15" x14ac:dyDescent="0.25">
      <c r="A107" s="458">
        <f t="shared" si="41"/>
        <v>102</v>
      </c>
      <c r="B107" t="s">
        <v>497</v>
      </c>
      <c r="C107"/>
      <c r="D107" s="472">
        <v>55028.020000000004</v>
      </c>
      <c r="E107" s="472">
        <v>68083.009999999995</v>
      </c>
      <c r="F107" s="472">
        <v>78656.320000000007</v>
      </c>
      <c r="G107" s="472">
        <v>92739.79</v>
      </c>
      <c r="H107" s="472">
        <v>79574.259999999995</v>
      </c>
      <c r="I107" s="472">
        <v>66491.429999999993</v>
      </c>
      <c r="J107" s="472">
        <v>62336.76</v>
      </c>
      <c r="K107" s="472">
        <v>42214.229999999996</v>
      </c>
      <c r="L107" s="472">
        <v>37504.480000000003</v>
      </c>
      <c r="M107" s="472">
        <v>88082.69</v>
      </c>
      <c r="N107" s="472">
        <v>55264.09</v>
      </c>
      <c r="O107" s="472">
        <v>50623.18</v>
      </c>
      <c r="P107" s="472">
        <v>776598.26</v>
      </c>
    </row>
    <row r="108" spans="1:16" ht="15" x14ac:dyDescent="0.25">
      <c r="A108" s="458">
        <f t="shared" si="41"/>
        <v>103</v>
      </c>
      <c r="B108" t="s">
        <v>40</v>
      </c>
      <c r="C108"/>
      <c r="D108" s="472">
        <v>55028.020000000004</v>
      </c>
      <c r="E108" s="472">
        <v>68083.009999999995</v>
      </c>
      <c r="F108" s="472">
        <v>78656.320000000007</v>
      </c>
      <c r="G108" s="472">
        <v>92739.79</v>
      </c>
      <c r="H108" s="472">
        <v>79574.259999999995</v>
      </c>
      <c r="I108" s="472">
        <v>66491.429999999993</v>
      </c>
      <c r="J108" s="472">
        <v>62336.76</v>
      </c>
      <c r="K108" s="472">
        <v>42214.229999999996</v>
      </c>
      <c r="L108" s="472">
        <v>37504.480000000003</v>
      </c>
      <c r="M108" s="472">
        <v>88082.69</v>
      </c>
      <c r="N108" s="472">
        <v>55264.09</v>
      </c>
      <c r="O108" s="472">
        <v>50623.18</v>
      </c>
      <c r="P108" s="472">
        <v>776598.26</v>
      </c>
    </row>
    <row r="109" spans="1:16" ht="15" x14ac:dyDescent="0.25">
      <c r="A109" s="458">
        <f t="shared" si="41"/>
        <v>104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 s="458">
        <f t="shared" si="41"/>
        <v>105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 s="458">
        <f t="shared" si="41"/>
        <v>106</v>
      </c>
      <c r="B111"/>
      <c r="C111" s="477" t="s">
        <v>58</v>
      </c>
      <c r="D111" s="470">
        <v>31</v>
      </c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 s="458">
        <f t="shared" si="41"/>
        <v>107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 s="458">
        <f t="shared" si="41"/>
        <v>108</v>
      </c>
      <c r="B113"/>
      <c r="C113"/>
      <c r="D113" s="477" t="s">
        <v>114</v>
      </c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30" x14ac:dyDescent="0.25">
      <c r="A114" s="458">
        <f t="shared" si="41"/>
        <v>109</v>
      </c>
      <c r="B114" s="471"/>
      <c r="C114" s="478" t="s">
        <v>115</v>
      </c>
      <c r="D114" s="471" t="s">
        <v>439</v>
      </c>
      <c r="E114" s="471" t="s">
        <v>440</v>
      </c>
      <c r="F114" s="471" t="s">
        <v>441</v>
      </c>
      <c r="G114" s="471" t="s">
        <v>442</v>
      </c>
      <c r="H114" s="471" t="s">
        <v>443</v>
      </c>
      <c r="I114" s="471" t="s">
        <v>444</v>
      </c>
      <c r="J114" s="471" t="s">
        <v>445</v>
      </c>
      <c r="K114" s="471" t="s">
        <v>446</v>
      </c>
      <c r="L114" s="471" t="s">
        <v>447</v>
      </c>
      <c r="M114" s="471" t="s">
        <v>448</v>
      </c>
      <c r="N114" s="471" t="s">
        <v>449</v>
      </c>
      <c r="O114" t="s">
        <v>450</v>
      </c>
      <c r="P114" t="s">
        <v>451</v>
      </c>
    </row>
    <row r="115" spans="1:16" ht="15" x14ac:dyDescent="0.25">
      <c r="A115" s="458">
        <f t="shared" si="41"/>
        <v>110</v>
      </c>
      <c r="B115"/>
      <c r="C115" t="s">
        <v>459</v>
      </c>
      <c r="D115" s="472">
        <v>-1662144.99</v>
      </c>
      <c r="E115" s="472">
        <v>-139885.91</v>
      </c>
      <c r="F115" s="472">
        <v>-118842.32</v>
      </c>
      <c r="G115" s="472">
        <v>-159054.74</v>
      </c>
      <c r="H115" s="472">
        <v>-127382.39</v>
      </c>
      <c r="I115" s="472">
        <v>-150488.33000000002</v>
      </c>
      <c r="J115" s="472">
        <v>-135807.28</v>
      </c>
      <c r="K115" s="472">
        <v>-118976.23</v>
      </c>
      <c r="L115" s="472">
        <v>-121077.51000000001</v>
      </c>
      <c r="M115" s="472">
        <v>-138171.76</v>
      </c>
      <c r="N115" s="472">
        <v>-126646.75</v>
      </c>
      <c r="O115" s="472">
        <v>-185460.89</v>
      </c>
      <c r="P115" s="472">
        <v>-140350.88</v>
      </c>
    </row>
    <row r="116" spans="1:16" ht="15" x14ac:dyDescent="0.25">
      <c r="A116" s="458">
        <f t="shared" si="41"/>
        <v>111</v>
      </c>
      <c r="B116"/>
      <c r="C116" t="s">
        <v>460</v>
      </c>
      <c r="D116" s="472">
        <v>-3152905.84</v>
      </c>
      <c r="E116" s="472">
        <v>-249229.88999999998</v>
      </c>
      <c r="F116" s="472">
        <v>-212953.82</v>
      </c>
      <c r="G116" s="472">
        <v>-284061.82999999996</v>
      </c>
      <c r="H116" s="472">
        <v>-233797.9</v>
      </c>
      <c r="I116" s="472">
        <v>-291336.72000000003</v>
      </c>
      <c r="J116" s="472">
        <v>-264323.88000000006</v>
      </c>
      <c r="K116" s="472">
        <v>-231595.61000000002</v>
      </c>
      <c r="L116" s="472">
        <v>-235723.06</v>
      </c>
      <c r="M116" s="472">
        <v>-269003.21999999997</v>
      </c>
      <c r="N116" s="472">
        <v>-246565.22000000003</v>
      </c>
      <c r="O116" s="472">
        <v>-361069.23</v>
      </c>
      <c r="P116" s="472">
        <v>-273245.45999999996</v>
      </c>
    </row>
    <row r="117" spans="1:16" ht="15" x14ac:dyDescent="0.25">
      <c r="A117" s="458">
        <f t="shared" si="41"/>
        <v>112</v>
      </c>
      <c r="B117"/>
      <c r="C117" t="s">
        <v>461</v>
      </c>
      <c r="D117" s="472">
        <v>5772842.0699999994</v>
      </c>
      <c r="E117" s="472">
        <v>512071.8</v>
      </c>
      <c r="F117" s="472">
        <v>436044.78</v>
      </c>
      <c r="G117" s="472">
        <v>583034.79</v>
      </c>
      <c r="H117" s="472">
        <v>466935.79</v>
      </c>
      <c r="I117" s="472">
        <v>551634.04</v>
      </c>
      <c r="J117" s="472">
        <v>497818.56000000006</v>
      </c>
      <c r="K117" s="472">
        <v>436122.16</v>
      </c>
      <c r="L117" s="472">
        <v>425321.82</v>
      </c>
      <c r="M117" s="472">
        <v>443932.04000000004</v>
      </c>
      <c r="N117" s="472">
        <v>399698.83999999997</v>
      </c>
      <c r="O117" s="472">
        <v>581747.48</v>
      </c>
      <c r="P117" s="472">
        <v>438479.97000000003</v>
      </c>
    </row>
    <row r="118" spans="1:16" ht="15" x14ac:dyDescent="0.25">
      <c r="A118" s="458">
        <f t="shared" si="41"/>
        <v>113</v>
      </c>
      <c r="B118"/>
      <c r="C118" t="s">
        <v>462</v>
      </c>
      <c r="D118" s="472">
        <v>909909.97999999986</v>
      </c>
      <c r="E118" s="472">
        <v>73988.179999999993</v>
      </c>
      <c r="F118" s="472">
        <v>65246.45</v>
      </c>
      <c r="G118" s="472">
        <v>87249.62</v>
      </c>
      <c r="H118" s="472">
        <v>69960.689999999988</v>
      </c>
      <c r="I118" s="472">
        <v>82650.98</v>
      </c>
      <c r="J118" s="472">
        <v>74587.819999999992</v>
      </c>
      <c r="K118" s="472">
        <v>65342.94</v>
      </c>
      <c r="L118" s="472">
        <v>66498.06</v>
      </c>
      <c r="M118" s="472">
        <v>75886.58</v>
      </c>
      <c r="N118" s="472">
        <v>69556.709999999992</v>
      </c>
      <c r="O118" s="472">
        <v>101858.73000000001</v>
      </c>
      <c r="P118" s="472">
        <v>77083.22</v>
      </c>
    </row>
    <row r="119" spans="1:16" ht="15" x14ac:dyDescent="0.25">
      <c r="A119" s="458">
        <f t="shared" si="41"/>
        <v>114</v>
      </c>
      <c r="B119"/>
      <c r="C119" t="s">
        <v>463</v>
      </c>
      <c r="D119" s="472">
        <v>-321390.16999999993</v>
      </c>
      <c r="E119" s="472">
        <v>-24214.99</v>
      </c>
      <c r="F119" s="472">
        <v>-20666.04</v>
      </c>
      <c r="G119" s="472">
        <v>-27585.95</v>
      </c>
      <c r="H119" s="472">
        <v>-23224.559999999998</v>
      </c>
      <c r="I119" s="472">
        <v>-30154.899999999998</v>
      </c>
      <c r="J119" s="472">
        <v>-27466.14</v>
      </c>
      <c r="K119" s="472">
        <v>-24067.71</v>
      </c>
      <c r="L119" s="472">
        <v>-24499.33</v>
      </c>
      <c r="M119" s="472">
        <v>-27958.339999999997</v>
      </c>
      <c r="N119" s="472">
        <v>-25626.15</v>
      </c>
      <c r="O119" s="472">
        <v>-37526.89</v>
      </c>
      <c r="P119" s="472">
        <v>-28399.170000000002</v>
      </c>
    </row>
    <row r="120" spans="1:16" ht="15" x14ac:dyDescent="0.25">
      <c r="A120" s="458">
        <f t="shared" si="41"/>
        <v>115</v>
      </c>
      <c r="B120"/>
      <c r="C120" t="s">
        <v>464</v>
      </c>
      <c r="D120" s="472">
        <v>-14351.240000000002</v>
      </c>
      <c r="E120" s="472">
        <v>-1912.2900000000002</v>
      </c>
      <c r="F120" s="472">
        <v>-11157.990000000002</v>
      </c>
      <c r="G120" s="472">
        <v>-1232.45</v>
      </c>
      <c r="H120" s="472">
        <v>-42.75</v>
      </c>
      <c r="I120" s="472">
        <v>-0.5</v>
      </c>
      <c r="J120" s="472">
        <v>0</v>
      </c>
      <c r="K120" s="472">
        <v>-5.26</v>
      </c>
      <c r="L120" s="472">
        <v>0</v>
      </c>
      <c r="M120" s="472">
        <v>0</v>
      </c>
      <c r="N120" s="472">
        <v>0</v>
      </c>
      <c r="O120" s="472">
        <v>0</v>
      </c>
      <c r="P120" s="472">
        <v>0</v>
      </c>
    </row>
    <row r="121" spans="1:16" ht="15" x14ac:dyDescent="0.25">
      <c r="A121" s="458">
        <f t="shared" si="41"/>
        <v>116</v>
      </c>
      <c r="B121"/>
      <c r="C121" t="s">
        <v>465</v>
      </c>
      <c r="D121" s="472">
        <v>1848</v>
      </c>
      <c r="E121" s="472">
        <v>154</v>
      </c>
      <c r="F121" s="472">
        <v>154</v>
      </c>
      <c r="G121" s="472">
        <v>154</v>
      </c>
      <c r="H121" s="472">
        <v>154</v>
      </c>
      <c r="I121" s="472">
        <v>154</v>
      </c>
      <c r="J121" s="472">
        <v>154</v>
      </c>
      <c r="K121" s="472">
        <v>154</v>
      </c>
      <c r="L121" s="472">
        <v>154</v>
      </c>
      <c r="M121" s="472">
        <v>154</v>
      </c>
      <c r="N121" s="472">
        <v>154</v>
      </c>
      <c r="O121" s="472">
        <v>154</v>
      </c>
      <c r="P121" s="472">
        <v>154</v>
      </c>
    </row>
    <row r="122" spans="1:16" ht="15" x14ac:dyDescent="0.25">
      <c r="A122" s="458">
        <f t="shared" si="41"/>
        <v>117</v>
      </c>
      <c r="B122"/>
      <c r="C122" t="s">
        <v>466</v>
      </c>
      <c r="D122" s="472">
        <v>101207.28000000001</v>
      </c>
      <c r="E122" s="472">
        <v>8756.7199999999993</v>
      </c>
      <c r="F122" s="472">
        <v>9069</v>
      </c>
      <c r="G122" s="472">
        <v>9877.24</v>
      </c>
      <c r="H122" s="472">
        <v>8698.2000000000007</v>
      </c>
      <c r="I122" s="472">
        <v>9600.4</v>
      </c>
      <c r="J122" s="472">
        <v>9840.48</v>
      </c>
      <c r="K122" s="472">
        <v>9036.08</v>
      </c>
      <c r="L122" s="472">
        <v>2423.04</v>
      </c>
      <c r="M122" s="472">
        <v>15113.76</v>
      </c>
      <c r="N122" s="472">
        <v>11041.99</v>
      </c>
      <c r="O122" s="472">
        <v>3105.24</v>
      </c>
      <c r="P122" s="472">
        <v>4645.13</v>
      </c>
    </row>
    <row r="123" spans="1:16" ht="15" x14ac:dyDescent="0.25">
      <c r="A123" s="458">
        <f t="shared" si="41"/>
        <v>118</v>
      </c>
      <c r="B123"/>
      <c r="C123" t="s">
        <v>467</v>
      </c>
      <c r="D123" s="472">
        <v>-122303.28</v>
      </c>
      <c r="E123" s="472">
        <v>-16303.68</v>
      </c>
      <c r="F123" s="472">
        <v>-14498.399999999998</v>
      </c>
      <c r="G123" s="472">
        <v>-18887.73</v>
      </c>
      <c r="H123" s="472">
        <v>-12557.380000000001</v>
      </c>
      <c r="I123" s="472">
        <v>-8665.48</v>
      </c>
      <c r="J123" s="472">
        <v>-7245.66</v>
      </c>
      <c r="K123" s="472">
        <v>-6335.41</v>
      </c>
      <c r="L123" s="472">
        <v>-6432.18</v>
      </c>
      <c r="M123" s="472">
        <v>-7340.34</v>
      </c>
      <c r="N123" s="472">
        <v>-6728.2099999999991</v>
      </c>
      <c r="O123" s="472">
        <v>-9852.65</v>
      </c>
      <c r="P123" s="472">
        <v>-7456.16</v>
      </c>
    </row>
    <row r="124" spans="1:16" ht="15" x14ac:dyDescent="0.25">
      <c r="A124" s="458">
        <f t="shared" si="41"/>
        <v>119</v>
      </c>
      <c r="B124"/>
      <c r="C124" t="s">
        <v>469</v>
      </c>
      <c r="D124" s="472">
        <v>-218234.53</v>
      </c>
      <c r="E124" s="472">
        <v>-21505.839999999997</v>
      </c>
      <c r="F124" s="472">
        <v>-17137.14</v>
      </c>
      <c r="G124" s="472">
        <v>-18925.91</v>
      </c>
      <c r="H124" s="472">
        <v>-23479.26</v>
      </c>
      <c r="I124" s="472">
        <v>-20155.75</v>
      </c>
      <c r="J124" s="472">
        <v>-16476.43</v>
      </c>
      <c r="K124" s="472">
        <v>-18172.98</v>
      </c>
      <c r="L124" s="472">
        <v>-12338.04</v>
      </c>
      <c r="M124" s="472">
        <v>-13225.48</v>
      </c>
      <c r="N124" s="472">
        <v>-24710.32</v>
      </c>
      <c r="O124" s="472">
        <v>-17030.400000000001</v>
      </c>
      <c r="P124" s="472">
        <v>-15076.98</v>
      </c>
    </row>
    <row r="125" spans="1:16" ht="15" x14ac:dyDescent="0.25">
      <c r="A125" s="458">
        <f t="shared" si="41"/>
        <v>120</v>
      </c>
      <c r="B125"/>
      <c r="C125" t="s">
        <v>117</v>
      </c>
      <c r="D125" s="472">
        <v>2090219.61</v>
      </c>
      <c r="E125" s="472">
        <v>172744.44</v>
      </c>
      <c r="F125" s="472">
        <v>166784.04</v>
      </c>
      <c r="G125" s="472">
        <v>180810.61</v>
      </c>
      <c r="H125" s="472">
        <v>163464.78</v>
      </c>
      <c r="I125" s="472">
        <v>181690.98</v>
      </c>
      <c r="J125" s="472">
        <v>165725.21000000002</v>
      </c>
      <c r="K125" s="472">
        <v>166700.76</v>
      </c>
      <c r="L125" s="472">
        <v>162394.04999999999</v>
      </c>
      <c r="M125" s="472">
        <v>174160.19</v>
      </c>
      <c r="N125" s="472">
        <v>164178.6</v>
      </c>
      <c r="O125" s="472">
        <v>212361.45</v>
      </c>
      <c r="P125" s="472">
        <v>179204.5</v>
      </c>
    </row>
    <row r="126" spans="1:16" ht="15" x14ac:dyDescent="0.25">
      <c r="A126" s="458">
        <f t="shared" si="41"/>
        <v>121</v>
      </c>
      <c r="B126"/>
      <c r="C126" t="s">
        <v>40</v>
      </c>
      <c r="D126" s="472">
        <v>3384696.8899999997</v>
      </c>
      <c r="E126" s="472">
        <v>314662.54000000004</v>
      </c>
      <c r="F126" s="472">
        <v>282042.56000000006</v>
      </c>
      <c r="G126" s="472">
        <v>351377.65</v>
      </c>
      <c r="H126" s="472">
        <v>288729.22000000003</v>
      </c>
      <c r="I126" s="472">
        <v>324928.71999999997</v>
      </c>
      <c r="J126" s="472">
        <v>296806.68000000005</v>
      </c>
      <c r="K126" s="472">
        <v>278202.74</v>
      </c>
      <c r="L126" s="472">
        <v>256720.84999999998</v>
      </c>
      <c r="M126" s="472">
        <v>253547.43000000005</v>
      </c>
      <c r="N126" s="472">
        <v>214353.48999999993</v>
      </c>
      <c r="O126" s="472">
        <v>288286.84000000003</v>
      </c>
      <c r="P126" s="472">
        <v>235038.17000000007</v>
      </c>
    </row>
    <row r="127" spans="1:16" ht="15" x14ac:dyDescent="0.25">
      <c r="A127" s="458">
        <f t="shared" si="41"/>
        <v>122</v>
      </c>
      <c r="B127"/>
      <c r="C127"/>
      <c r="D127" s="472"/>
      <c r="E127" s="472"/>
      <c r="F127" s="472"/>
      <c r="G127" s="472"/>
      <c r="H127" s="472"/>
      <c r="I127" s="472"/>
      <c r="J127" s="472"/>
      <c r="K127" s="472"/>
      <c r="L127" s="472"/>
      <c r="M127" s="472"/>
      <c r="N127" s="472"/>
      <c r="O127" s="472"/>
      <c r="P127" s="472"/>
    </row>
    <row r="128" spans="1:16" ht="15" x14ac:dyDescent="0.25">
      <c r="A128" s="458">
        <f t="shared" si="41"/>
        <v>123</v>
      </c>
      <c r="B128" t="s">
        <v>470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 s="458">
        <f t="shared" si="41"/>
        <v>124</v>
      </c>
      <c r="B129" s="460" t="s">
        <v>471</v>
      </c>
      <c r="C129" s="282">
        <v>2.1970000000000002E-3</v>
      </c>
      <c r="D129" s="466">
        <f>SUM(E129:P129)</f>
        <v>1735334</v>
      </c>
      <c r="E129" s="283">
        <f>ROUND(+$C129*SUM(E11),0)</f>
        <v>239591</v>
      </c>
      <c r="F129" s="283">
        <f t="shared" ref="F129:K129" si="42">ROUND(+$C129*SUM(F11),0)</f>
        <v>204581</v>
      </c>
      <c r="G129" s="283">
        <f t="shared" si="42"/>
        <v>273002</v>
      </c>
      <c r="H129" s="283">
        <f t="shared" si="42"/>
        <v>218640</v>
      </c>
      <c r="I129" s="283">
        <f t="shared" si="42"/>
        <v>258299</v>
      </c>
      <c r="J129" s="283">
        <f t="shared" si="42"/>
        <v>233100</v>
      </c>
      <c r="K129" s="283">
        <f t="shared" si="42"/>
        <v>204212</v>
      </c>
      <c r="L129" s="283">
        <f>ROUND(+$C129*SUM(L11),0)*0.5</f>
        <v>103909</v>
      </c>
      <c r="M129" s="283">
        <v>0</v>
      </c>
      <c r="N129" s="283">
        <v>0</v>
      </c>
      <c r="O129" s="283">
        <v>0</v>
      </c>
      <c r="P129" s="283">
        <v>0</v>
      </c>
    </row>
    <row r="130" spans="1:16" ht="15" x14ac:dyDescent="0.25">
      <c r="A130" s="458">
        <f t="shared" si="41"/>
        <v>125</v>
      </c>
      <c r="B130" s="460" t="s">
        <v>472</v>
      </c>
      <c r="C130" s="282">
        <v>2.3019999999999998E-3</v>
      </c>
      <c r="D130" s="466">
        <f>SUM(E130:P130)</f>
        <v>1171086.5</v>
      </c>
      <c r="E130" s="283">
        <v>0</v>
      </c>
      <c r="F130" s="283">
        <v>0</v>
      </c>
      <c r="G130" s="283">
        <v>0</v>
      </c>
      <c r="H130" s="283">
        <v>0</v>
      </c>
      <c r="I130" s="283">
        <v>0</v>
      </c>
      <c r="J130" s="283">
        <v>0</v>
      </c>
      <c r="K130" s="283">
        <v>0</v>
      </c>
      <c r="L130" s="283">
        <f>ROUND(+$C130*SUM(L11),0)*0.5</f>
        <v>108875.5</v>
      </c>
      <c r="M130" s="283">
        <f t="shared" ref="M130:P130" si="43">ROUND(+$C130*SUM(M11),0)</f>
        <v>248493</v>
      </c>
      <c r="N130" s="283">
        <f t="shared" si="43"/>
        <v>227766</v>
      </c>
      <c r="O130" s="283">
        <f t="shared" si="43"/>
        <v>333540</v>
      </c>
      <c r="P130" s="283">
        <f t="shared" si="43"/>
        <v>252412</v>
      </c>
    </row>
    <row r="131" spans="1:16" ht="15" x14ac:dyDescent="0.25">
      <c r="A131" s="458">
        <f t="shared" si="41"/>
        <v>126</v>
      </c>
      <c r="B131" s="310" t="s">
        <v>473</v>
      </c>
      <c r="C131" s="282"/>
      <c r="D131" s="466">
        <f>SUM(D129:D130)</f>
        <v>2906420.5</v>
      </c>
      <c r="E131" s="466">
        <f t="shared" ref="E131:P131" si="44">SUM(E129:E130)</f>
        <v>239591</v>
      </c>
      <c r="F131" s="466">
        <f t="shared" si="44"/>
        <v>204581</v>
      </c>
      <c r="G131" s="466">
        <f t="shared" si="44"/>
        <v>273002</v>
      </c>
      <c r="H131" s="466">
        <f t="shared" si="44"/>
        <v>218640</v>
      </c>
      <c r="I131" s="466">
        <f t="shared" si="44"/>
        <v>258299</v>
      </c>
      <c r="J131" s="466">
        <f t="shared" si="44"/>
        <v>233100</v>
      </c>
      <c r="K131" s="466">
        <f t="shared" si="44"/>
        <v>204212</v>
      </c>
      <c r="L131" s="466">
        <f t="shared" si="44"/>
        <v>212784.5</v>
      </c>
      <c r="M131" s="466">
        <f t="shared" si="44"/>
        <v>248493</v>
      </c>
      <c r="N131" s="466">
        <f t="shared" si="44"/>
        <v>227766</v>
      </c>
      <c r="O131" s="466">
        <f t="shared" si="44"/>
        <v>333540</v>
      </c>
      <c r="P131" s="466">
        <f t="shared" si="44"/>
        <v>252412</v>
      </c>
    </row>
    <row r="132" spans="1:16" ht="15" x14ac:dyDescent="0.25">
      <c r="A132" s="458">
        <f t="shared" si="41"/>
        <v>127</v>
      </c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 s="458">
        <f t="shared" si="41"/>
        <v>128</v>
      </c>
      <c r="B133" t="s">
        <v>474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 s="458">
        <f t="shared" si="41"/>
        <v>129</v>
      </c>
      <c r="B134" s="465" t="str">
        <f>+B6</f>
        <v>Basic Charge</v>
      </c>
      <c r="C134" s="473">
        <v>17.399999999999999</v>
      </c>
      <c r="D134" s="466">
        <f>SUM(E134:P134)</f>
        <v>101861</v>
      </c>
      <c r="E134" s="283">
        <f>ROUND(+$C134*E6,0)</f>
        <v>8422</v>
      </c>
      <c r="F134" s="283">
        <f t="shared" ref="F134:P134" si="45">ROUND(+$C134*F6,0)</f>
        <v>8126</v>
      </c>
      <c r="G134" s="283">
        <f t="shared" si="45"/>
        <v>8822</v>
      </c>
      <c r="H134" s="283">
        <f t="shared" si="45"/>
        <v>7969</v>
      </c>
      <c r="I134" s="283">
        <f t="shared" si="45"/>
        <v>8857</v>
      </c>
      <c r="J134" s="283">
        <f t="shared" si="45"/>
        <v>8074</v>
      </c>
      <c r="K134" s="283">
        <f t="shared" si="45"/>
        <v>8126</v>
      </c>
      <c r="L134" s="283">
        <f t="shared" si="45"/>
        <v>7917</v>
      </c>
      <c r="M134" s="283">
        <f t="shared" si="45"/>
        <v>8491</v>
      </c>
      <c r="N134" s="283">
        <f t="shared" si="45"/>
        <v>8004</v>
      </c>
      <c r="O134" s="283">
        <f t="shared" si="45"/>
        <v>10353</v>
      </c>
      <c r="P134" s="283">
        <f t="shared" si="45"/>
        <v>8700</v>
      </c>
    </row>
    <row r="135" spans="1:16" ht="15" x14ac:dyDescent="0.25">
      <c r="A135" s="458">
        <f t="shared" si="41"/>
        <v>130</v>
      </c>
      <c r="B135" s="460" t="s">
        <v>475</v>
      </c>
      <c r="C135" s="473">
        <v>0.45</v>
      </c>
      <c r="D135" s="466">
        <f>SUM(E135:P135)</f>
        <v>717901</v>
      </c>
      <c r="E135" s="283">
        <f>ROUND(+$C135*E18,0)</f>
        <v>41916</v>
      </c>
      <c r="F135" s="283">
        <f t="shared" ref="F135:P135" si="46">ROUND(+$C135*F18,0)</f>
        <v>102725</v>
      </c>
      <c r="G135" s="283">
        <f t="shared" si="46"/>
        <v>133633</v>
      </c>
      <c r="H135" s="283">
        <f t="shared" si="46"/>
        <v>108065</v>
      </c>
      <c r="I135" s="283">
        <f t="shared" si="46"/>
        <v>128525</v>
      </c>
      <c r="J135" s="283">
        <f t="shared" si="46"/>
        <v>114601</v>
      </c>
      <c r="K135" s="283">
        <f t="shared" si="46"/>
        <v>72085</v>
      </c>
      <c r="L135" s="283">
        <f t="shared" si="46"/>
        <v>14237</v>
      </c>
      <c r="M135" s="283">
        <f t="shared" si="46"/>
        <v>1754</v>
      </c>
      <c r="N135" s="283">
        <f t="shared" si="46"/>
        <v>111</v>
      </c>
      <c r="O135" s="283">
        <f t="shared" si="46"/>
        <v>249</v>
      </c>
      <c r="P135" s="283">
        <f t="shared" si="46"/>
        <v>0</v>
      </c>
    </row>
    <row r="136" spans="1:16" ht="15" x14ac:dyDescent="0.25">
      <c r="A136" s="458">
        <f t="shared" si="41"/>
        <v>131</v>
      </c>
      <c r="B136" s="460" t="s">
        <v>476</v>
      </c>
      <c r="C136" s="473">
        <v>0.3</v>
      </c>
      <c r="D136" s="466">
        <f>SUM(E136:P136)</f>
        <v>504687</v>
      </c>
      <c r="E136" s="283">
        <f>ROUND(+$C136*E20,0)</f>
        <v>55192</v>
      </c>
      <c r="F136" s="283">
        <f t="shared" ref="F136:P136" si="47">ROUND(+$C136*F20,0)</f>
        <v>2685</v>
      </c>
      <c r="G136" s="283">
        <f t="shared" si="47"/>
        <v>1853</v>
      </c>
      <c r="H136" s="283">
        <f t="shared" si="47"/>
        <v>0</v>
      </c>
      <c r="I136" s="283">
        <f t="shared" si="47"/>
        <v>0</v>
      </c>
      <c r="J136" s="283">
        <f t="shared" si="47"/>
        <v>0</v>
      </c>
      <c r="K136" s="283">
        <f t="shared" si="47"/>
        <v>23144</v>
      </c>
      <c r="L136" s="283">
        <f t="shared" si="47"/>
        <v>66629</v>
      </c>
      <c r="M136" s="283">
        <f t="shared" si="47"/>
        <v>83084</v>
      </c>
      <c r="N136" s="283">
        <f t="shared" si="47"/>
        <v>78305</v>
      </c>
      <c r="O136" s="283">
        <f t="shared" si="47"/>
        <v>106885</v>
      </c>
      <c r="P136" s="283">
        <f t="shared" si="47"/>
        <v>86910</v>
      </c>
    </row>
    <row r="137" spans="1:16" ht="15" x14ac:dyDescent="0.25">
      <c r="A137" s="458">
        <f t="shared" si="41"/>
        <v>132</v>
      </c>
      <c r="B137" s="460" t="s">
        <v>477</v>
      </c>
      <c r="C137" s="474">
        <v>3.0000000000000001E-5</v>
      </c>
      <c r="D137" s="466">
        <f t="shared" ref="D137" si="48">SUM(E137:P137)</f>
        <v>20649</v>
      </c>
      <c r="E137" s="283">
        <f>ROUND(+$C137*E24,0)</f>
        <v>1805</v>
      </c>
      <c r="F137" s="283">
        <f t="shared" ref="F137:P137" si="49">ROUND(+$C137*F24,0)</f>
        <v>1531</v>
      </c>
      <c r="G137" s="283">
        <f t="shared" si="49"/>
        <v>1843</v>
      </c>
      <c r="H137" s="283">
        <f t="shared" si="49"/>
        <v>1445</v>
      </c>
      <c r="I137" s="283">
        <f t="shared" si="49"/>
        <v>1764</v>
      </c>
      <c r="J137" s="283">
        <f t="shared" si="49"/>
        <v>1573</v>
      </c>
      <c r="K137" s="283">
        <f t="shared" si="49"/>
        <v>1465</v>
      </c>
      <c r="L137" s="283">
        <f t="shared" si="49"/>
        <v>1575</v>
      </c>
      <c r="M137" s="283">
        <f t="shared" si="49"/>
        <v>1765</v>
      </c>
      <c r="N137" s="283">
        <f t="shared" si="49"/>
        <v>1655</v>
      </c>
      <c r="O137" s="283">
        <f t="shared" si="49"/>
        <v>2376</v>
      </c>
      <c r="P137" s="283">
        <f t="shared" si="49"/>
        <v>1852</v>
      </c>
    </row>
    <row r="138" spans="1:16" ht="15" x14ac:dyDescent="0.25">
      <c r="A138" s="458">
        <f t="shared" si="41"/>
        <v>133</v>
      </c>
      <c r="B138" s="310" t="s">
        <v>478</v>
      </c>
      <c r="C138"/>
      <c r="D138" s="466">
        <f>SUM(D134:D137)</f>
        <v>1345098</v>
      </c>
      <c r="E138" s="466">
        <f>SUM(E134:E137)</f>
        <v>107335</v>
      </c>
      <c r="F138" s="466">
        <f t="shared" ref="F138:P138" si="50">SUM(F134:F137)</f>
        <v>115067</v>
      </c>
      <c r="G138" s="466">
        <f t="shared" si="50"/>
        <v>146151</v>
      </c>
      <c r="H138" s="466">
        <f t="shared" si="50"/>
        <v>117479</v>
      </c>
      <c r="I138" s="466">
        <f t="shared" si="50"/>
        <v>139146</v>
      </c>
      <c r="J138" s="466">
        <f t="shared" si="50"/>
        <v>124248</v>
      </c>
      <c r="K138" s="466">
        <f t="shared" si="50"/>
        <v>104820</v>
      </c>
      <c r="L138" s="466">
        <f t="shared" si="50"/>
        <v>90358</v>
      </c>
      <c r="M138" s="466">
        <f t="shared" si="50"/>
        <v>95094</v>
      </c>
      <c r="N138" s="466">
        <f t="shared" si="50"/>
        <v>88075</v>
      </c>
      <c r="O138" s="466">
        <f t="shared" si="50"/>
        <v>119863</v>
      </c>
      <c r="P138" s="466">
        <f t="shared" si="50"/>
        <v>97462</v>
      </c>
    </row>
    <row r="139" spans="1:16" ht="15" x14ac:dyDescent="0.25">
      <c r="A139" s="458">
        <f t="shared" si="41"/>
        <v>134</v>
      </c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 s="458">
        <f t="shared" si="41"/>
        <v>135</v>
      </c>
      <c r="B140" t="s">
        <v>479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 s="458">
        <f t="shared" si="41"/>
        <v>136</v>
      </c>
      <c r="B141" s="460" t="s">
        <v>480</v>
      </c>
      <c r="C141" s="473">
        <v>0.76</v>
      </c>
      <c r="D141" s="466">
        <f t="shared" ref="D141" si="51">SUM(E141:P141)</f>
        <v>1491203</v>
      </c>
      <c r="E141" s="283">
        <f>ROUND(+$C141*SUM(E18,E20),0)</f>
        <v>210611</v>
      </c>
      <c r="F141" s="283">
        <f t="shared" ref="F141:K141" si="52">ROUND(+$C141*SUM(F18,F20),0)</f>
        <v>180293</v>
      </c>
      <c r="G141" s="283">
        <f t="shared" si="52"/>
        <v>230386</v>
      </c>
      <c r="H141" s="283">
        <f t="shared" si="52"/>
        <v>182510</v>
      </c>
      <c r="I141" s="283">
        <f t="shared" si="52"/>
        <v>217064</v>
      </c>
      <c r="J141" s="283">
        <f t="shared" si="52"/>
        <v>193548</v>
      </c>
      <c r="K141" s="283">
        <f t="shared" si="52"/>
        <v>180373</v>
      </c>
      <c r="L141" s="283">
        <f>ROUND(+$C141*SUM(L18,L20),0)*0.5</f>
        <v>96418</v>
      </c>
      <c r="M141" s="283">
        <v>0</v>
      </c>
      <c r="N141" s="283">
        <v>0</v>
      </c>
      <c r="O141" s="283">
        <v>0</v>
      </c>
      <c r="P141" s="283">
        <v>0</v>
      </c>
    </row>
    <row r="142" spans="1:16" ht="15" x14ac:dyDescent="0.25">
      <c r="A142" s="458">
        <f t="shared" si="41"/>
        <v>137</v>
      </c>
      <c r="B142" s="460" t="s">
        <v>481</v>
      </c>
      <c r="C142" s="473">
        <v>1.44</v>
      </c>
      <c r="D142" s="466">
        <f t="shared" ref="D142" si="53">SUM(D138:D139)</f>
        <v>1345098</v>
      </c>
      <c r="E142" s="283">
        <f ca="1">ROUND(+$C142*E21,0)</f>
        <v>0</v>
      </c>
      <c r="F142" s="283">
        <f t="shared" ref="F142:K142" ca="1" si="54">ROUND(+$C142*F21,0)</f>
        <v>0</v>
      </c>
      <c r="G142" s="283">
        <f t="shared" ca="1" si="54"/>
        <v>0</v>
      </c>
      <c r="H142" s="283">
        <f t="shared" ca="1" si="54"/>
        <v>0</v>
      </c>
      <c r="I142" s="283">
        <f t="shared" ca="1" si="54"/>
        <v>0</v>
      </c>
      <c r="J142" s="283">
        <f t="shared" ca="1" si="54"/>
        <v>0</v>
      </c>
      <c r="K142" s="283">
        <f t="shared" ca="1" si="54"/>
        <v>0</v>
      </c>
      <c r="L142" s="283">
        <f>ROUND(+$C142*SUM(L18,L20),0)*0.5</f>
        <v>182687</v>
      </c>
      <c r="M142" s="283">
        <f t="shared" ref="M142:P142" si="55">ROUND(+$C142*SUM(M18,M20),0)</f>
        <v>404417</v>
      </c>
      <c r="N142" s="283">
        <f t="shared" si="55"/>
        <v>376220</v>
      </c>
      <c r="O142" s="283">
        <f t="shared" si="55"/>
        <v>513844</v>
      </c>
      <c r="P142" s="283">
        <f t="shared" si="55"/>
        <v>417168</v>
      </c>
    </row>
    <row r="143" spans="1:16" ht="15" x14ac:dyDescent="0.25">
      <c r="A143" s="458">
        <f t="shared" si="41"/>
        <v>138</v>
      </c>
      <c r="B143" s="310" t="s">
        <v>482</v>
      </c>
      <c r="C143"/>
      <c r="D143" s="466">
        <f>SUM(D141:D142)</f>
        <v>2836301</v>
      </c>
      <c r="E143" s="466">
        <f t="shared" ref="E143:P143" ca="1" si="56">SUM(E141:E142)</f>
        <v>210611</v>
      </c>
      <c r="F143" s="466">
        <f t="shared" ca="1" si="56"/>
        <v>180293</v>
      </c>
      <c r="G143" s="466">
        <f t="shared" ca="1" si="56"/>
        <v>230386</v>
      </c>
      <c r="H143" s="466">
        <f t="shared" ca="1" si="56"/>
        <v>182510</v>
      </c>
      <c r="I143" s="466">
        <f t="shared" ca="1" si="56"/>
        <v>217064</v>
      </c>
      <c r="J143" s="466">
        <f t="shared" ca="1" si="56"/>
        <v>193548</v>
      </c>
      <c r="K143" s="466">
        <f t="shared" ca="1" si="56"/>
        <v>180373</v>
      </c>
      <c r="L143" s="466">
        <f t="shared" si="56"/>
        <v>279105</v>
      </c>
      <c r="M143" s="466">
        <f t="shared" si="56"/>
        <v>404417</v>
      </c>
      <c r="N143" s="466">
        <f t="shared" si="56"/>
        <v>376220</v>
      </c>
      <c r="O143" s="466">
        <f t="shared" si="56"/>
        <v>513844</v>
      </c>
      <c r="P143" s="466">
        <f t="shared" si="56"/>
        <v>417168</v>
      </c>
    </row>
    <row r="144" spans="1:16" ht="15" x14ac:dyDescent="0.25">
      <c r="A144" s="458">
        <f t="shared" si="41"/>
        <v>139</v>
      </c>
      <c r="B144"/>
      <c r="C144" s="475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 s="458">
        <f t="shared" si="41"/>
        <v>140</v>
      </c>
      <c r="B145" t="s">
        <v>483</v>
      </c>
      <c r="C145" s="475"/>
      <c r="D145" s="466">
        <f t="shared" ref="D145:D148" ca="1" si="57">SUM(E145:P145)</f>
        <v>7637057.5</v>
      </c>
      <c r="E145" s="466">
        <f t="shared" ref="E145:P145" ca="1" si="58">+E143+E138+E131</f>
        <v>557537</v>
      </c>
      <c r="F145" s="466">
        <f t="shared" ca="1" si="58"/>
        <v>499941</v>
      </c>
      <c r="G145" s="466">
        <f t="shared" ca="1" si="58"/>
        <v>649539</v>
      </c>
      <c r="H145" s="466">
        <f t="shared" ca="1" si="58"/>
        <v>518629</v>
      </c>
      <c r="I145" s="466">
        <f t="shared" ca="1" si="58"/>
        <v>614509</v>
      </c>
      <c r="J145" s="466">
        <f t="shared" ca="1" si="58"/>
        <v>550896</v>
      </c>
      <c r="K145" s="466">
        <f t="shared" ca="1" si="58"/>
        <v>489405</v>
      </c>
      <c r="L145" s="466">
        <f t="shared" si="58"/>
        <v>582247.5</v>
      </c>
      <c r="M145" s="466">
        <f t="shared" si="58"/>
        <v>748004</v>
      </c>
      <c r="N145" s="466">
        <f t="shared" si="58"/>
        <v>692061</v>
      </c>
      <c r="O145" s="466">
        <f t="shared" si="58"/>
        <v>967247</v>
      </c>
      <c r="P145" s="466">
        <f t="shared" si="58"/>
        <v>767042</v>
      </c>
    </row>
    <row r="146" spans="1:16" ht="15" x14ac:dyDescent="0.25">
      <c r="A146" s="458">
        <f t="shared" si="41"/>
        <v>141</v>
      </c>
      <c r="B146" t="s">
        <v>484</v>
      </c>
      <c r="C146" s="475"/>
      <c r="D146" s="466">
        <f t="shared" si="57"/>
        <v>104052118</v>
      </c>
      <c r="E146" s="466">
        <f>SUM(E29,E34,E43:E44,E50)</f>
        <v>8598282</v>
      </c>
      <c r="F146" s="466">
        <f t="shared" ref="F146:P146" si="59">SUM(F29,F34,F43:F44,F50)</f>
        <v>7925016</v>
      </c>
      <c r="G146" s="466">
        <f t="shared" si="59"/>
        <v>10398749</v>
      </c>
      <c r="H146" s="466">
        <f t="shared" si="59"/>
        <v>8333452</v>
      </c>
      <c r="I146" s="466">
        <f t="shared" si="59"/>
        <v>9857777</v>
      </c>
      <c r="J146" s="466">
        <f t="shared" si="59"/>
        <v>8862151</v>
      </c>
      <c r="K146" s="466">
        <f t="shared" si="59"/>
        <v>7657640</v>
      </c>
      <c r="L146" s="466">
        <f t="shared" si="59"/>
        <v>7385857</v>
      </c>
      <c r="M146" s="466">
        <f t="shared" si="59"/>
        <v>8229701</v>
      </c>
      <c r="N146" s="466">
        <f t="shared" si="59"/>
        <v>7565379</v>
      </c>
      <c r="O146" s="466">
        <f t="shared" si="59"/>
        <v>10856582</v>
      </c>
      <c r="P146" s="466">
        <f t="shared" si="59"/>
        <v>8381532</v>
      </c>
    </row>
    <row r="147" spans="1:16" ht="15" x14ac:dyDescent="0.25">
      <c r="A147" s="458">
        <f t="shared" si="41"/>
        <v>142</v>
      </c>
      <c r="B147" t="s">
        <v>485</v>
      </c>
      <c r="C147"/>
      <c r="D147" s="466">
        <f t="shared" ca="1" si="57"/>
        <v>111689175.5</v>
      </c>
      <c r="E147" s="466">
        <f t="shared" ref="E147:P147" ca="1" si="60">+E146+E145</f>
        <v>9155819</v>
      </c>
      <c r="F147" s="466">
        <f t="shared" ca="1" si="60"/>
        <v>8424957</v>
      </c>
      <c r="G147" s="466">
        <f t="shared" ca="1" si="60"/>
        <v>11048288</v>
      </c>
      <c r="H147" s="466">
        <f t="shared" ca="1" si="60"/>
        <v>8852081</v>
      </c>
      <c r="I147" s="466">
        <f t="shared" ca="1" si="60"/>
        <v>10472286</v>
      </c>
      <c r="J147" s="466">
        <f t="shared" ca="1" si="60"/>
        <v>9413047</v>
      </c>
      <c r="K147" s="466">
        <f t="shared" ca="1" si="60"/>
        <v>8147045</v>
      </c>
      <c r="L147" s="466">
        <f t="shared" si="60"/>
        <v>7968104.5</v>
      </c>
      <c r="M147" s="466">
        <f t="shared" si="60"/>
        <v>8977705</v>
      </c>
      <c r="N147" s="466">
        <f t="shared" si="60"/>
        <v>8257440</v>
      </c>
      <c r="O147" s="466">
        <f t="shared" si="60"/>
        <v>11823829</v>
      </c>
      <c r="P147" s="466">
        <f t="shared" si="60"/>
        <v>9148574</v>
      </c>
    </row>
    <row r="148" spans="1:16" ht="15" x14ac:dyDescent="0.25">
      <c r="A148" s="458">
        <f t="shared" si="41"/>
        <v>143</v>
      </c>
      <c r="B148" t="s">
        <v>486</v>
      </c>
      <c r="C148"/>
      <c r="D148" s="466">
        <f t="shared" ca="1" si="57"/>
        <v>81385.690000005794</v>
      </c>
      <c r="E148" s="476">
        <f ca="1">+E147-E96-D108</f>
        <v>-1912.5900000003021</v>
      </c>
      <c r="F148" s="476">
        <f t="shared" ref="F148:P148" ca="1" si="61">+F147-F96-E108</f>
        <v>5481.6100000010483</v>
      </c>
      <c r="G148" s="476">
        <f t="shared" ca="1" si="61"/>
        <v>141.10000000178115</v>
      </c>
      <c r="H148" s="476">
        <f t="shared" ca="1" si="61"/>
        <v>-3.3600000002916204</v>
      </c>
      <c r="I148" s="476">
        <f t="shared" ca="1" si="61"/>
        <v>-17.070000000516302</v>
      </c>
      <c r="J148" s="476">
        <f t="shared" ca="1" si="61"/>
        <v>-118.04999999917345</v>
      </c>
      <c r="K148" s="476">
        <f t="shared" ca="1" si="61"/>
        <v>-25.179999999927531</v>
      </c>
      <c r="L148" s="476">
        <f t="shared" si="61"/>
        <v>38394.090000000302</v>
      </c>
      <c r="M148" s="476">
        <f t="shared" si="61"/>
        <v>30431.670000002232</v>
      </c>
      <c r="N148" s="476">
        <f t="shared" si="61"/>
        <v>7166.240000000631</v>
      </c>
      <c r="O148" s="476">
        <f t="shared" si="61"/>
        <v>1946.740000000078</v>
      </c>
      <c r="P148" s="476">
        <f t="shared" si="61"/>
        <v>-99.510000000074797</v>
      </c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 x14ac:dyDescent="0.25">
      <c r="A194"/>
      <c r="B194" s="477" t="s">
        <v>58</v>
      </c>
      <c r="C194" s="470">
        <v>31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 x14ac:dyDescent="0.25">
      <c r="A195" s="458">
        <f t="shared" ref="A195:A219" si="62">+A194+1</f>
        <v>1</v>
      </c>
      <c r="B195" s="477" t="s">
        <v>64</v>
      </c>
      <c r="C195" t="s">
        <v>67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 x14ac:dyDescent="0.25">
      <c r="A196" s="458">
        <f t="shared" si="62"/>
        <v>2</v>
      </c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 x14ac:dyDescent="0.25">
      <c r="A197" s="458">
        <f t="shared" si="62"/>
        <v>3</v>
      </c>
      <c r="B197"/>
      <c r="C197" s="477" t="s">
        <v>114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45" x14ac:dyDescent="0.25">
      <c r="A198" s="458">
        <f t="shared" si="62"/>
        <v>4</v>
      </c>
      <c r="B198" s="478" t="s">
        <v>115</v>
      </c>
      <c r="C198" s="471" t="s">
        <v>439</v>
      </c>
      <c r="D198" s="471" t="s">
        <v>440</v>
      </c>
      <c r="E198" s="471" t="s">
        <v>441</v>
      </c>
      <c r="F198" s="471" t="s">
        <v>442</v>
      </c>
      <c r="G198" s="471" t="s">
        <v>443</v>
      </c>
      <c r="H198" s="471" t="s">
        <v>444</v>
      </c>
      <c r="I198" s="471" t="s">
        <v>445</v>
      </c>
      <c r="J198" s="471" t="s">
        <v>446</v>
      </c>
      <c r="K198" s="471" t="s">
        <v>447</v>
      </c>
      <c r="L198" s="471" t="s">
        <v>448</v>
      </c>
      <c r="M198" s="471" t="s">
        <v>449</v>
      </c>
      <c r="N198" t="s">
        <v>450</v>
      </c>
      <c r="O198" t="s">
        <v>451</v>
      </c>
      <c r="P198"/>
    </row>
    <row r="199" spans="1:16" ht="15" x14ac:dyDescent="0.25">
      <c r="A199" s="458">
        <f t="shared" si="62"/>
        <v>5</v>
      </c>
      <c r="B199" t="s">
        <v>461</v>
      </c>
      <c r="C199" s="472">
        <v>140769.04999999999</v>
      </c>
      <c r="D199" s="472">
        <v>11777.67</v>
      </c>
      <c r="E199" s="472">
        <v>11835.08</v>
      </c>
      <c r="F199" s="472">
        <v>13070.4</v>
      </c>
      <c r="G199" s="472">
        <v>16214.99</v>
      </c>
      <c r="H199" s="472">
        <v>13919.75</v>
      </c>
      <c r="I199" s="472">
        <v>11378.75</v>
      </c>
      <c r="J199" s="472">
        <v>12550.45</v>
      </c>
      <c r="K199" s="472">
        <v>8198.24</v>
      </c>
      <c r="L199" s="472">
        <v>7856.1500000000005</v>
      </c>
      <c r="M199" s="472">
        <v>15026.39</v>
      </c>
      <c r="N199" s="472">
        <v>10046.790000000001</v>
      </c>
      <c r="O199" s="472">
        <v>8894.39</v>
      </c>
      <c r="P199"/>
    </row>
    <row r="200" spans="1:16" ht="15" x14ac:dyDescent="0.25">
      <c r="A200" s="458">
        <f t="shared" si="62"/>
        <v>6</v>
      </c>
      <c r="B200" t="s">
        <v>462</v>
      </c>
      <c r="C200" s="472">
        <v>22052.730000000003</v>
      </c>
      <c r="D200" s="472">
        <v>1696.56</v>
      </c>
      <c r="E200" s="472">
        <v>1773.21</v>
      </c>
      <c r="F200" s="472">
        <v>1958.32</v>
      </c>
      <c r="G200" s="472">
        <v>2429.46</v>
      </c>
      <c r="H200" s="472">
        <v>2085.58</v>
      </c>
      <c r="I200" s="472">
        <v>1704.85</v>
      </c>
      <c r="J200" s="472">
        <v>1880.45</v>
      </c>
      <c r="K200" s="472">
        <v>1276.6600000000001</v>
      </c>
      <c r="L200" s="472">
        <v>1368.5</v>
      </c>
      <c r="M200" s="472">
        <v>2556.88</v>
      </c>
      <c r="N200" s="472">
        <v>1762.2</v>
      </c>
      <c r="O200" s="472">
        <v>1560.06</v>
      </c>
      <c r="P200"/>
    </row>
    <row r="201" spans="1:16" ht="15" x14ac:dyDescent="0.25">
      <c r="A201" s="458">
        <f t="shared" si="62"/>
        <v>7</v>
      </c>
      <c r="B201" t="s">
        <v>463</v>
      </c>
      <c r="C201" s="472">
        <v>-7765.3000000000011</v>
      </c>
      <c r="D201" s="472">
        <v>-557.26</v>
      </c>
      <c r="E201" s="472">
        <v>-559.94000000000005</v>
      </c>
      <c r="F201" s="472">
        <v>-618.41</v>
      </c>
      <c r="G201" s="472">
        <v>-799.8900000000001</v>
      </c>
      <c r="H201" s="472">
        <v>-768.39</v>
      </c>
      <c r="I201" s="472">
        <v>-628.1</v>
      </c>
      <c r="J201" s="472">
        <v>-692.79</v>
      </c>
      <c r="K201" s="472">
        <v>-470.35</v>
      </c>
      <c r="L201" s="472">
        <v>-504.17</v>
      </c>
      <c r="M201" s="472">
        <v>-942</v>
      </c>
      <c r="N201" s="472">
        <v>-649.23</v>
      </c>
      <c r="O201" s="472">
        <v>-574.77</v>
      </c>
      <c r="P201"/>
    </row>
    <row r="202" spans="1:16" ht="15" x14ac:dyDescent="0.25">
      <c r="A202" s="458">
        <f t="shared" si="62"/>
        <v>8</v>
      </c>
      <c r="B202" t="s">
        <v>464</v>
      </c>
      <c r="C202" s="472">
        <v>-290.20999999999998</v>
      </c>
      <c r="D202" s="472">
        <v>-79.77</v>
      </c>
      <c r="E202" s="472">
        <v>-210.44</v>
      </c>
      <c r="F202" s="472">
        <v>0</v>
      </c>
      <c r="G202" s="472">
        <v>0</v>
      </c>
      <c r="H202" s="472">
        <v>0</v>
      </c>
      <c r="I202" s="472">
        <v>0</v>
      </c>
      <c r="J202" s="472">
        <v>0</v>
      </c>
      <c r="K202" s="472">
        <v>0</v>
      </c>
      <c r="L202" s="472">
        <v>0</v>
      </c>
      <c r="M202" s="472">
        <v>0</v>
      </c>
      <c r="N202" s="472">
        <v>0</v>
      </c>
      <c r="O202" s="472">
        <v>0</v>
      </c>
      <c r="P202"/>
    </row>
    <row r="203" spans="1:16" ht="15" x14ac:dyDescent="0.25">
      <c r="A203" s="458">
        <f t="shared" si="62"/>
        <v>9</v>
      </c>
      <c r="B203" t="s">
        <v>467</v>
      </c>
      <c r="C203" s="472">
        <v>-3012.54</v>
      </c>
      <c r="D203" s="472">
        <v>-381.55</v>
      </c>
      <c r="E203" s="472">
        <v>-383.4</v>
      </c>
      <c r="F203" s="472">
        <v>-423.42</v>
      </c>
      <c r="G203" s="472">
        <v>-451.1</v>
      </c>
      <c r="H203" s="472">
        <v>-201.73</v>
      </c>
      <c r="I203" s="472">
        <v>-164.89</v>
      </c>
      <c r="J203" s="472">
        <v>-181.91</v>
      </c>
      <c r="K203" s="472">
        <v>-123.48</v>
      </c>
      <c r="L203" s="472">
        <v>-132.37</v>
      </c>
      <c r="M203" s="472">
        <v>-247.33</v>
      </c>
      <c r="N203" s="472">
        <v>-170.46</v>
      </c>
      <c r="O203" s="472">
        <v>-150.9</v>
      </c>
      <c r="P203"/>
    </row>
    <row r="204" spans="1:16" ht="15" x14ac:dyDescent="0.25">
      <c r="A204" s="458">
        <f t="shared" si="62"/>
        <v>10</v>
      </c>
      <c r="B204" t="s">
        <v>469</v>
      </c>
      <c r="C204" s="472">
        <v>-218234.53</v>
      </c>
      <c r="D204" s="472">
        <v>-21505.839999999997</v>
      </c>
      <c r="E204" s="472">
        <v>-17137.14</v>
      </c>
      <c r="F204" s="472">
        <v>-18925.91</v>
      </c>
      <c r="G204" s="472">
        <v>-23479.26</v>
      </c>
      <c r="H204" s="472">
        <v>-20155.75</v>
      </c>
      <c r="I204" s="472">
        <v>-16476.43</v>
      </c>
      <c r="J204" s="472">
        <v>-18172.98</v>
      </c>
      <c r="K204" s="472">
        <v>-12338.04</v>
      </c>
      <c r="L204" s="472">
        <v>-13225.48</v>
      </c>
      <c r="M204" s="472">
        <v>-24710.32</v>
      </c>
      <c r="N204" s="472">
        <v>-17030.400000000001</v>
      </c>
      <c r="O204" s="472">
        <v>-15076.98</v>
      </c>
      <c r="P204"/>
    </row>
    <row r="205" spans="1:16" ht="15" x14ac:dyDescent="0.25">
      <c r="A205" s="458">
        <f t="shared" si="62"/>
        <v>11</v>
      </c>
      <c r="B205" t="s">
        <v>459</v>
      </c>
      <c r="C205" s="472">
        <v>-40277.01</v>
      </c>
      <c r="D205" s="472">
        <v>-3213.02</v>
      </c>
      <c r="E205" s="472">
        <v>-3228.66</v>
      </c>
      <c r="F205" s="472">
        <v>-3565.68</v>
      </c>
      <c r="G205" s="472">
        <v>-4423.53</v>
      </c>
      <c r="H205" s="472">
        <v>-3797.38</v>
      </c>
      <c r="I205" s="472">
        <v>-3104.18</v>
      </c>
      <c r="J205" s="472">
        <v>-3423.82</v>
      </c>
      <c r="K205" s="472">
        <v>-2324.5100000000002</v>
      </c>
      <c r="L205" s="472">
        <v>-2491.71</v>
      </c>
      <c r="M205" s="472">
        <v>-4655.46</v>
      </c>
      <c r="N205" s="472">
        <v>-3208.55</v>
      </c>
      <c r="O205" s="472">
        <v>-2840.51</v>
      </c>
      <c r="P205"/>
    </row>
    <row r="206" spans="1:16" ht="15" x14ac:dyDescent="0.25">
      <c r="A206" s="458">
        <f t="shared" si="62"/>
        <v>12</v>
      </c>
      <c r="B206" t="s">
        <v>460</v>
      </c>
      <c r="C206" s="472">
        <v>-76273.790000000008</v>
      </c>
      <c r="D206" s="472">
        <v>-5738.22</v>
      </c>
      <c r="E206" s="472">
        <v>-5766.21</v>
      </c>
      <c r="F206" s="472">
        <v>-6368.08</v>
      </c>
      <c r="G206" s="472">
        <v>-8082.15</v>
      </c>
      <c r="H206" s="472">
        <v>-7393.01</v>
      </c>
      <c r="I206" s="472">
        <v>-6043.44</v>
      </c>
      <c r="J206" s="472">
        <v>-6665.75</v>
      </c>
      <c r="K206" s="472">
        <v>-4525.54</v>
      </c>
      <c r="L206" s="472">
        <v>-4851.0200000000004</v>
      </c>
      <c r="M206" s="472">
        <v>-9063.59</v>
      </c>
      <c r="N206" s="472">
        <v>-6246.63</v>
      </c>
      <c r="O206" s="472">
        <v>-5530.15</v>
      </c>
      <c r="P206"/>
    </row>
    <row r="207" spans="1:16" ht="15" x14ac:dyDescent="0.25">
      <c r="A207" s="458">
        <f t="shared" si="62"/>
        <v>13</v>
      </c>
      <c r="B207" t="s">
        <v>117</v>
      </c>
      <c r="C207" s="472">
        <v>54964.14</v>
      </c>
      <c r="D207" s="472">
        <v>4639.83</v>
      </c>
      <c r="E207" s="472">
        <v>4639.83</v>
      </c>
      <c r="F207" s="472">
        <v>4282.92</v>
      </c>
      <c r="G207" s="472">
        <v>4996.74</v>
      </c>
      <c r="H207" s="472">
        <v>4639.83</v>
      </c>
      <c r="I207" s="472">
        <v>3926.01</v>
      </c>
      <c r="J207" s="472">
        <v>4996.74</v>
      </c>
      <c r="K207" s="472">
        <v>3569.1</v>
      </c>
      <c r="L207" s="472">
        <v>3926.01</v>
      </c>
      <c r="M207" s="472">
        <v>6424.38</v>
      </c>
      <c r="N207" s="472">
        <v>4639.83</v>
      </c>
      <c r="O207" s="472">
        <v>4282.92</v>
      </c>
      <c r="P207"/>
    </row>
    <row r="208" spans="1:16" ht="15" x14ac:dyDescent="0.25">
      <c r="A208" s="458">
        <f t="shared" si="62"/>
        <v>14</v>
      </c>
      <c r="B208" t="s">
        <v>498</v>
      </c>
      <c r="C208" s="472">
        <v>0</v>
      </c>
      <c r="D208" s="472"/>
      <c r="E208" s="472"/>
      <c r="F208" s="472"/>
      <c r="G208" s="472"/>
      <c r="H208" s="472"/>
      <c r="I208" s="472"/>
      <c r="J208" s="472"/>
      <c r="K208" s="472"/>
      <c r="L208" s="472"/>
      <c r="M208" s="472"/>
      <c r="N208" s="472"/>
      <c r="O208" s="472"/>
      <c r="P208"/>
    </row>
    <row r="209" spans="1:16" ht="15" x14ac:dyDescent="0.25">
      <c r="A209" s="458">
        <f t="shared" si="62"/>
        <v>15</v>
      </c>
      <c r="B209" t="s">
        <v>121</v>
      </c>
      <c r="C209" s="472">
        <v>1780290.94</v>
      </c>
      <c r="D209" s="472">
        <v>141934.73000000001</v>
      </c>
      <c r="E209" s="472">
        <v>142626.35999999999</v>
      </c>
      <c r="F209" s="472">
        <v>157513.49</v>
      </c>
      <c r="G209" s="472">
        <v>195409.3</v>
      </c>
      <c r="H209" s="472">
        <v>167749.07999999999</v>
      </c>
      <c r="I209" s="472">
        <v>137127.13</v>
      </c>
      <c r="J209" s="472">
        <v>151247.26</v>
      </c>
      <c r="K209" s="472">
        <v>102734.54999999999</v>
      </c>
      <c r="L209" s="472">
        <v>110266.90999999999</v>
      </c>
      <c r="M209" s="472">
        <v>205968.01</v>
      </c>
      <c r="N209" s="472">
        <v>142000.91</v>
      </c>
      <c r="O209" s="472">
        <v>125713.21</v>
      </c>
      <c r="P209"/>
    </row>
    <row r="210" spans="1:16" ht="15" x14ac:dyDescent="0.25">
      <c r="A210" s="458">
        <f t="shared" si="62"/>
        <v>16</v>
      </c>
      <c r="B210" t="s">
        <v>496</v>
      </c>
      <c r="C210" s="472">
        <v>0</v>
      </c>
      <c r="D210" s="472"/>
      <c r="E210" s="472"/>
      <c r="F210" s="472"/>
      <c r="G210" s="472"/>
      <c r="H210" s="472"/>
      <c r="I210" s="472"/>
      <c r="J210" s="472"/>
      <c r="K210" s="472"/>
      <c r="L210" s="472"/>
      <c r="M210" s="472"/>
      <c r="N210" s="472"/>
      <c r="O210" s="472"/>
      <c r="P210"/>
    </row>
    <row r="211" spans="1:16" ht="15" x14ac:dyDescent="0.25">
      <c r="A211" s="458">
        <f t="shared" si="62"/>
        <v>17</v>
      </c>
      <c r="B211" t="s">
        <v>499</v>
      </c>
      <c r="C211" s="472">
        <v>0</v>
      </c>
      <c r="D211" s="472"/>
      <c r="E211" s="472"/>
      <c r="F211" s="472"/>
      <c r="G211" s="472"/>
      <c r="H211" s="472"/>
      <c r="I211" s="472"/>
      <c r="J211" s="472"/>
      <c r="K211" s="472"/>
      <c r="L211" s="472"/>
      <c r="M211" s="472"/>
      <c r="N211" s="472"/>
      <c r="O211" s="472"/>
      <c r="P211"/>
    </row>
    <row r="212" spans="1:16" ht="15" x14ac:dyDescent="0.25">
      <c r="A212" s="458">
        <f t="shared" si="62"/>
        <v>18</v>
      </c>
      <c r="B212" t="s">
        <v>500</v>
      </c>
      <c r="C212" s="472">
        <v>0</v>
      </c>
      <c r="D212" s="472"/>
      <c r="E212" s="472"/>
      <c r="F212" s="472"/>
      <c r="G212" s="472"/>
      <c r="H212" s="472"/>
      <c r="I212" s="472"/>
      <c r="J212" s="472"/>
      <c r="K212" s="472"/>
      <c r="L212" s="472"/>
      <c r="M212" s="472"/>
      <c r="N212" s="472"/>
      <c r="O212" s="472"/>
      <c r="P212"/>
    </row>
    <row r="213" spans="1:16" ht="15" x14ac:dyDescent="0.25">
      <c r="A213" s="458">
        <f t="shared" si="62"/>
        <v>19</v>
      </c>
      <c r="B213" t="s">
        <v>501</v>
      </c>
      <c r="C213" s="472">
        <v>0</v>
      </c>
      <c r="D213" s="472"/>
      <c r="E213" s="472"/>
      <c r="F213" s="472"/>
      <c r="G213" s="472"/>
      <c r="H213" s="472"/>
      <c r="I213" s="472"/>
      <c r="J213" s="472"/>
      <c r="K213" s="472"/>
      <c r="L213" s="472"/>
      <c r="M213" s="472"/>
      <c r="N213" s="472"/>
      <c r="O213" s="472"/>
      <c r="P213"/>
    </row>
    <row r="214" spans="1:16" ht="15" x14ac:dyDescent="0.25">
      <c r="A214" s="458">
        <f t="shared" si="62"/>
        <v>20</v>
      </c>
      <c r="B214" t="s">
        <v>138</v>
      </c>
      <c r="C214" s="472">
        <v>13924.339999999997</v>
      </c>
      <c r="D214" s="472">
        <v>1277.8499999999999</v>
      </c>
      <c r="E214" s="472">
        <v>1154.3800000000001</v>
      </c>
      <c r="F214" s="472">
        <v>1014.37</v>
      </c>
      <c r="G214" s="472">
        <v>1199.76</v>
      </c>
      <c r="H214" s="472">
        <v>1144.17</v>
      </c>
      <c r="I214" s="472">
        <v>942.43</v>
      </c>
      <c r="J214" s="472">
        <v>1286.74</v>
      </c>
      <c r="K214" s="472">
        <v>906.09</v>
      </c>
      <c r="L214" s="472">
        <v>1163.79</v>
      </c>
      <c r="M214" s="472">
        <v>1383.87</v>
      </c>
      <c r="N214" s="472">
        <v>1309.6500000000001</v>
      </c>
      <c r="O214" s="472">
        <v>1141.24</v>
      </c>
      <c r="P214"/>
    </row>
    <row r="215" spans="1:16" ht="15" x14ac:dyDescent="0.25">
      <c r="A215" s="458">
        <f t="shared" si="62"/>
        <v>21</v>
      </c>
      <c r="B215" t="s">
        <v>40</v>
      </c>
      <c r="C215" s="472">
        <v>1666147.82</v>
      </c>
      <c r="D215" s="472">
        <v>129850.98000000003</v>
      </c>
      <c r="E215" s="472">
        <v>134743.06999999998</v>
      </c>
      <c r="F215" s="472">
        <v>147938</v>
      </c>
      <c r="G215" s="472">
        <v>183014.32</v>
      </c>
      <c r="H215" s="472">
        <v>157222.15</v>
      </c>
      <c r="I215" s="472">
        <v>128662.13</v>
      </c>
      <c r="J215" s="472">
        <v>142824.39000000001</v>
      </c>
      <c r="K215" s="472">
        <v>96902.719999999987</v>
      </c>
      <c r="L215" s="472">
        <v>103376.60999999999</v>
      </c>
      <c r="M215" s="472">
        <v>191740.83000000002</v>
      </c>
      <c r="N215" s="472">
        <v>132454.10999999999</v>
      </c>
      <c r="O215" s="472">
        <v>117418.51000000001</v>
      </c>
      <c r="P215"/>
    </row>
    <row r="216" spans="1:16" ht="15" x14ac:dyDescent="0.25">
      <c r="A216" s="458">
        <f t="shared" si="62"/>
        <v>22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 x14ac:dyDescent="0.25">
      <c r="A217" s="458">
        <f t="shared" si="62"/>
        <v>23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 x14ac:dyDescent="0.25">
      <c r="A218" s="458">
        <f t="shared" si="62"/>
        <v>24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 x14ac:dyDescent="0.25">
      <c r="A219" s="458">
        <f t="shared" si="62"/>
        <v>25</v>
      </c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 x14ac:dyDescent="0.25">
      <c r="A220" s="277">
        <f t="shared" ref="A220:A224" si="63">+A219+1</f>
        <v>26</v>
      </c>
    </row>
    <row r="221" spans="1:16" ht="15" x14ac:dyDescent="0.25">
      <c r="A221" s="277">
        <f t="shared" si="63"/>
        <v>27</v>
      </c>
    </row>
    <row r="222" spans="1:16" ht="15" x14ac:dyDescent="0.25">
      <c r="A222" s="277">
        <f t="shared" si="63"/>
        <v>28</v>
      </c>
    </row>
    <row r="223" spans="1:16" ht="15" x14ac:dyDescent="0.25">
      <c r="A223" s="277">
        <f t="shared" si="63"/>
        <v>29</v>
      </c>
    </row>
    <row r="224" spans="1:16" ht="15" x14ac:dyDescent="0.25">
      <c r="A224" s="277">
        <f t="shared" si="63"/>
        <v>30</v>
      </c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40" fitToHeight="2" orientation="landscape" r:id="rId5"/>
  <headerFooter>
    <oddFooter>&amp;L&amp;F
&amp;A&amp;RPage &amp;N of &amp;N</oddFooter>
  </headerFooter>
  <rowBreaks count="1" manualBreakCount="1">
    <brk id="6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Normal="100" workbookViewId="0">
      <selection activeCell="O70" sqref="O70"/>
    </sheetView>
  </sheetViews>
  <sheetFormatPr defaultColWidth="13.6640625" defaultRowHeight="14.4" x14ac:dyDescent="0.3"/>
  <cols>
    <col min="1" max="1" width="60" style="76" customWidth="1"/>
    <col min="2" max="2" width="11.33203125" style="76" customWidth="1"/>
    <col min="3" max="14" width="13.5546875" style="76" customWidth="1"/>
    <col min="15" max="15" width="11.44140625" style="76" customWidth="1"/>
    <col min="16" max="16384" width="13.6640625" style="76"/>
  </cols>
  <sheetData>
    <row r="1" spans="1:14" ht="15" x14ac:dyDescent="0.25">
      <c r="A1" s="75" t="s">
        <v>61</v>
      </c>
      <c r="B1" s="75"/>
      <c r="C1" s="75" t="s">
        <v>241</v>
      </c>
    </row>
    <row r="3" spans="1:14" ht="15" x14ac:dyDescent="0.25">
      <c r="C3" s="75" t="s">
        <v>63</v>
      </c>
      <c r="D3" s="75" t="s">
        <v>62</v>
      </c>
    </row>
    <row r="4" spans="1:14" ht="15" x14ac:dyDescent="0.25">
      <c r="C4" s="525" t="s">
        <v>24</v>
      </c>
      <c r="D4" s="525" t="s">
        <v>24</v>
      </c>
      <c r="E4" s="525" t="s">
        <v>24</v>
      </c>
      <c r="F4" s="525" t="s">
        <v>24</v>
      </c>
      <c r="G4" s="525" t="s">
        <v>24</v>
      </c>
      <c r="H4" s="525" t="s">
        <v>24</v>
      </c>
      <c r="I4" s="525" t="s">
        <v>24</v>
      </c>
      <c r="J4" s="525" t="s">
        <v>24</v>
      </c>
      <c r="K4" s="525" t="s">
        <v>24</v>
      </c>
      <c r="L4" s="525" t="s">
        <v>24</v>
      </c>
      <c r="M4" s="525" t="s">
        <v>24</v>
      </c>
      <c r="N4" s="525" t="s">
        <v>24</v>
      </c>
    </row>
    <row r="5" spans="1:14" ht="15.75" thickBot="1" x14ac:dyDescent="0.3">
      <c r="A5" s="75" t="s">
        <v>64</v>
      </c>
      <c r="B5" s="75" t="s">
        <v>58</v>
      </c>
      <c r="C5" s="77" t="s">
        <v>242</v>
      </c>
      <c r="D5" s="77" t="s">
        <v>243</v>
      </c>
      <c r="E5" s="77" t="s">
        <v>244</v>
      </c>
      <c r="F5" s="77" t="s">
        <v>245</v>
      </c>
      <c r="G5" s="77" t="s">
        <v>246</v>
      </c>
      <c r="H5" s="77" t="s">
        <v>247</v>
      </c>
      <c r="I5" s="77" t="s">
        <v>248</v>
      </c>
      <c r="J5" s="77" t="s">
        <v>249</v>
      </c>
      <c r="K5" s="77" t="s">
        <v>250</v>
      </c>
      <c r="L5" s="77" t="s">
        <v>251</v>
      </c>
      <c r="M5" s="77" t="s">
        <v>252</v>
      </c>
      <c r="N5" s="77" t="s">
        <v>253</v>
      </c>
    </row>
    <row r="6" spans="1:14" ht="15" x14ac:dyDescent="0.25">
      <c r="A6" s="78" t="s">
        <v>254</v>
      </c>
      <c r="B6" s="79" t="s">
        <v>66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5" x14ac:dyDescent="0.25">
      <c r="A7" s="81" t="s">
        <v>255</v>
      </c>
      <c r="B7" s="82" t="s">
        <v>66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" x14ac:dyDescent="0.25">
      <c r="A8" s="83" t="s">
        <v>256</v>
      </c>
      <c r="B8" s="82">
        <v>3</v>
      </c>
      <c r="C8" s="84">
        <v>1</v>
      </c>
      <c r="D8" s="84">
        <v>1</v>
      </c>
      <c r="E8" s="84">
        <v>1</v>
      </c>
      <c r="F8" s="84">
        <v>1</v>
      </c>
      <c r="G8" s="84">
        <v>1</v>
      </c>
      <c r="H8" s="84">
        <v>1</v>
      </c>
      <c r="I8" s="84">
        <v>1</v>
      </c>
      <c r="J8" s="84">
        <v>1</v>
      </c>
      <c r="K8" s="84">
        <v>1</v>
      </c>
      <c r="L8" s="84">
        <v>1</v>
      </c>
      <c r="M8" s="84">
        <v>1</v>
      </c>
      <c r="N8" s="84">
        <v>1</v>
      </c>
    </row>
    <row r="9" spans="1:14" ht="15" x14ac:dyDescent="0.25">
      <c r="A9" s="81" t="s">
        <v>257</v>
      </c>
      <c r="B9" s="82">
        <v>5</v>
      </c>
      <c r="C9" s="85">
        <v>8</v>
      </c>
      <c r="D9" s="85">
        <v>8</v>
      </c>
      <c r="E9" s="85">
        <v>8</v>
      </c>
      <c r="F9" s="85">
        <v>8</v>
      </c>
      <c r="G9" s="85">
        <v>8</v>
      </c>
      <c r="H9" s="85">
        <v>8</v>
      </c>
      <c r="I9" s="85">
        <v>8</v>
      </c>
      <c r="J9" s="85">
        <v>8</v>
      </c>
      <c r="K9" s="85">
        <v>8</v>
      </c>
      <c r="L9" s="85">
        <v>8</v>
      </c>
      <c r="M9" s="85">
        <v>8</v>
      </c>
      <c r="N9" s="85">
        <v>8</v>
      </c>
    </row>
    <row r="10" spans="1:14" ht="15" x14ac:dyDescent="0.25">
      <c r="A10" s="83" t="s">
        <v>258</v>
      </c>
      <c r="B10" s="82">
        <v>31</v>
      </c>
      <c r="C10" s="84">
        <v>13</v>
      </c>
      <c r="D10" s="84">
        <v>13</v>
      </c>
      <c r="E10" s="84">
        <v>13</v>
      </c>
      <c r="F10" s="84">
        <v>13</v>
      </c>
      <c r="G10" s="84">
        <v>13</v>
      </c>
      <c r="H10" s="84">
        <v>13</v>
      </c>
      <c r="I10" s="84">
        <v>13</v>
      </c>
      <c r="J10" s="84">
        <v>13</v>
      </c>
      <c r="K10" s="84">
        <v>13</v>
      </c>
      <c r="L10" s="84">
        <v>13</v>
      </c>
      <c r="M10" s="84">
        <v>13</v>
      </c>
      <c r="N10" s="84">
        <v>13</v>
      </c>
    </row>
    <row r="11" spans="1:14" ht="15" x14ac:dyDescent="0.25">
      <c r="A11" s="81" t="s">
        <v>259</v>
      </c>
      <c r="B11" s="82">
        <v>25</v>
      </c>
      <c r="C11" s="85">
        <v>312</v>
      </c>
      <c r="D11" s="85">
        <v>308</v>
      </c>
      <c r="E11" s="85">
        <v>305</v>
      </c>
      <c r="F11" s="85">
        <v>309</v>
      </c>
      <c r="G11" s="85">
        <v>310</v>
      </c>
      <c r="H11" s="85">
        <v>310</v>
      </c>
      <c r="I11" s="85">
        <v>313</v>
      </c>
      <c r="J11" s="85">
        <v>312</v>
      </c>
      <c r="K11" s="85">
        <v>313</v>
      </c>
      <c r="L11" s="85">
        <v>309</v>
      </c>
      <c r="M11" s="85">
        <v>308</v>
      </c>
      <c r="N11" s="85">
        <v>309</v>
      </c>
    </row>
    <row r="12" spans="1:14" ht="15" x14ac:dyDescent="0.25">
      <c r="A12" s="83" t="s">
        <v>260</v>
      </c>
      <c r="B12" s="82">
        <v>26</v>
      </c>
      <c r="C12" s="84">
        <v>13</v>
      </c>
      <c r="D12" s="84">
        <v>13</v>
      </c>
      <c r="E12" s="84">
        <v>12</v>
      </c>
      <c r="F12" s="84">
        <v>12</v>
      </c>
      <c r="G12" s="84">
        <v>11</v>
      </c>
      <c r="H12" s="84">
        <v>11</v>
      </c>
      <c r="I12" s="84">
        <v>11</v>
      </c>
      <c r="J12" s="84">
        <v>11</v>
      </c>
      <c r="K12" s="84">
        <v>11</v>
      </c>
      <c r="L12" s="84">
        <v>11</v>
      </c>
      <c r="M12" s="84">
        <v>12</v>
      </c>
      <c r="N12" s="84">
        <v>12</v>
      </c>
    </row>
    <row r="13" spans="1:14" ht="15" x14ac:dyDescent="0.25">
      <c r="A13" s="81" t="s">
        <v>261</v>
      </c>
      <c r="B13" s="82">
        <v>24</v>
      </c>
      <c r="C13" s="85">
        <v>83542</v>
      </c>
      <c r="D13" s="85">
        <v>83611</v>
      </c>
      <c r="E13" s="85">
        <v>83691</v>
      </c>
      <c r="F13" s="85">
        <v>83890</v>
      </c>
      <c r="G13" s="85">
        <v>84002</v>
      </c>
      <c r="H13" s="85">
        <v>84174</v>
      </c>
      <c r="I13" s="85">
        <v>84279</v>
      </c>
      <c r="J13" s="85">
        <v>84514</v>
      </c>
      <c r="K13" s="85">
        <v>85017</v>
      </c>
      <c r="L13" s="85">
        <v>85171</v>
      </c>
      <c r="M13" s="85">
        <v>85404</v>
      </c>
      <c r="N13" s="85">
        <v>85617</v>
      </c>
    </row>
    <row r="14" spans="1:14" ht="15" x14ac:dyDescent="0.25">
      <c r="A14" s="83" t="s">
        <v>262</v>
      </c>
      <c r="B14" s="82">
        <v>24</v>
      </c>
      <c r="C14" s="84">
        <v>2739</v>
      </c>
      <c r="D14" s="84">
        <v>2743</v>
      </c>
      <c r="E14" s="84">
        <v>2749</v>
      </c>
      <c r="F14" s="84">
        <v>2747</v>
      </c>
      <c r="G14" s="84">
        <v>2750</v>
      </c>
      <c r="H14" s="84">
        <v>2753</v>
      </c>
      <c r="I14" s="84">
        <v>2744</v>
      </c>
      <c r="J14" s="84">
        <v>2757</v>
      </c>
      <c r="K14" s="84">
        <v>2748</v>
      </c>
      <c r="L14" s="84">
        <v>2765</v>
      </c>
      <c r="M14" s="84">
        <v>2769</v>
      </c>
      <c r="N14" s="84">
        <v>2772</v>
      </c>
    </row>
    <row r="15" spans="1:14" ht="15" x14ac:dyDescent="0.25">
      <c r="A15" s="81" t="s">
        <v>263</v>
      </c>
      <c r="B15" s="82">
        <v>24</v>
      </c>
      <c r="C15" s="85">
        <v>1141</v>
      </c>
      <c r="D15" s="85">
        <v>1142</v>
      </c>
      <c r="E15" s="85">
        <v>1142</v>
      </c>
      <c r="F15" s="85">
        <v>1141</v>
      </c>
      <c r="G15" s="85">
        <v>1141</v>
      </c>
      <c r="H15" s="85">
        <v>1142</v>
      </c>
      <c r="I15" s="85">
        <v>1143</v>
      </c>
      <c r="J15" s="85">
        <v>1142</v>
      </c>
      <c r="K15" s="85">
        <v>1141</v>
      </c>
      <c r="L15" s="85">
        <v>1142</v>
      </c>
      <c r="M15" s="85">
        <v>1143</v>
      </c>
      <c r="N15" s="85">
        <v>1139</v>
      </c>
    </row>
    <row r="16" spans="1:14" ht="15" x14ac:dyDescent="0.25">
      <c r="A16" s="83" t="s">
        <v>264</v>
      </c>
      <c r="B16" s="82">
        <v>25</v>
      </c>
      <c r="C16" s="84">
        <v>6300</v>
      </c>
      <c r="D16" s="84">
        <v>6308</v>
      </c>
      <c r="E16" s="84">
        <v>6299</v>
      </c>
      <c r="F16" s="84">
        <v>6300</v>
      </c>
      <c r="G16" s="84">
        <v>6307</v>
      </c>
      <c r="H16" s="84">
        <v>6301</v>
      </c>
      <c r="I16" s="84">
        <v>6299</v>
      </c>
      <c r="J16" s="84">
        <v>6303</v>
      </c>
      <c r="K16" s="84">
        <v>6299</v>
      </c>
      <c r="L16" s="84">
        <v>6279</v>
      </c>
      <c r="M16" s="84">
        <v>6257</v>
      </c>
      <c r="N16" s="84">
        <v>6251</v>
      </c>
    </row>
    <row r="17" spans="1:14" ht="15" x14ac:dyDescent="0.25">
      <c r="A17" s="81" t="s">
        <v>265</v>
      </c>
      <c r="B17" s="82">
        <v>25</v>
      </c>
      <c r="C17" s="85">
        <v>456</v>
      </c>
      <c r="D17" s="85">
        <v>452</v>
      </c>
      <c r="E17" s="85">
        <v>449</v>
      </c>
      <c r="F17" s="85">
        <v>449</v>
      </c>
      <c r="G17" s="85">
        <v>448</v>
      </c>
      <c r="H17" s="85">
        <v>443</v>
      </c>
      <c r="I17" s="85">
        <v>442</v>
      </c>
      <c r="J17" s="85">
        <v>440</v>
      </c>
      <c r="K17" s="85">
        <v>441</v>
      </c>
      <c r="L17" s="85">
        <v>441</v>
      </c>
      <c r="M17" s="85">
        <v>438</v>
      </c>
      <c r="N17" s="85">
        <v>435</v>
      </c>
    </row>
    <row r="18" spans="1:14" ht="15" x14ac:dyDescent="0.25">
      <c r="A18" s="83" t="s">
        <v>266</v>
      </c>
      <c r="B18" s="82">
        <v>25</v>
      </c>
      <c r="C18" s="84">
        <v>8</v>
      </c>
      <c r="D18" s="84">
        <v>8</v>
      </c>
      <c r="E18" s="84">
        <v>8</v>
      </c>
      <c r="F18" s="84">
        <v>8</v>
      </c>
      <c r="G18" s="84">
        <v>8</v>
      </c>
      <c r="H18" s="84">
        <v>8</v>
      </c>
      <c r="I18" s="84">
        <v>8</v>
      </c>
      <c r="J18" s="84">
        <v>8</v>
      </c>
      <c r="K18" s="84">
        <v>8</v>
      </c>
      <c r="L18" s="84">
        <v>8</v>
      </c>
      <c r="M18" s="84">
        <v>8</v>
      </c>
      <c r="N18" s="84">
        <v>8</v>
      </c>
    </row>
    <row r="19" spans="1:14" ht="15" x14ac:dyDescent="0.25">
      <c r="A19" s="81" t="s">
        <v>156</v>
      </c>
      <c r="B19" s="82">
        <v>26</v>
      </c>
      <c r="C19" s="85">
        <v>678</v>
      </c>
      <c r="D19" s="85">
        <v>679</v>
      </c>
      <c r="E19" s="85">
        <v>682</v>
      </c>
      <c r="F19" s="85">
        <v>684</v>
      </c>
      <c r="G19" s="85">
        <v>678</v>
      </c>
      <c r="H19" s="85">
        <v>682</v>
      </c>
      <c r="I19" s="85">
        <v>682</v>
      </c>
      <c r="J19" s="85">
        <v>683</v>
      </c>
      <c r="K19" s="85">
        <v>683</v>
      </c>
      <c r="L19" s="85">
        <v>682</v>
      </c>
      <c r="M19" s="85">
        <v>684</v>
      </c>
      <c r="N19" s="85">
        <v>688</v>
      </c>
    </row>
    <row r="20" spans="1:14" ht="15" x14ac:dyDescent="0.25">
      <c r="A20" s="83" t="s">
        <v>267</v>
      </c>
      <c r="B20" s="82">
        <v>26</v>
      </c>
      <c r="C20" s="84">
        <v>89</v>
      </c>
      <c r="D20" s="84">
        <v>90</v>
      </c>
      <c r="E20" s="84">
        <v>89</v>
      </c>
      <c r="F20" s="84">
        <v>90</v>
      </c>
      <c r="G20" s="84">
        <v>90</v>
      </c>
      <c r="H20" s="84">
        <v>91</v>
      </c>
      <c r="I20" s="84">
        <v>92</v>
      </c>
      <c r="J20" s="84">
        <v>93</v>
      </c>
      <c r="K20" s="84">
        <v>92</v>
      </c>
      <c r="L20" s="84">
        <v>93</v>
      </c>
      <c r="M20" s="84">
        <v>93</v>
      </c>
      <c r="N20" s="84">
        <v>93</v>
      </c>
    </row>
    <row r="21" spans="1:14" ht="15" x14ac:dyDescent="0.25">
      <c r="A21" s="81" t="s">
        <v>268</v>
      </c>
      <c r="B21" s="82">
        <v>29</v>
      </c>
      <c r="C21" s="85">
        <v>556</v>
      </c>
      <c r="D21" s="85">
        <v>518</v>
      </c>
      <c r="E21" s="85">
        <v>501</v>
      </c>
      <c r="F21" s="85">
        <v>496</v>
      </c>
      <c r="G21" s="85">
        <v>493</v>
      </c>
      <c r="H21" s="85">
        <v>500</v>
      </c>
      <c r="I21" s="85">
        <v>538</v>
      </c>
      <c r="J21" s="85">
        <v>610</v>
      </c>
      <c r="K21" s="85">
        <v>642</v>
      </c>
      <c r="L21" s="85">
        <v>658</v>
      </c>
      <c r="M21" s="85">
        <v>663</v>
      </c>
      <c r="N21" s="85">
        <v>656</v>
      </c>
    </row>
    <row r="22" spans="1:14" ht="15" x14ac:dyDescent="0.25">
      <c r="A22" s="83" t="s">
        <v>269</v>
      </c>
      <c r="B22" s="82">
        <v>31</v>
      </c>
      <c r="C22" s="84">
        <v>341</v>
      </c>
      <c r="D22" s="84">
        <v>341</v>
      </c>
      <c r="E22" s="84">
        <v>341</v>
      </c>
      <c r="F22" s="84">
        <v>341</v>
      </c>
      <c r="G22" s="84">
        <v>341</v>
      </c>
      <c r="H22" s="84">
        <v>342</v>
      </c>
      <c r="I22" s="84">
        <v>342</v>
      </c>
      <c r="J22" s="84">
        <v>342</v>
      </c>
      <c r="K22" s="84">
        <v>343</v>
      </c>
      <c r="L22" s="84">
        <v>343</v>
      </c>
      <c r="M22" s="84">
        <v>344</v>
      </c>
      <c r="N22" s="84">
        <v>345</v>
      </c>
    </row>
    <row r="23" spans="1:14" ht="15" x14ac:dyDescent="0.25">
      <c r="A23" s="81" t="s">
        <v>270</v>
      </c>
      <c r="B23" s="82">
        <v>31</v>
      </c>
      <c r="C23" s="85">
        <v>120</v>
      </c>
      <c r="D23" s="85">
        <v>122</v>
      </c>
      <c r="E23" s="85">
        <v>121</v>
      </c>
      <c r="F23" s="85">
        <v>122</v>
      </c>
      <c r="G23" s="85">
        <v>121</v>
      </c>
      <c r="H23" s="85">
        <v>121</v>
      </c>
      <c r="I23" s="85">
        <v>122</v>
      </c>
      <c r="J23" s="85">
        <v>121</v>
      </c>
      <c r="K23" s="85">
        <v>121</v>
      </c>
      <c r="L23" s="85">
        <v>122</v>
      </c>
      <c r="M23" s="85">
        <v>121</v>
      </c>
      <c r="N23" s="85">
        <v>121</v>
      </c>
    </row>
    <row r="24" spans="1:14" ht="15" x14ac:dyDescent="0.25">
      <c r="A24" s="83" t="s">
        <v>271</v>
      </c>
      <c r="B24" s="82">
        <v>35</v>
      </c>
      <c r="C24" s="84">
        <v>1</v>
      </c>
      <c r="D24" s="84">
        <v>1</v>
      </c>
      <c r="E24" s="84">
        <v>1</v>
      </c>
      <c r="F24" s="84">
        <v>1</v>
      </c>
      <c r="G24" s="84">
        <v>1</v>
      </c>
      <c r="H24" s="84">
        <v>1</v>
      </c>
      <c r="I24" s="84">
        <v>1</v>
      </c>
      <c r="J24" s="84">
        <v>1</v>
      </c>
      <c r="K24" s="84">
        <v>1</v>
      </c>
      <c r="L24" s="84">
        <v>1</v>
      </c>
      <c r="M24" s="84">
        <v>1</v>
      </c>
      <c r="N24" s="84">
        <v>1</v>
      </c>
    </row>
    <row r="25" spans="1:14" ht="15" x14ac:dyDescent="0.25">
      <c r="A25" s="81" t="s">
        <v>272</v>
      </c>
      <c r="B25" s="82">
        <v>40</v>
      </c>
      <c r="C25" s="85">
        <v>125</v>
      </c>
      <c r="D25" s="85">
        <v>125</v>
      </c>
      <c r="E25" s="85">
        <v>125</v>
      </c>
      <c r="F25" s="85">
        <v>125</v>
      </c>
      <c r="G25" s="85">
        <v>125</v>
      </c>
      <c r="H25" s="85">
        <v>125</v>
      </c>
      <c r="I25" s="85">
        <v>125</v>
      </c>
      <c r="J25" s="85">
        <v>125</v>
      </c>
      <c r="K25" s="85">
        <v>125</v>
      </c>
      <c r="L25" s="85">
        <v>125</v>
      </c>
      <c r="M25" s="85">
        <v>126</v>
      </c>
      <c r="N25" s="85">
        <v>125</v>
      </c>
    </row>
    <row r="26" spans="1:14" ht="15" x14ac:dyDescent="0.25">
      <c r="A26" s="83" t="s">
        <v>273</v>
      </c>
      <c r="B26" s="82">
        <v>40</v>
      </c>
      <c r="C26" s="84">
        <v>6</v>
      </c>
      <c r="D26" s="84">
        <v>6</v>
      </c>
      <c r="E26" s="84">
        <v>6</v>
      </c>
      <c r="F26" s="84">
        <v>6</v>
      </c>
      <c r="G26" s="84">
        <v>6</v>
      </c>
      <c r="H26" s="84">
        <v>6</v>
      </c>
      <c r="I26" s="84">
        <v>6</v>
      </c>
      <c r="J26" s="84">
        <v>6</v>
      </c>
      <c r="K26" s="84">
        <v>6</v>
      </c>
      <c r="L26" s="84">
        <v>6</v>
      </c>
      <c r="M26" s="84">
        <v>6</v>
      </c>
      <c r="N26" s="84">
        <v>6</v>
      </c>
    </row>
    <row r="27" spans="1:14" ht="15" x14ac:dyDescent="0.25">
      <c r="A27" s="81" t="s">
        <v>274</v>
      </c>
      <c r="B27" s="82">
        <v>43</v>
      </c>
      <c r="C27" s="85">
        <v>159</v>
      </c>
      <c r="D27" s="85">
        <v>158</v>
      </c>
      <c r="E27" s="85">
        <v>158</v>
      </c>
      <c r="F27" s="85">
        <v>158</v>
      </c>
      <c r="G27" s="85">
        <v>158</v>
      </c>
      <c r="H27" s="85">
        <v>158</v>
      </c>
      <c r="I27" s="85">
        <v>158</v>
      </c>
      <c r="J27" s="85">
        <v>158</v>
      </c>
      <c r="K27" s="85">
        <v>157</v>
      </c>
      <c r="L27" s="85">
        <v>157</v>
      </c>
      <c r="M27" s="85">
        <v>157</v>
      </c>
      <c r="N27" s="85">
        <v>157</v>
      </c>
    </row>
    <row r="28" spans="1:14" ht="15" x14ac:dyDescent="0.25">
      <c r="A28" s="83" t="s">
        <v>275</v>
      </c>
      <c r="B28" s="82">
        <v>449</v>
      </c>
      <c r="C28" s="84">
        <v>1</v>
      </c>
      <c r="D28" s="84">
        <v>1</v>
      </c>
      <c r="E28" s="84">
        <v>1</v>
      </c>
      <c r="F28" s="84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1</v>
      </c>
      <c r="M28" s="84">
        <v>1</v>
      </c>
      <c r="N28" s="84">
        <v>1</v>
      </c>
    </row>
    <row r="29" spans="1:14" x14ac:dyDescent="0.3">
      <c r="A29" s="81" t="s">
        <v>276</v>
      </c>
      <c r="B29" s="82">
        <v>449</v>
      </c>
      <c r="C29" s="85">
        <v>12</v>
      </c>
      <c r="D29" s="85">
        <v>12</v>
      </c>
      <c r="E29" s="85">
        <v>12</v>
      </c>
      <c r="F29" s="85">
        <v>12</v>
      </c>
      <c r="G29" s="85">
        <v>12</v>
      </c>
      <c r="H29" s="85">
        <v>12</v>
      </c>
      <c r="I29" s="85">
        <v>12</v>
      </c>
      <c r="J29" s="85">
        <v>12</v>
      </c>
      <c r="K29" s="85">
        <v>12</v>
      </c>
      <c r="L29" s="85">
        <v>12</v>
      </c>
      <c r="M29" s="85">
        <v>12</v>
      </c>
      <c r="N29" s="85">
        <v>12</v>
      </c>
    </row>
    <row r="30" spans="1:14" x14ac:dyDescent="0.3">
      <c r="A30" s="83" t="s">
        <v>277</v>
      </c>
      <c r="B30" s="82">
        <v>459</v>
      </c>
      <c r="C30" s="84">
        <v>3</v>
      </c>
      <c r="D30" s="84">
        <v>3</v>
      </c>
      <c r="E30" s="84">
        <v>3</v>
      </c>
      <c r="F30" s="84">
        <v>3</v>
      </c>
      <c r="G30" s="84">
        <v>3</v>
      </c>
      <c r="H30" s="84">
        <v>3</v>
      </c>
      <c r="I30" s="84">
        <v>3</v>
      </c>
      <c r="J30" s="84">
        <v>3</v>
      </c>
      <c r="K30" s="84">
        <v>3</v>
      </c>
      <c r="L30" s="84">
        <v>3</v>
      </c>
      <c r="M30" s="84">
        <v>3</v>
      </c>
      <c r="N30" s="84">
        <v>3</v>
      </c>
    </row>
    <row r="31" spans="1:14" x14ac:dyDescent="0.3">
      <c r="A31" s="81" t="s">
        <v>278</v>
      </c>
      <c r="B31" s="82">
        <v>46</v>
      </c>
      <c r="C31" s="85">
        <v>1</v>
      </c>
      <c r="D31" s="85">
        <v>1</v>
      </c>
      <c r="E31" s="85">
        <v>1</v>
      </c>
      <c r="F31" s="85">
        <v>1</v>
      </c>
      <c r="G31" s="85">
        <v>1</v>
      </c>
      <c r="H31" s="85">
        <v>1</v>
      </c>
      <c r="I31" s="85">
        <v>1</v>
      </c>
      <c r="J31" s="85">
        <v>1</v>
      </c>
      <c r="K31" s="85">
        <v>1</v>
      </c>
      <c r="L31" s="85">
        <v>1</v>
      </c>
      <c r="M31" s="85">
        <v>1</v>
      </c>
      <c r="N31" s="85">
        <v>1</v>
      </c>
    </row>
    <row r="32" spans="1:14" x14ac:dyDescent="0.3">
      <c r="A32" s="83" t="s">
        <v>279</v>
      </c>
      <c r="B32" s="82">
        <v>46</v>
      </c>
      <c r="C32" s="84">
        <v>4</v>
      </c>
      <c r="D32" s="84">
        <v>4</v>
      </c>
      <c r="E32" s="84">
        <v>4</v>
      </c>
      <c r="F32" s="84">
        <v>4</v>
      </c>
      <c r="G32" s="84">
        <v>4</v>
      </c>
      <c r="H32" s="84">
        <v>4</v>
      </c>
      <c r="I32" s="84">
        <v>4</v>
      </c>
      <c r="J32" s="84">
        <v>4</v>
      </c>
      <c r="K32" s="84">
        <v>4</v>
      </c>
      <c r="L32" s="84">
        <v>4</v>
      </c>
      <c r="M32" s="84">
        <v>4</v>
      </c>
      <c r="N32" s="84">
        <v>4</v>
      </c>
    </row>
    <row r="33" spans="1:14" x14ac:dyDescent="0.3">
      <c r="A33" s="81" t="s">
        <v>280</v>
      </c>
      <c r="B33" s="82">
        <v>49</v>
      </c>
      <c r="C33" s="85">
        <v>15</v>
      </c>
      <c r="D33" s="85">
        <v>15</v>
      </c>
      <c r="E33" s="85">
        <v>15</v>
      </c>
      <c r="F33" s="85">
        <v>15</v>
      </c>
      <c r="G33" s="85">
        <v>15</v>
      </c>
      <c r="H33" s="85">
        <v>15</v>
      </c>
      <c r="I33" s="85">
        <v>15</v>
      </c>
      <c r="J33" s="85">
        <v>15</v>
      </c>
      <c r="K33" s="85">
        <v>15</v>
      </c>
      <c r="L33" s="85">
        <v>15</v>
      </c>
      <c r="M33" s="85">
        <v>15</v>
      </c>
      <c r="N33" s="85">
        <v>15</v>
      </c>
    </row>
    <row r="34" spans="1:14" x14ac:dyDescent="0.3">
      <c r="A34" s="83" t="s">
        <v>281</v>
      </c>
      <c r="B34" s="82">
        <v>49</v>
      </c>
      <c r="C34" s="84">
        <v>5</v>
      </c>
      <c r="D34" s="84">
        <v>5</v>
      </c>
      <c r="E34" s="84">
        <v>5</v>
      </c>
      <c r="F34" s="84">
        <v>5</v>
      </c>
      <c r="G34" s="84">
        <v>5</v>
      </c>
      <c r="H34" s="84">
        <v>5</v>
      </c>
      <c r="I34" s="84">
        <v>5</v>
      </c>
      <c r="J34" s="84">
        <v>5</v>
      </c>
      <c r="K34" s="84">
        <v>5</v>
      </c>
      <c r="L34" s="84">
        <v>5</v>
      </c>
      <c r="M34" s="84">
        <v>5</v>
      </c>
      <c r="N34" s="84">
        <v>5</v>
      </c>
    </row>
    <row r="35" spans="1:14" x14ac:dyDescent="0.3">
      <c r="A35" s="81" t="s">
        <v>282</v>
      </c>
      <c r="B35" s="82" t="s">
        <v>59</v>
      </c>
      <c r="C35" s="85">
        <v>11</v>
      </c>
      <c r="D35" s="85">
        <v>11</v>
      </c>
      <c r="E35" s="85">
        <v>11</v>
      </c>
      <c r="F35" s="85">
        <v>11</v>
      </c>
      <c r="G35" s="85">
        <v>11</v>
      </c>
      <c r="H35" s="85">
        <v>11</v>
      </c>
      <c r="I35" s="85">
        <v>11</v>
      </c>
      <c r="J35" s="85">
        <v>11</v>
      </c>
      <c r="K35" s="85">
        <v>11</v>
      </c>
      <c r="L35" s="85">
        <v>11</v>
      </c>
      <c r="M35" s="85">
        <v>11</v>
      </c>
      <c r="N35" s="85">
        <v>11</v>
      </c>
    </row>
    <row r="36" spans="1:14" x14ac:dyDescent="0.3">
      <c r="A36" s="83" t="s">
        <v>283</v>
      </c>
      <c r="B36" s="82" t="s">
        <v>59</v>
      </c>
      <c r="C36" s="84">
        <v>95</v>
      </c>
      <c r="D36" s="84">
        <v>96</v>
      </c>
      <c r="E36" s="84">
        <v>107</v>
      </c>
      <c r="F36" s="84">
        <v>115</v>
      </c>
      <c r="G36" s="84">
        <v>120</v>
      </c>
      <c r="H36" s="84">
        <v>133</v>
      </c>
      <c r="I36" s="84">
        <v>140</v>
      </c>
      <c r="J36" s="84">
        <v>157</v>
      </c>
      <c r="K36" s="84">
        <v>180</v>
      </c>
      <c r="L36" s="84">
        <v>196</v>
      </c>
      <c r="M36" s="84">
        <v>202</v>
      </c>
      <c r="N36" s="84">
        <v>214</v>
      </c>
    </row>
    <row r="37" spans="1:14" x14ac:dyDescent="0.3">
      <c r="A37" s="81" t="s">
        <v>284</v>
      </c>
      <c r="B37" s="82" t="s">
        <v>59</v>
      </c>
      <c r="C37" s="85">
        <v>2499</v>
      </c>
      <c r="D37" s="85">
        <v>2503</v>
      </c>
      <c r="E37" s="85">
        <v>2511</v>
      </c>
      <c r="F37" s="85">
        <v>2517</v>
      </c>
      <c r="G37" s="85">
        <v>2521</v>
      </c>
      <c r="H37" s="85">
        <v>2525</v>
      </c>
      <c r="I37" s="85">
        <v>2532</v>
      </c>
      <c r="J37" s="85">
        <v>2537</v>
      </c>
      <c r="K37" s="85">
        <v>2529</v>
      </c>
      <c r="L37" s="85">
        <v>2505</v>
      </c>
      <c r="M37" s="85">
        <v>2510</v>
      </c>
      <c r="N37" s="85">
        <v>2512</v>
      </c>
    </row>
    <row r="38" spans="1:14" x14ac:dyDescent="0.3">
      <c r="A38" s="83" t="s">
        <v>285</v>
      </c>
      <c r="B38" s="82" t="s">
        <v>59</v>
      </c>
      <c r="C38" s="84">
        <v>2443</v>
      </c>
      <c r="D38" s="84">
        <v>2438</v>
      </c>
      <c r="E38" s="84">
        <v>2398</v>
      </c>
      <c r="F38" s="84">
        <v>2399</v>
      </c>
      <c r="G38" s="84">
        <v>2399</v>
      </c>
      <c r="H38" s="84">
        <v>2415</v>
      </c>
      <c r="I38" s="84">
        <v>2437</v>
      </c>
      <c r="J38" s="84">
        <v>2478</v>
      </c>
      <c r="K38" s="84">
        <v>2477</v>
      </c>
      <c r="L38" s="84">
        <v>2476</v>
      </c>
      <c r="M38" s="84">
        <v>2474</v>
      </c>
      <c r="N38" s="84">
        <v>2447</v>
      </c>
    </row>
    <row r="39" spans="1:14" x14ac:dyDescent="0.3">
      <c r="A39" s="81" t="s">
        <v>286</v>
      </c>
      <c r="B39" s="82" t="s">
        <v>59</v>
      </c>
      <c r="C39" s="85">
        <v>45</v>
      </c>
      <c r="D39" s="85">
        <v>43</v>
      </c>
      <c r="E39" s="85">
        <v>43</v>
      </c>
      <c r="F39" s="85">
        <v>45</v>
      </c>
      <c r="G39" s="85">
        <v>44</v>
      </c>
      <c r="H39" s="85">
        <v>44</v>
      </c>
      <c r="I39" s="85">
        <v>45</v>
      </c>
      <c r="J39" s="85">
        <v>44</v>
      </c>
      <c r="K39" s="85">
        <v>43</v>
      </c>
      <c r="L39" s="85">
        <v>44</v>
      </c>
      <c r="M39" s="85">
        <v>44</v>
      </c>
      <c r="N39" s="85">
        <v>44</v>
      </c>
    </row>
    <row r="40" spans="1:14" x14ac:dyDescent="0.3">
      <c r="A40" s="83" t="s">
        <v>287</v>
      </c>
      <c r="B40" s="82" t="s">
        <v>59</v>
      </c>
      <c r="C40" s="84">
        <v>828</v>
      </c>
      <c r="D40" s="84">
        <v>815</v>
      </c>
      <c r="E40" s="84">
        <v>817</v>
      </c>
      <c r="F40" s="84">
        <v>813</v>
      </c>
      <c r="G40" s="84">
        <v>820</v>
      </c>
      <c r="H40" s="84">
        <v>805</v>
      </c>
      <c r="I40" s="84">
        <v>812</v>
      </c>
      <c r="J40" s="84">
        <v>807</v>
      </c>
      <c r="K40" s="84">
        <v>811</v>
      </c>
      <c r="L40" s="84">
        <v>801</v>
      </c>
      <c r="M40" s="84">
        <v>801</v>
      </c>
      <c r="N40" s="84">
        <v>805</v>
      </c>
    </row>
    <row r="41" spans="1:14" x14ac:dyDescent="0.3">
      <c r="A41" s="81" t="s">
        <v>288</v>
      </c>
      <c r="B41" s="82" t="s">
        <v>59</v>
      </c>
      <c r="C41" s="85">
        <v>849</v>
      </c>
      <c r="D41" s="85">
        <v>859</v>
      </c>
      <c r="E41" s="85">
        <v>856</v>
      </c>
      <c r="F41" s="85">
        <v>857</v>
      </c>
      <c r="G41" s="85">
        <v>857</v>
      </c>
      <c r="H41" s="85">
        <v>853</v>
      </c>
      <c r="I41" s="85">
        <v>838</v>
      </c>
      <c r="J41" s="85">
        <v>832</v>
      </c>
      <c r="K41" s="85">
        <v>820</v>
      </c>
      <c r="L41" s="85">
        <v>818</v>
      </c>
      <c r="M41" s="85">
        <v>823</v>
      </c>
      <c r="N41" s="85">
        <v>840</v>
      </c>
    </row>
    <row r="42" spans="1:14" x14ac:dyDescent="0.3">
      <c r="A42" s="83" t="s">
        <v>289</v>
      </c>
      <c r="B42" s="82" t="s">
        <v>59</v>
      </c>
      <c r="C42" s="84">
        <v>109</v>
      </c>
      <c r="D42" s="84">
        <v>109</v>
      </c>
      <c r="E42" s="84">
        <v>109</v>
      </c>
      <c r="F42" s="84">
        <v>109</v>
      </c>
      <c r="G42" s="84">
        <v>110</v>
      </c>
      <c r="H42" s="84">
        <v>110</v>
      </c>
      <c r="I42" s="84">
        <v>109</v>
      </c>
      <c r="J42" s="84">
        <v>109</v>
      </c>
      <c r="K42" s="84">
        <v>109</v>
      </c>
      <c r="L42" s="84">
        <v>109</v>
      </c>
      <c r="M42" s="84">
        <v>109</v>
      </c>
      <c r="N42" s="84">
        <v>109</v>
      </c>
    </row>
    <row r="43" spans="1:14" x14ac:dyDescent="0.3">
      <c r="A43" s="81" t="s">
        <v>290</v>
      </c>
      <c r="B43" s="82" t="s">
        <v>59</v>
      </c>
      <c r="C43" s="85">
        <v>281</v>
      </c>
      <c r="D43" s="85">
        <v>273</v>
      </c>
      <c r="E43" s="85">
        <v>282</v>
      </c>
      <c r="F43" s="85">
        <v>277</v>
      </c>
      <c r="G43" s="85">
        <v>284</v>
      </c>
      <c r="H43" s="85">
        <v>280</v>
      </c>
      <c r="I43" s="85">
        <v>284</v>
      </c>
      <c r="J43" s="85">
        <v>284</v>
      </c>
      <c r="K43" s="85">
        <v>279</v>
      </c>
      <c r="L43" s="85">
        <v>277</v>
      </c>
      <c r="M43" s="85">
        <v>277</v>
      </c>
      <c r="N43" s="85">
        <v>280</v>
      </c>
    </row>
    <row r="44" spans="1:14" x14ac:dyDescent="0.3">
      <c r="A44" s="83" t="s">
        <v>291</v>
      </c>
      <c r="B44" s="82" t="s">
        <v>59</v>
      </c>
      <c r="C44" s="84">
        <v>26</v>
      </c>
      <c r="D44" s="84">
        <v>24</v>
      </c>
      <c r="E44" s="84">
        <v>24</v>
      </c>
      <c r="F44" s="84">
        <v>25</v>
      </c>
      <c r="G44" s="84">
        <v>25</v>
      </c>
      <c r="H44" s="84">
        <v>27</v>
      </c>
      <c r="I44" s="84">
        <v>26</v>
      </c>
      <c r="J44" s="84">
        <v>24</v>
      </c>
      <c r="K44" s="84">
        <v>24</v>
      </c>
      <c r="L44" s="84">
        <v>25</v>
      </c>
      <c r="M44" s="84">
        <v>27</v>
      </c>
      <c r="N44" s="84">
        <v>27</v>
      </c>
    </row>
    <row r="45" spans="1:14" x14ac:dyDescent="0.3">
      <c r="A45" s="81" t="s">
        <v>292</v>
      </c>
      <c r="B45" s="82" t="s">
        <v>59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x14ac:dyDescent="0.3">
      <c r="A46" s="83" t="s">
        <v>293</v>
      </c>
      <c r="B46" s="82" t="s">
        <v>68</v>
      </c>
      <c r="C46" s="84">
        <v>4</v>
      </c>
      <c r="D46" s="84">
        <v>4</v>
      </c>
      <c r="E46" s="84">
        <v>4</v>
      </c>
      <c r="F46" s="84">
        <v>4</v>
      </c>
      <c r="G46" s="84">
        <v>4</v>
      </c>
      <c r="H46" s="84">
        <v>4</v>
      </c>
      <c r="I46" s="84">
        <v>4</v>
      </c>
      <c r="J46" s="84">
        <v>4</v>
      </c>
      <c r="K46" s="84">
        <v>4</v>
      </c>
      <c r="L46" s="84">
        <v>4</v>
      </c>
      <c r="M46" s="84">
        <v>4</v>
      </c>
      <c r="N46" s="84">
        <v>4</v>
      </c>
    </row>
    <row r="47" spans="1:14" x14ac:dyDescent="0.3">
      <c r="A47" s="81" t="s">
        <v>294</v>
      </c>
      <c r="B47" s="82">
        <v>7</v>
      </c>
      <c r="C47" s="85">
        <v>973096</v>
      </c>
      <c r="D47" s="85">
        <v>975038</v>
      </c>
      <c r="E47" s="85">
        <v>976579</v>
      </c>
      <c r="F47" s="85">
        <v>977562</v>
      </c>
      <c r="G47" s="85">
        <v>978353</v>
      </c>
      <c r="H47" s="85">
        <v>979711</v>
      </c>
      <c r="I47" s="85">
        <v>980335</v>
      </c>
      <c r="J47" s="85">
        <v>982766</v>
      </c>
      <c r="K47" s="85">
        <v>985020</v>
      </c>
      <c r="L47" s="85">
        <v>985347</v>
      </c>
      <c r="M47" s="85">
        <v>986331</v>
      </c>
      <c r="N47" s="85">
        <v>987781</v>
      </c>
    </row>
    <row r="48" spans="1:14" x14ac:dyDescent="0.3">
      <c r="A48" s="83" t="s">
        <v>295</v>
      </c>
      <c r="B48" s="82">
        <v>24</v>
      </c>
      <c r="C48" s="84">
        <v>29507</v>
      </c>
      <c r="D48" s="84">
        <v>29516</v>
      </c>
      <c r="E48" s="84">
        <v>29558</v>
      </c>
      <c r="F48" s="84">
        <v>29543</v>
      </c>
      <c r="G48" s="84">
        <v>29511</v>
      </c>
      <c r="H48" s="84">
        <v>29569</v>
      </c>
      <c r="I48" s="84">
        <v>29599</v>
      </c>
      <c r="J48" s="84">
        <v>29667</v>
      </c>
      <c r="K48" s="84">
        <v>29748</v>
      </c>
      <c r="L48" s="84">
        <v>29766</v>
      </c>
      <c r="M48" s="84">
        <v>29741</v>
      </c>
      <c r="N48" s="84">
        <v>29742</v>
      </c>
    </row>
    <row r="49" spans="1:15" x14ac:dyDescent="0.3">
      <c r="A49" s="81" t="s">
        <v>296</v>
      </c>
      <c r="B49" s="82" t="s">
        <v>66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5" x14ac:dyDescent="0.3">
      <c r="A50" s="83" t="s">
        <v>297</v>
      </c>
      <c r="B50" s="82" t="s">
        <v>66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5" x14ac:dyDescent="0.3">
      <c r="A51" s="81" t="s">
        <v>298</v>
      </c>
      <c r="B51" s="82" t="s">
        <v>66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5" x14ac:dyDescent="0.3">
      <c r="A52" s="83" t="s">
        <v>299</v>
      </c>
      <c r="B52" s="82" t="s">
        <v>66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5" x14ac:dyDescent="0.3">
      <c r="A53" s="81" t="s">
        <v>300</v>
      </c>
      <c r="B53" s="82" t="s">
        <v>66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5" x14ac:dyDescent="0.3">
      <c r="A54" s="83" t="s">
        <v>301</v>
      </c>
      <c r="B54" s="82" t="s">
        <v>66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5" x14ac:dyDescent="0.3">
      <c r="A55" s="81" t="s">
        <v>65</v>
      </c>
      <c r="B55" s="81"/>
      <c r="C55" s="85">
        <v>1106442</v>
      </c>
      <c r="D55" s="85">
        <v>1108417</v>
      </c>
      <c r="E55" s="85">
        <v>1110041</v>
      </c>
      <c r="F55" s="85">
        <v>1111219</v>
      </c>
      <c r="G55" s="85">
        <v>1112112</v>
      </c>
      <c r="H55" s="85">
        <v>1113718</v>
      </c>
      <c r="I55" s="85">
        <v>1114540</v>
      </c>
      <c r="J55" s="85">
        <v>1117409</v>
      </c>
      <c r="K55" s="85">
        <v>1120266</v>
      </c>
      <c r="L55" s="85">
        <v>1120755</v>
      </c>
      <c r="M55" s="85">
        <v>1121951</v>
      </c>
      <c r="N55" s="85">
        <v>1123614</v>
      </c>
    </row>
    <row r="57" spans="1:15" x14ac:dyDescent="0.3">
      <c r="B57" s="87" t="s">
        <v>302</v>
      </c>
    </row>
    <row r="58" spans="1:15" x14ac:dyDescent="0.3">
      <c r="B58" s="87"/>
    </row>
    <row r="59" spans="1:15" x14ac:dyDescent="0.3">
      <c r="B59" s="87" t="s">
        <v>41</v>
      </c>
      <c r="C59" s="88">
        <v>42278</v>
      </c>
      <c r="D59" s="88">
        <f>EDATE(C59,1)</f>
        <v>42309</v>
      </c>
      <c r="E59" s="88">
        <f t="shared" ref="E59:N59" si="0">EDATE(D59,1)</f>
        <v>42339</v>
      </c>
      <c r="F59" s="88">
        <f t="shared" si="0"/>
        <v>42370</v>
      </c>
      <c r="G59" s="88">
        <f t="shared" si="0"/>
        <v>42401</v>
      </c>
      <c r="H59" s="88">
        <f t="shared" si="0"/>
        <v>42430</v>
      </c>
      <c r="I59" s="88">
        <f t="shared" si="0"/>
        <v>42461</v>
      </c>
      <c r="J59" s="88">
        <f t="shared" si="0"/>
        <v>42491</v>
      </c>
      <c r="K59" s="88">
        <f t="shared" si="0"/>
        <v>42522</v>
      </c>
      <c r="L59" s="88">
        <f t="shared" si="0"/>
        <v>42552</v>
      </c>
      <c r="M59" s="88">
        <f t="shared" si="0"/>
        <v>42583</v>
      </c>
      <c r="N59" s="88">
        <f t="shared" si="0"/>
        <v>42614</v>
      </c>
      <c r="O59" s="89" t="s">
        <v>42</v>
      </c>
    </row>
    <row r="60" spans="1:15" x14ac:dyDescent="0.3">
      <c r="B60" s="90">
        <v>3</v>
      </c>
      <c r="C60" s="91">
        <f t="shared" ref="C60:N75" si="1">SUMIF($B$6:$B$54,$B60,C$6:C$54)</f>
        <v>1</v>
      </c>
      <c r="D60" s="91">
        <f t="shared" si="1"/>
        <v>1</v>
      </c>
      <c r="E60" s="91">
        <f t="shared" si="1"/>
        <v>1</v>
      </c>
      <c r="F60" s="91">
        <f t="shared" si="1"/>
        <v>1</v>
      </c>
      <c r="G60" s="91">
        <f t="shared" si="1"/>
        <v>1</v>
      </c>
      <c r="H60" s="91">
        <f t="shared" si="1"/>
        <v>1</v>
      </c>
      <c r="I60" s="91">
        <f t="shared" si="1"/>
        <v>1</v>
      </c>
      <c r="J60" s="91">
        <f t="shared" si="1"/>
        <v>1</v>
      </c>
      <c r="K60" s="91">
        <f t="shared" si="1"/>
        <v>1</v>
      </c>
      <c r="L60" s="91">
        <f t="shared" si="1"/>
        <v>1</v>
      </c>
      <c r="M60" s="91">
        <f t="shared" si="1"/>
        <v>1</v>
      </c>
      <c r="N60" s="91">
        <f t="shared" si="1"/>
        <v>1</v>
      </c>
      <c r="O60" s="92">
        <f>AVERAGE(C60:N60)</f>
        <v>1</v>
      </c>
    </row>
    <row r="61" spans="1:15" x14ac:dyDescent="0.3">
      <c r="B61" s="90">
        <v>5</v>
      </c>
      <c r="C61" s="91">
        <f t="shared" si="1"/>
        <v>8</v>
      </c>
      <c r="D61" s="91">
        <f t="shared" si="1"/>
        <v>8</v>
      </c>
      <c r="E61" s="91">
        <f t="shared" si="1"/>
        <v>8</v>
      </c>
      <c r="F61" s="91">
        <f t="shared" si="1"/>
        <v>8</v>
      </c>
      <c r="G61" s="91">
        <f t="shared" si="1"/>
        <v>8</v>
      </c>
      <c r="H61" s="91">
        <f t="shared" si="1"/>
        <v>8</v>
      </c>
      <c r="I61" s="91">
        <f t="shared" si="1"/>
        <v>8</v>
      </c>
      <c r="J61" s="91">
        <f t="shared" si="1"/>
        <v>8</v>
      </c>
      <c r="K61" s="91">
        <f t="shared" si="1"/>
        <v>8</v>
      </c>
      <c r="L61" s="91">
        <f t="shared" si="1"/>
        <v>8</v>
      </c>
      <c r="M61" s="91">
        <f t="shared" si="1"/>
        <v>8</v>
      </c>
      <c r="N61" s="91">
        <f t="shared" si="1"/>
        <v>8</v>
      </c>
      <c r="O61" s="92">
        <f t="shared" ref="O61:O76" si="2">AVERAGE(C61:N61)</f>
        <v>8</v>
      </c>
    </row>
    <row r="62" spans="1:15" x14ac:dyDescent="0.3">
      <c r="B62" s="90">
        <v>7</v>
      </c>
      <c r="C62" s="91">
        <f t="shared" ref="C62:C77" si="3">SUMIF($B$6:$B$54,$B62,C$6:C$54)</f>
        <v>973096</v>
      </c>
      <c r="D62" s="91">
        <f t="shared" si="1"/>
        <v>975038</v>
      </c>
      <c r="E62" s="91">
        <f t="shared" si="1"/>
        <v>976579</v>
      </c>
      <c r="F62" s="91">
        <f t="shared" si="1"/>
        <v>977562</v>
      </c>
      <c r="G62" s="91">
        <f t="shared" si="1"/>
        <v>978353</v>
      </c>
      <c r="H62" s="91">
        <f t="shared" si="1"/>
        <v>979711</v>
      </c>
      <c r="I62" s="91">
        <f t="shared" si="1"/>
        <v>980335</v>
      </c>
      <c r="J62" s="91">
        <f t="shared" si="1"/>
        <v>982766</v>
      </c>
      <c r="K62" s="91">
        <f t="shared" si="1"/>
        <v>985020</v>
      </c>
      <c r="L62" s="91">
        <f t="shared" si="1"/>
        <v>985347</v>
      </c>
      <c r="M62" s="91">
        <f t="shared" si="1"/>
        <v>986331</v>
      </c>
      <c r="N62" s="91">
        <f t="shared" si="1"/>
        <v>987781</v>
      </c>
      <c r="O62" s="92">
        <f t="shared" si="2"/>
        <v>980659.91666666663</v>
      </c>
    </row>
    <row r="63" spans="1:15" x14ac:dyDescent="0.3">
      <c r="B63" s="90" t="s">
        <v>68</v>
      </c>
      <c r="C63" s="91">
        <f t="shared" si="3"/>
        <v>4</v>
      </c>
      <c r="D63" s="91">
        <f t="shared" si="1"/>
        <v>4</v>
      </c>
      <c r="E63" s="91">
        <f t="shared" si="1"/>
        <v>4</v>
      </c>
      <c r="F63" s="91">
        <f t="shared" si="1"/>
        <v>4</v>
      </c>
      <c r="G63" s="91">
        <f t="shared" si="1"/>
        <v>4</v>
      </c>
      <c r="H63" s="91">
        <f t="shared" si="1"/>
        <v>4</v>
      </c>
      <c r="I63" s="91">
        <f t="shared" si="1"/>
        <v>4</v>
      </c>
      <c r="J63" s="91">
        <f t="shared" si="1"/>
        <v>4</v>
      </c>
      <c r="K63" s="91">
        <f t="shared" si="1"/>
        <v>4</v>
      </c>
      <c r="L63" s="91">
        <f t="shared" si="1"/>
        <v>4</v>
      </c>
      <c r="M63" s="91">
        <f t="shared" si="1"/>
        <v>4</v>
      </c>
      <c r="N63" s="91">
        <f t="shared" si="1"/>
        <v>4</v>
      </c>
      <c r="O63" s="92">
        <f t="shared" si="2"/>
        <v>4</v>
      </c>
    </row>
    <row r="64" spans="1:15" x14ac:dyDescent="0.3">
      <c r="B64" s="90">
        <v>24</v>
      </c>
      <c r="C64" s="91">
        <f t="shared" si="3"/>
        <v>116929</v>
      </c>
      <c r="D64" s="91">
        <f t="shared" si="1"/>
        <v>117012</v>
      </c>
      <c r="E64" s="91">
        <f t="shared" si="1"/>
        <v>117140</v>
      </c>
      <c r="F64" s="91">
        <f t="shared" si="1"/>
        <v>117321</v>
      </c>
      <c r="G64" s="91">
        <f t="shared" si="1"/>
        <v>117404</v>
      </c>
      <c r="H64" s="91">
        <f t="shared" si="1"/>
        <v>117638</v>
      </c>
      <c r="I64" s="91">
        <f t="shared" si="1"/>
        <v>117765</v>
      </c>
      <c r="J64" s="91">
        <f t="shared" si="1"/>
        <v>118080</v>
      </c>
      <c r="K64" s="91">
        <f t="shared" si="1"/>
        <v>118654</v>
      </c>
      <c r="L64" s="91">
        <f t="shared" si="1"/>
        <v>118844</v>
      </c>
      <c r="M64" s="91">
        <f t="shared" si="1"/>
        <v>119057</v>
      </c>
      <c r="N64" s="91">
        <f t="shared" si="1"/>
        <v>119270</v>
      </c>
      <c r="O64" s="92">
        <f t="shared" si="2"/>
        <v>117926.16666666667</v>
      </c>
    </row>
    <row r="65" spans="2:15" x14ac:dyDescent="0.3">
      <c r="B65" s="90">
        <v>25</v>
      </c>
      <c r="C65" s="91">
        <f t="shared" si="3"/>
        <v>7076</v>
      </c>
      <c r="D65" s="91">
        <f t="shared" si="1"/>
        <v>7076</v>
      </c>
      <c r="E65" s="91">
        <f t="shared" si="1"/>
        <v>7061</v>
      </c>
      <c r="F65" s="91">
        <f t="shared" si="1"/>
        <v>7066</v>
      </c>
      <c r="G65" s="91">
        <f t="shared" si="1"/>
        <v>7073</v>
      </c>
      <c r="H65" s="91">
        <f t="shared" si="1"/>
        <v>7062</v>
      </c>
      <c r="I65" s="91">
        <f t="shared" si="1"/>
        <v>7062</v>
      </c>
      <c r="J65" s="91">
        <f t="shared" si="1"/>
        <v>7063</v>
      </c>
      <c r="K65" s="91">
        <f t="shared" si="1"/>
        <v>7061</v>
      </c>
      <c r="L65" s="91">
        <f t="shared" si="1"/>
        <v>7037</v>
      </c>
      <c r="M65" s="91">
        <f t="shared" si="1"/>
        <v>7011</v>
      </c>
      <c r="N65" s="91">
        <f t="shared" si="1"/>
        <v>7003</v>
      </c>
      <c r="O65" s="92">
        <f t="shared" si="2"/>
        <v>7054.25</v>
      </c>
    </row>
    <row r="66" spans="2:15" x14ac:dyDescent="0.3">
      <c r="B66" s="90">
        <v>26</v>
      </c>
      <c r="C66" s="91">
        <f t="shared" si="3"/>
        <v>780</v>
      </c>
      <c r="D66" s="91">
        <f t="shared" si="1"/>
        <v>782</v>
      </c>
      <c r="E66" s="91">
        <f t="shared" si="1"/>
        <v>783</v>
      </c>
      <c r="F66" s="91">
        <f t="shared" si="1"/>
        <v>786</v>
      </c>
      <c r="G66" s="91">
        <f t="shared" si="1"/>
        <v>779</v>
      </c>
      <c r="H66" s="91">
        <f t="shared" si="1"/>
        <v>784</v>
      </c>
      <c r="I66" s="91">
        <f t="shared" si="1"/>
        <v>785</v>
      </c>
      <c r="J66" s="91">
        <f t="shared" si="1"/>
        <v>787</v>
      </c>
      <c r="K66" s="91">
        <f t="shared" si="1"/>
        <v>786</v>
      </c>
      <c r="L66" s="91">
        <f t="shared" si="1"/>
        <v>786</v>
      </c>
      <c r="M66" s="91">
        <f t="shared" si="1"/>
        <v>789</v>
      </c>
      <c r="N66" s="91">
        <f t="shared" si="1"/>
        <v>793</v>
      </c>
      <c r="O66" s="92">
        <f t="shared" si="2"/>
        <v>785</v>
      </c>
    </row>
    <row r="67" spans="2:15" x14ac:dyDescent="0.3">
      <c r="B67" s="90">
        <v>29</v>
      </c>
      <c r="C67" s="91">
        <f t="shared" si="3"/>
        <v>556</v>
      </c>
      <c r="D67" s="91">
        <f t="shared" si="1"/>
        <v>518</v>
      </c>
      <c r="E67" s="91">
        <f t="shared" si="1"/>
        <v>501</v>
      </c>
      <c r="F67" s="91">
        <f t="shared" si="1"/>
        <v>496</v>
      </c>
      <c r="G67" s="91">
        <f t="shared" si="1"/>
        <v>493</v>
      </c>
      <c r="H67" s="91">
        <f t="shared" si="1"/>
        <v>500</v>
      </c>
      <c r="I67" s="91">
        <f t="shared" si="1"/>
        <v>538</v>
      </c>
      <c r="J67" s="91">
        <f t="shared" si="1"/>
        <v>610</v>
      </c>
      <c r="K67" s="91">
        <f t="shared" si="1"/>
        <v>642</v>
      </c>
      <c r="L67" s="91">
        <f t="shared" si="1"/>
        <v>658</v>
      </c>
      <c r="M67" s="91">
        <f t="shared" si="1"/>
        <v>663</v>
      </c>
      <c r="N67" s="91">
        <f t="shared" si="1"/>
        <v>656</v>
      </c>
      <c r="O67" s="92">
        <f t="shared" si="2"/>
        <v>569.25</v>
      </c>
    </row>
    <row r="68" spans="2:15" x14ac:dyDescent="0.3">
      <c r="B68" s="90">
        <v>31</v>
      </c>
      <c r="C68" s="91">
        <f t="shared" si="3"/>
        <v>474</v>
      </c>
      <c r="D68" s="91">
        <f t="shared" si="1"/>
        <v>476</v>
      </c>
      <c r="E68" s="91">
        <f t="shared" si="1"/>
        <v>475</v>
      </c>
      <c r="F68" s="91">
        <f t="shared" si="1"/>
        <v>476</v>
      </c>
      <c r="G68" s="91">
        <f t="shared" si="1"/>
        <v>475</v>
      </c>
      <c r="H68" s="91">
        <f t="shared" si="1"/>
        <v>476</v>
      </c>
      <c r="I68" s="91">
        <f t="shared" si="1"/>
        <v>477</v>
      </c>
      <c r="J68" s="91">
        <f t="shared" si="1"/>
        <v>476</v>
      </c>
      <c r="K68" s="91">
        <f t="shared" si="1"/>
        <v>477</v>
      </c>
      <c r="L68" s="91">
        <f t="shared" si="1"/>
        <v>478</v>
      </c>
      <c r="M68" s="91">
        <f t="shared" si="1"/>
        <v>478</v>
      </c>
      <c r="N68" s="91">
        <f t="shared" si="1"/>
        <v>479</v>
      </c>
      <c r="O68" s="92">
        <f t="shared" si="2"/>
        <v>476.41666666666669</v>
      </c>
    </row>
    <row r="69" spans="2:15" x14ac:dyDescent="0.3">
      <c r="B69" s="90">
        <v>35</v>
      </c>
      <c r="C69" s="91">
        <f t="shared" si="3"/>
        <v>1</v>
      </c>
      <c r="D69" s="91">
        <f t="shared" si="1"/>
        <v>1</v>
      </c>
      <c r="E69" s="91">
        <f t="shared" si="1"/>
        <v>1</v>
      </c>
      <c r="F69" s="91">
        <f t="shared" si="1"/>
        <v>1</v>
      </c>
      <c r="G69" s="91">
        <f t="shared" si="1"/>
        <v>1</v>
      </c>
      <c r="H69" s="91">
        <f t="shared" si="1"/>
        <v>1</v>
      </c>
      <c r="I69" s="91">
        <f t="shared" si="1"/>
        <v>1</v>
      </c>
      <c r="J69" s="91">
        <f t="shared" si="1"/>
        <v>1</v>
      </c>
      <c r="K69" s="91">
        <f t="shared" si="1"/>
        <v>1</v>
      </c>
      <c r="L69" s="91">
        <f t="shared" si="1"/>
        <v>1</v>
      </c>
      <c r="M69" s="91">
        <f t="shared" si="1"/>
        <v>1</v>
      </c>
      <c r="N69" s="91">
        <f t="shared" si="1"/>
        <v>1</v>
      </c>
      <c r="O69" s="92">
        <f t="shared" si="2"/>
        <v>1</v>
      </c>
    </row>
    <row r="70" spans="2:15" x14ac:dyDescent="0.3">
      <c r="B70" s="90">
        <v>40</v>
      </c>
      <c r="C70" s="91">
        <f t="shared" si="3"/>
        <v>131</v>
      </c>
      <c r="D70" s="91">
        <f t="shared" si="1"/>
        <v>131</v>
      </c>
      <c r="E70" s="91">
        <f t="shared" si="1"/>
        <v>131</v>
      </c>
      <c r="F70" s="91">
        <f t="shared" si="1"/>
        <v>131</v>
      </c>
      <c r="G70" s="91">
        <f t="shared" si="1"/>
        <v>131</v>
      </c>
      <c r="H70" s="91">
        <f t="shared" si="1"/>
        <v>131</v>
      </c>
      <c r="I70" s="91">
        <f t="shared" si="1"/>
        <v>131</v>
      </c>
      <c r="J70" s="91">
        <f t="shared" si="1"/>
        <v>131</v>
      </c>
      <c r="K70" s="91">
        <f t="shared" si="1"/>
        <v>131</v>
      </c>
      <c r="L70" s="91">
        <f t="shared" si="1"/>
        <v>131</v>
      </c>
      <c r="M70" s="91">
        <f t="shared" si="1"/>
        <v>132</v>
      </c>
      <c r="N70" s="91">
        <f t="shared" si="1"/>
        <v>131</v>
      </c>
      <c r="O70" s="92">
        <f t="shared" si="2"/>
        <v>131.08333333333334</v>
      </c>
    </row>
    <row r="71" spans="2:15" x14ac:dyDescent="0.3">
      <c r="B71" s="90">
        <v>43</v>
      </c>
      <c r="C71" s="91">
        <f t="shared" si="3"/>
        <v>159</v>
      </c>
      <c r="D71" s="91">
        <f t="shared" si="1"/>
        <v>158</v>
      </c>
      <c r="E71" s="91">
        <f t="shared" si="1"/>
        <v>158</v>
      </c>
      <c r="F71" s="91">
        <f t="shared" si="1"/>
        <v>158</v>
      </c>
      <c r="G71" s="91">
        <f t="shared" si="1"/>
        <v>158</v>
      </c>
      <c r="H71" s="91">
        <f t="shared" si="1"/>
        <v>158</v>
      </c>
      <c r="I71" s="91">
        <f t="shared" si="1"/>
        <v>158</v>
      </c>
      <c r="J71" s="91">
        <f t="shared" si="1"/>
        <v>158</v>
      </c>
      <c r="K71" s="91">
        <f t="shared" si="1"/>
        <v>157</v>
      </c>
      <c r="L71" s="91">
        <f t="shared" si="1"/>
        <v>157</v>
      </c>
      <c r="M71" s="91">
        <f t="shared" si="1"/>
        <v>157</v>
      </c>
      <c r="N71" s="91">
        <f t="shared" si="1"/>
        <v>157</v>
      </c>
      <c r="O71" s="92">
        <f t="shared" si="2"/>
        <v>157.75</v>
      </c>
    </row>
    <row r="72" spans="2:15" x14ac:dyDescent="0.3">
      <c r="B72" s="90">
        <v>46</v>
      </c>
      <c r="C72" s="91">
        <f t="shared" si="3"/>
        <v>5</v>
      </c>
      <c r="D72" s="91">
        <f t="shared" si="1"/>
        <v>5</v>
      </c>
      <c r="E72" s="91">
        <f t="shared" si="1"/>
        <v>5</v>
      </c>
      <c r="F72" s="91">
        <f t="shared" si="1"/>
        <v>5</v>
      </c>
      <c r="G72" s="91">
        <f t="shared" si="1"/>
        <v>5</v>
      </c>
      <c r="H72" s="91">
        <f t="shared" si="1"/>
        <v>5</v>
      </c>
      <c r="I72" s="91">
        <f t="shared" si="1"/>
        <v>5</v>
      </c>
      <c r="J72" s="91">
        <f t="shared" si="1"/>
        <v>5</v>
      </c>
      <c r="K72" s="91">
        <f t="shared" si="1"/>
        <v>5</v>
      </c>
      <c r="L72" s="91">
        <f t="shared" si="1"/>
        <v>5</v>
      </c>
      <c r="M72" s="91">
        <f t="shared" si="1"/>
        <v>5</v>
      </c>
      <c r="N72" s="91">
        <f t="shared" si="1"/>
        <v>5</v>
      </c>
      <c r="O72" s="92">
        <f t="shared" si="2"/>
        <v>5</v>
      </c>
    </row>
    <row r="73" spans="2:15" x14ac:dyDescent="0.3">
      <c r="B73" s="90">
        <v>49</v>
      </c>
      <c r="C73" s="91">
        <f t="shared" si="3"/>
        <v>20</v>
      </c>
      <c r="D73" s="91">
        <f t="shared" si="1"/>
        <v>20</v>
      </c>
      <c r="E73" s="91">
        <f t="shared" si="1"/>
        <v>20</v>
      </c>
      <c r="F73" s="91">
        <f t="shared" si="1"/>
        <v>20</v>
      </c>
      <c r="G73" s="91">
        <f t="shared" si="1"/>
        <v>20</v>
      </c>
      <c r="H73" s="91">
        <f t="shared" si="1"/>
        <v>20</v>
      </c>
      <c r="I73" s="91">
        <f t="shared" si="1"/>
        <v>20</v>
      </c>
      <c r="J73" s="91">
        <f t="shared" si="1"/>
        <v>20</v>
      </c>
      <c r="K73" s="91">
        <f t="shared" si="1"/>
        <v>20</v>
      </c>
      <c r="L73" s="91">
        <f t="shared" si="1"/>
        <v>20</v>
      </c>
      <c r="M73" s="91">
        <f t="shared" si="1"/>
        <v>20</v>
      </c>
      <c r="N73" s="91">
        <f t="shared" si="1"/>
        <v>20</v>
      </c>
      <c r="O73" s="92">
        <f t="shared" si="2"/>
        <v>20</v>
      </c>
    </row>
    <row r="74" spans="2:15" x14ac:dyDescent="0.3">
      <c r="B74" s="90">
        <v>449</v>
      </c>
      <c r="C74" s="91">
        <f t="shared" si="3"/>
        <v>13</v>
      </c>
      <c r="D74" s="91">
        <f t="shared" si="1"/>
        <v>13</v>
      </c>
      <c r="E74" s="91">
        <f t="shared" si="1"/>
        <v>13</v>
      </c>
      <c r="F74" s="91">
        <f t="shared" si="1"/>
        <v>13</v>
      </c>
      <c r="G74" s="91">
        <f t="shared" si="1"/>
        <v>13</v>
      </c>
      <c r="H74" s="91">
        <f t="shared" si="1"/>
        <v>13</v>
      </c>
      <c r="I74" s="91">
        <f t="shared" si="1"/>
        <v>13</v>
      </c>
      <c r="J74" s="91">
        <f t="shared" si="1"/>
        <v>13</v>
      </c>
      <c r="K74" s="91">
        <f t="shared" si="1"/>
        <v>13</v>
      </c>
      <c r="L74" s="91">
        <f t="shared" si="1"/>
        <v>13</v>
      </c>
      <c r="M74" s="91">
        <f t="shared" si="1"/>
        <v>13</v>
      </c>
      <c r="N74" s="91">
        <f t="shared" si="1"/>
        <v>13</v>
      </c>
      <c r="O74" s="92">
        <f t="shared" si="2"/>
        <v>13</v>
      </c>
    </row>
    <row r="75" spans="2:15" x14ac:dyDescent="0.3">
      <c r="B75" s="90">
        <v>459</v>
      </c>
      <c r="C75" s="91">
        <f t="shared" si="3"/>
        <v>3</v>
      </c>
      <c r="D75" s="91">
        <f t="shared" si="1"/>
        <v>3</v>
      </c>
      <c r="E75" s="91">
        <f t="shared" si="1"/>
        <v>3</v>
      </c>
      <c r="F75" s="91">
        <f t="shared" si="1"/>
        <v>3</v>
      </c>
      <c r="G75" s="91">
        <f t="shared" si="1"/>
        <v>3</v>
      </c>
      <c r="H75" s="91">
        <f t="shared" si="1"/>
        <v>3</v>
      </c>
      <c r="I75" s="91">
        <f t="shared" si="1"/>
        <v>3</v>
      </c>
      <c r="J75" s="91">
        <f t="shared" si="1"/>
        <v>3</v>
      </c>
      <c r="K75" s="91">
        <f t="shared" si="1"/>
        <v>3</v>
      </c>
      <c r="L75" s="91">
        <f t="shared" si="1"/>
        <v>3</v>
      </c>
      <c r="M75" s="91">
        <f t="shared" si="1"/>
        <v>3</v>
      </c>
      <c r="N75" s="91">
        <f t="shared" si="1"/>
        <v>3</v>
      </c>
      <c r="O75" s="92">
        <f t="shared" si="2"/>
        <v>3</v>
      </c>
    </row>
    <row r="76" spans="2:15" x14ac:dyDescent="0.3">
      <c r="B76" s="93" t="s">
        <v>59</v>
      </c>
      <c r="C76" s="91">
        <f t="shared" si="3"/>
        <v>7186</v>
      </c>
      <c r="D76" s="91">
        <f t="shared" ref="D76:N77" si="4">SUMIF($B$6:$B$54,$B76,D$6:D$54)</f>
        <v>7171</v>
      </c>
      <c r="E76" s="91">
        <f t="shared" si="4"/>
        <v>7158</v>
      </c>
      <c r="F76" s="91">
        <f t="shared" si="4"/>
        <v>7168</v>
      </c>
      <c r="G76" s="91">
        <f t="shared" si="4"/>
        <v>7191</v>
      </c>
      <c r="H76" s="91">
        <f t="shared" si="4"/>
        <v>7203</v>
      </c>
      <c r="I76" s="91">
        <f t="shared" si="4"/>
        <v>7234</v>
      </c>
      <c r="J76" s="91">
        <f t="shared" si="4"/>
        <v>7283</v>
      </c>
      <c r="K76" s="91">
        <f t="shared" si="4"/>
        <v>7283</v>
      </c>
      <c r="L76" s="91">
        <f t="shared" si="4"/>
        <v>7262</v>
      </c>
      <c r="M76" s="91">
        <f t="shared" si="4"/>
        <v>7278</v>
      </c>
      <c r="N76" s="91">
        <f t="shared" si="4"/>
        <v>7289</v>
      </c>
      <c r="O76" s="92">
        <f t="shared" si="2"/>
        <v>7225.5</v>
      </c>
    </row>
    <row r="77" spans="2:15" x14ac:dyDescent="0.3">
      <c r="B77" s="93" t="s">
        <v>66</v>
      </c>
      <c r="C77" s="91">
        <f t="shared" si="3"/>
        <v>0</v>
      </c>
      <c r="D77" s="91">
        <f t="shared" si="4"/>
        <v>0</v>
      </c>
      <c r="E77" s="91">
        <f t="shared" si="4"/>
        <v>0</v>
      </c>
      <c r="F77" s="91">
        <f t="shared" si="4"/>
        <v>0</v>
      </c>
      <c r="G77" s="91">
        <f t="shared" si="4"/>
        <v>0</v>
      </c>
      <c r="H77" s="91">
        <f t="shared" si="4"/>
        <v>0</v>
      </c>
      <c r="I77" s="91">
        <f t="shared" si="4"/>
        <v>0</v>
      </c>
      <c r="J77" s="91">
        <f t="shared" si="4"/>
        <v>0</v>
      </c>
      <c r="K77" s="91">
        <f t="shared" si="4"/>
        <v>0</v>
      </c>
      <c r="L77" s="91">
        <f t="shared" si="4"/>
        <v>0</v>
      </c>
      <c r="M77" s="91">
        <f t="shared" si="4"/>
        <v>0</v>
      </c>
      <c r="N77" s="91">
        <f t="shared" si="4"/>
        <v>0</v>
      </c>
    </row>
    <row r="79" spans="2:15" x14ac:dyDescent="0.3">
      <c r="B79" s="76" t="s">
        <v>23</v>
      </c>
      <c r="C79" s="92">
        <f t="shared" ref="C79:N79" si="5">SUM(C60:C77)-C55</f>
        <v>0</v>
      </c>
      <c r="D79" s="92">
        <f t="shared" si="5"/>
        <v>0</v>
      </c>
      <c r="E79" s="92">
        <f t="shared" si="5"/>
        <v>0</v>
      </c>
      <c r="F79" s="92">
        <f t="shared" si="5"/>
        <v>0</v>
      </c>
      <c r="G79" s="92">
        <f t="shared" si="5"/>
        <v>0</v>
      </c>
      <c r="H79" s="92">
        <f t="shared" si="5"/>
        <v>0</v>
      </c>
      <c r="I79" s="92">
        <f t="shared" si="5"/>
        <v>0</v>
      </c>
      <c r="J79" s="92">
        <f t="shared" si="5"/>
        <v>0</v>
      </c>
      <c r="K79" s="92">
        <f t="shared" si="5"/>
        <v>0</v>
      </c>
      <c r="L79" s="92">
        <f t="shared" si="5"/>
        <v>0</v>
      </c>
      <c r="M79" s="92">
        <f t="shared" si="5"/>
        <v>0</v>
      </c>
      <c r="N79" s="92">
        <f t="shared" si="5"/>
        <v>0</v>
      </c>
    </row>
  </sheetData>
  <mergeCells count="1">
    <mergeCell ref="C4:N4"/>
  </mergeCells>
  <pageMargins left="0.7" right="0.7" top="0.75" bottom="0.75" header="0.3" footer="0.3"/>
  <pageSetup scale="65" orientation="landscape" blackAndWhite="1" r:id="rId1"/>
  <headerFooter>
    <oddFooter>&amp;R&amp;F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90" zoomScaleNormal="90" workbookViewId="0">
      <selection activeCell="G12" sqref="G12"/>
    </sheetView>
  </sheetViews>
  <sheetFormatPr defaultColWidth="9.109375" defaultRowHeight="14.4" x14ac:dyDescent="0.3"/>
  <cols>
    <col min="1" max="1" width="8.33203125" style="274" bestFit="1" customWidth="1"/>
    <col min="2" max="2" width="10" style="274" bestFit="1" customWidth="1"/>
    <col min="3" max="3" width="26.5546875" style="274" bestFit="1" customWidth="1"/>
    <col min="4" max="4" width="16.6640625" style="274" bestFit="1" customWidth="1"/>
    <col min="5" max="5" width="15.33203125" style="274" bestFit="1" customWidth="1"/>
    <col min="6" max="10" width="15.6640625" style="274" bestFit="1" customWidth="1"/>
    <col min="11" max="16" width="15.33203125" style="274" bestFit="1" customWidth="1"/>
    <col min="17" max="16384" width="9.109375" style="274"/>
  </cols>
  <sheetData>
    <row r="1" spans="1:16" ht="15" x14ac:dyDescent="0.25">
      <c r="A1" s="523" t="s">
        <v>17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">
        <v>519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520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 s="523" t="s">
        <v>521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</row>
    <row r="5" spans="1:16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26.25" x14ac:dyDescent="0.25">
      <c r="A6" s="275" t="s">
        <v>16</v>
      </c>
      <c r="B6" s="275" t="s">
        <v>522</v>
      </c>
      <c r="C6" s="275" t="s">
        <v>20</v>
      </c>
      <c r="D6" s="275" t="s">
        <v>438</v>
      </c>
      <c r="E6" s="276">
        <v>42278</v>
      </c>
      <c r="F6" s="276">
        <v>42309</v>
      </c>
      <c r="G6" s="276">
        <v>42339</v>
      </c>
      <c r="H6" s="276">
        <v>42370</v>
      </c>
      <c r="I6" s="276">
        <v>42401</v>
      </c>
      <c r="J6" s="276">
        <v>42430</v>
      </c>
      <c r="K6" s="276">
        <v>42461</v>
      </c>
      <c r="L6" s="276">
        <v>42491</v>
      </c>
      <c r="M6" s="276">
        <v>42522</v>
      </c>
      <c r="N6" s="276">
        <v>42552</v>
      </c>
      <c r="O6" s="276">
        <v>42583</v>
      </c>
      <c r="P6" s="276">
        <v>42614</v>
      </c>
    </row>
    <row r="7" spans="1:16" ht="15" x14ac:dyDescent="0.25">
      <c r="A7" s="458">
        <f>ROW()-6</f>
        <v>1</v>
      </c>
      <c r="B7" s="458">
        <v>7</v>
      </c>
      <c r="C7" t="s">
        <v>0</v>
      </c>
      <c r="D7" s="459">
        <f ca="1">SUM(E7:P7)</f>
        <v>10442426485.066896</v>
      </c>
      <c r="E7" s="459">
        <f ca="1">+'[59]Tariff 7'!E16</f>
        <v>788389063.69857621</v>
      </c>
      <c r="F7" s="459">
        <f ca="1">+'[59]Tariff 7'!F16</f>
        <v>1028566034.8299937</v>
      </c>
      <c r="G7" s="459">
        <f ca="1">+'[59]Tariff 7'!G16</f>
        <v>1248946353.8319292</v>
      </c>
      <c r="H7" s="459">
        <f ca="1">+'[59]Tariff 7'!H16</f>
        <v>1225806465.9287825</v>
      </c>
      <c r="I7" s="459">
        <f ca="1">+'[59]Tariff 7'!I16</f>
        <v>1038920912.9571128</v>
      </c>
      <c r="J7" s="459">
        <f ca="1">+'[59]Tariff 7'!J16</f>
        <v>1001139736.2453095</v>
      </c>
      <c r="K7" s="459">
        <f ca="1">+'[59]Tariff 7'!K16</f>
        <v>795874664.78726423</v>
      </c>
      <c r="L7" s="459">
        <f ca="1">+'[59]Tariff 7'!L16</f>
        <v>715559108.06809902</v>
      </c>
      <c r="M7" s="459">
        <f ca="1">+'[59]Tariff 7'!M16</f>
        <v>618674823.07889044</v>
      </c>
      <c r="N7" s="459">
        <f ca="1">+'[59]Tariff 7'!N16</f>
        <v>693231423.69833016</v>
      </c>
      <c r="O7" s="459">
        <f ca="1">+'[59]Tariff 7'!O16</f>
        <v>671821991.57801056</v>
      </c>
      <c r="P7" s="459">
        <f ca="1">+'[59]Tariff 7'!P16</f>
        <v>615495906.36459756</v>
      </c>
    </row>
    <row r="8" spans="1:16" ht="15" x14ac:dyDescent="0.25">
      <c r="A8" s="458">
        <f t="shared" ref="A8:A45" si="0">ROW()-6</f>
        <v>2</v>
      </c>
      <c r="B8" s="458" t="s">
        <v>68</v>
      </c>
      <c r="C8" s="310" t="s">
        <v>523</v>
      </c>
      <c r="D8" s="459">
        <f ca="1">SUM(E8:P8)</f>
        <v>2530848</v>
      </c>
      <c r="E8" s="459">
        <f ca="1">+'[59]Tariff 7A'!E14</f>
        <v>186387</v>
      </c>
      <c r="F8" s="459">
        <f ca="1">+'[59]Tariff 7A'!F14</f>
        <v>224606</v>
      </c>
      <c r="G8" s="459">
        <f ca="1">+'[59]Tariff 7A'!G14</f>
        <v>264188</v>
      </c>
      <c r="H8" s="459">
        <f ca="1">+'[59]Tariff 7A'!H14</f>
        <v>252203</v>
      </c>
      <c r="I8" s="459">
        <f ca="1">+'[59]Tariff 7A'!I14</f>
        <v>208180</v>
      </c>
      <c r="J8" s="459">
        <f ca="1">+'[59]Tariff 7A'!J14</f>
        <v>204824</v>
      </c>
      <c r="K8" s="459">
        <f ca="1">+'[59]Tariff 7A'!K14</f>
        <v>151818.66666666666</v>
      </c>
      <c r="L8" s="459">
        <f ca="1">+'[59]Tariff 7A'!L14</f>
        <v>43551.333333333343</v>
      </c>
      <c r="M8" s="459">
        <f ca="1">+'[59]Tariff 7A'!M14</f>
        <v>359958</v>
      </c>
      <c r="N8" s="459">
        <f ca="1">+'[59]Tariff 7A'!N14</f>
        <v>216736</v>
      </c>
      <c r="O8" s="459">
        <f ca="1">+'[59]Tariff 7A'!O14</f>
        <v>233522</v>
      </c>
      <c r="P8" s="459">
        <f ca="1">+'[59]Tariff 7A'!P14</f>
        <v>184874</v>
      </c>
    </row>
    <row r="9" spans="1:16" ht="15" x14ac:dyDescent="0.25">
      <c r="A9" s="458">
        <f t="shared" si="0"/>
        <v>3</v>
      </c>
      <c r="B9" s="526" t="s">
        <v>48</v>
      </c>
      <c r="C9" s="526"/>
      <c r="D9" s="459">
        <f ca="1">SUM(D7:D8)</f>
        <v>10444957333.066896</v>
      </c>
      <c r="E9" s="459">
        <f t="shared" ref="E9:P9" ca="1" si="1">SUM(E7:E8)</f>
        <v>788575450.69857621</v>
      </c>
      <c r="F9" s="459">
        <f t="shared" ca="1" si="1"/>
        <v>1028790640.8299937</v>
      </c>
      <c r="G9" s="459">
        <f t="shared" ca="1" si="1"/>
        <v>1249210541.8319292</v>
      </c>
      <c r="H9" s="459">
        <f t="shared" ca="1" si="1"/>
        <v>1226058668.9287825</v>
      </c>
      <c r="I9" s="459">
        <f t="shared" ca="1" si="1"/>
        <v>1039129092.9571128</v>
      </c>
      <c r="J9" s="459">
        <f t="shared" ca="1" si="1"/>
        <v>1001344560.2453095</v>
      </c>
      <c r="K9" s="459">
        <f t="shared" ca="1" si="1"/>
        <v>796026483.45393085</v>
      </c>
      <c r="L9" s="459">
        <f t="shared" ca="1" si="1"/>
        <v>715602659.40143239</v>
      </c>
      <c r="M9" s="459">
        <f t="shared" ca="1" si="1"/>
        <v>619034781.07889044</v>
      </c>
      <c r="N9" s="459">
        <f t="shared" ca="1" si="1"/>
        <v>693448159.69833016</v>
      </c>
      <c r="O9" s="459">
        <f t="shared" ca="1" si="1"/>
        <v>672055513.57801056</v>
      </c>
      <c r="P9" s="459">
        <f t="shared" ca="1" si="1"/>
        <v>615680780.36459756</v>
      </c>
    </row>
    <row r="10" spans="1:16" ht="15" x14ac:dyDescent="0.25">
      <c r="A10" s="458">
        <f t="shared" si="0"/>
        <v>4</v>
      </c>
      <c r="B10"/>
      <c r="C10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</row>
    <row r="11" spans="1:16" ht="15" x14ac:dyDescent="0.25">
      <c r="A11" s="458">
        <f t="shared" si="0"/>
        <v>5</v>
      </c>
      <c r="B11" s="484" t="s">
        <v>524</v>
      </c>
      <c r="C11" t="s">
        <v>525</v>
      </c>
      <c r="D11" s="459">
        <f t="shared" ref="D11:D26" ca="1" si="2">SUM(E11:P11)</f>
        <v>2787584113.8710937</v>
      </c>
      <c r="E11" s="459">
        <f ca="1">+'[59]Tariff 24'!E20</f>
        <v>215710510.70449299</v>
      </c>
      <c r="F11" s="459">
        <f ca="1">+'[59]Tariff 24'!F20</f>
        <v>233750370.5283455</v>
      </c>
      <c r="G11" s="459">
        <f ca="1">+'[59]Tariff 24'!G20</f>
        <v>269174607.97716194</v>
      </c>
      <c r="H11" s="459">
        <f ca="1">+'[59]Tariff 24'!H20</f>
        <v>281640441.24406934</v>
      </c>
      <c r="I11" s="459">
        <f ca="1">+'[59]Tariff 24'!I20</f>
        <v>229077398.29324535</v>
      </c>
      <c r="J11" s="459">
        <f ca="1">+'[59]Tariff 24'!J20</f>
        <v>253484969.25955233</v>
      </c>
      <c r="K11" s="459">
        <f ca="1">+'[59]Tariff 24'!K20</f>
        <v>204141936.02314135</v>
      </c>
      <c r="L11" s="459">
        <f ca="1">+'[59]Tariff 24'!L20</f>
        <v>220142117.8939862</v>
      </c>
      <c r="M11" s="459">
        <f ca="1">+'[59]Tariff 24'!M20</f>
        <v>204102525.23337504</v>
      </c>
      <c r="N11" s="459">
        <f ca="1">+'[59]Tariff 24'!N20</f>
        <v>225364756.61116701</v>
      </c>
      <c r="O11" s="459">
        <f ca="1">+'[59]Tariff 24'!O20</f>
        <v>235005860.14518324</v>
      </c>
      <c r="P11" s="459">
        <f ca="1">+'[59]Tariff 24'!P20</f>
        <v>215988619.95737374</v>
      </c>
    </row>
    <row r="12" spans="1:16" ht="15" x14ac:dyDescent="0.25">
      <c r="A12" s="458">
        <f t="shared" si="0"/>
        <v>6</v>
      </c>
      <c r="B12" s="485" t="s">
        <v>526</v>
      </c>
      <c r="C12" s="310" t="s">
        <v>527</v>
      </c>
      <c r="D12" s="459">
        <f t="shared" ca="1" si="2"/>
        <v>2836928109.4718885</v>
      </c>
      <c r="E12" s="459">
        <f ca="1">+'[59]Tariff 25'!E19</f>
        <v>230957617.26316127</v>
      </c>
      <c r="F12" s="459">
        <f ca="1">+'[59]Tariff 25'!F19</f>
        <v>234344320.96242312</v>
      </c>
      <c r="G12" s="459">
        <f ca="1">+'[59]Tariff 25'!G19</f>
        <v>265091061.17093679</v>
      </c>
      <c r="H12" s="459">
        <f ca="1">+'[59]Tariff 25'!H19</f>
        <v>253003850.89031228</v>
      </c>
      <c r="I12" s="459">
        <f ca="1">+'[59]Tariff 25'!I19</f>
        <v>231949219.05921569</v>
      </c>
      <c r="J12" s="459">
        <f ca="1">+'[59]Tariff 25'!J19</f>
        <v>255012360.21982524</v>
      </c>
      <c r="K12" s="459">
        <f ca="1">+'[59]Tariff 25'!K19</f>
        <v>204172913.40056416</v>
      </c>
      <c r="L12" s="459">
        <f ca="1">+'[59]Tariff 25'!L19</f>
        <v>217091048.63104883</v>
      </c>
      <c r="M12" s="459">
        <f ca="1">+'[59]Tariff 25'!M19</f>
        <v>234815782.30494633</v>
      </c>
      <c r="N12" s="459">
        <f ca="1">+'[59]Tariff 25'!N19</f>
        <v>238882137.3704122</v>
      </c>
      <c r="O12" s="459">
        <f ca="1">+'[59]Tariff 25'!O19</f>
        <v>227833243.08518243</v>
      </c>
      <c r="P12" s="459">
        <f ca="1">+'[59]Tariff 25'!P19</f>
        <v>243774555.11386013</v>
      </c>
    </row>
    <row r="13" spans="1:16" ht="15" x14ac:dyDescent="0.25">
      <c r="A13" s="458">
        <f t="shared" si="0"/>
        <v>7</v>
      </c>
      <c r="B13" s="485" t="s">
        <v>528</v>
      </c>
      <c r="C13" s="310" t="s">
        <v>529</v>
      </c>
      <c r="D13" s="459">
        <f t="shared" ca="1" si="2"/>
        <v>1878822444.3816462</v>
      </c>
      <c r="E13" s="459">
        <f ca="1">+'[59]Tariff 26'!E18</f>
        <v>156520796.95407352</v>
      </c>
      <c r="F13" s="459">
        <f ca="1">+'[59]Tariff 26'!F18</f>
        <v>153493925.22492501</v>
      </c>
      <c r="G13" s="459">
        <f ca="1">+'[59]Tariff 26'!G18</f>
        <v>165388665.69247249</v>
      </c>
      <c r="H13" s="459">
        <f ca="1">+'[59]Tariff 26'!H18</f>
        <v>154124686.34980652</v>
      </c>
      <c r="I13" s="459">
        <f ca="1">+'[59]Tariff 26'!I18</f>
        <v>147927273.11820722</v>
      </c>
      <c r="J13" s="459">
        <f ca="1">+'[59]Tariff 26'!J18</f>
        <v>154413376.86746776</v>
      </c>
      <c r="K13" s="459">
        <f ca="1">+'[59]Tariff 26'!K18</f>
        <v>150359140.90693125</v>
      </c>
      <c r="L13" s="459">
        <f ca="1">+'[59]Tariff 26'!L18</f>
        <v>137050894.28021634</v>
      </c>
      <c r="M13" s="459">
        <f ca="1">+'[59]Tariff 26'!M18</f>
        <v>170963320.99076775</v>
      </c>
      <c r="N13" s="459">
        <f ca="1">+'[59]Tariff 26'!N18</f>
        <v>167170572.0508343</v>
      </c>
      <c r="O13" s="459">
        <f ca="1">+'[59]Tariff 26'!O18</f>
        <v>160342817.62628406</v>
      </c>
      <c r="P13" s="459">
        <f ca="1">+'[59]Tariff 26'!P18</f>
        <v>161066974.31965962</v>
      </c>
    </row>
    <row r="14" spans="1:16" ht="15" x14ac:dyDescent="0.25">
      <c r="A14" s="458">
        <f t="shared" si="0"/>
        <v>8</v>
      </c>
      <c r="B14" s="485" t="s">
        <v>50</v>
      </c>
      <c r="C14" s="310" t="s">
        <v>530</v>
      </c>
      <c r="D14" s="459">
        <f t="shared" ca="1" si="2"/>
        <v>13232300</v>
      </c>
      <c r="E14" s="459">
        <f ca="1">+'[59]Tariff 26P'!E12</f>
        <v>1043200</v>
      </c>
      <c r="F14" s="459">
        <f ca="1">+'[59]Tariff 26P'!F12</f>
        <v>-1522500</v>
      </c>
      <c r="G14" s="459">
        <f ca="1">+'[59]Tariff 26P'!G12</f>
        <v>4001000</v>
      </c>
      <c r="H14" s="459">
        <f ca="1">+'[59]Tariff 26P'!H12</f>
        <v>326700</v>
      </c>
      <c r="I14" s="459">
        <f ca="1">+'[59]Tariff 26P'!I12</f>
        <v>2315100</v>
      </c>
      <c r="J14" s="459">
        <f ca="1">+'[59]Tariff 26P'!J12</f>
        <v>1170900</v>
      </c>
      <c r="K14" s="459">
        <f ca="1">+'[59]Tariff 26P'!K12</f>
        <v>763000</v>
      </c>
      <c r="L14" s="459">
        <f ca="1">+'[59]Tariff 26P'!L12</f>
        <v>0</v>
      </c>
      <c r="M14" s="459">
        <f ca="1">+'[59]Tariff 26P'!M12</f>
        <v>1320900</v>
      </c>
      <c r="N14" s="459">
        <f ca="1">+'[59]Tariff 26P'!N12</f>
        <v>1118700</v>
      </c>
      <c r="O14" s="459">
        <f ca="1">+'[59]Tariff 26P'!O12</f>
        <v>1754900</v>
      </c>
      <c r="P14" s="459">
        <f ca="1">+'[59]Tariff 26P'!P12</f>
        <v>940400</v>
      </c>
    </row>
    <row r="15" spans="1:16" ht="15" x14ac:dyDescent="0.25">
      <c r="A15" s="458">
        <f t="shared" si="0"/>
        <v>9</v>
      </c>
      <c r="B15" s="458">
        <v>29</v>
      </c>
      <c r="C15" t="s">
        <v>531</v>
      </c>
      <c r="D15" s="459">
        <f t="shared" ca="1" si="2"/>
        <v>14326829.389192818</v>
      </c>
      <c r="E15" s="459">
        <f ca="1">+'[59]Tariff 29'!E18</f>
        <v>355044.79382672033</v>
      </c>
      <c r="F15" s="459">
        <f ca="1">+'[59]Tariff 29'!F18</f>
        <v>311574.04639389709</v>
      </c>
      <c r="G15" s="459">
        <f ca="1">+'[59]Tariff 29'!G18</f>
        <v>426572.75880937552</v>
      </c>
      <c r="H15" s="459">
        <f ca="1">+'[59]Tariff 29'!H18</f>
        <v>231144.09494143631</v>
      </c>
      <c r="I15" s="459">
        <f ca="1">+'[59]Tariff 29'!I18</f>
        <v>309268.2396042769</v>
      </c>
      <c r="J15" s="459">
        <f ca="1">+'[59]Tariff 29'!J18</f>
        <v>165319.2869411725</v>
      </c>
      <c r="K15" s="459">
        <f ca="1">+'[59]Tariff 29'!K18</f>
        <v>615258.4868407693</v>
      </c>
      <c r="L15" s="459">
        <f ca="1">+'[59]Tariff 29'!L18</f>
        <v>3094654.959494072</v>
      </c>
      <c r="M15" s="459">
        <f ca="1">+'[59]Tariff 29'!M18</f>
        <v>805968.18113837903</v>
      </c>
      <c r="N15" s="459">
        <f ca="1">+'[59]Tariff 29'!N18</f>
        <v>3527356.3994582877</v>
      </c>
      <c r="O15" s="459">
        <f ca="1">+'[59]Tariff 29'!O18</f>
        <v>3121560.4136990095</v>
      </c>
      <c r="P15" s="459">
        <f ca="1">+'[59]Tariff 29'!P18</f>
        <v>1363107.7280454212</v>
      </c>
    </row>
    <row r="16" spans="1:16" ht="15" x14ac:dyDescent="0.25">
      <c r="A16" s="458">
        <f t="shared" si="0"/>
        <v>10</v>
      </c>
      <c r="B16" s="526" t="s">
        <v>51</v>
      </c>
      <c r="C16" s="526"/>
      <c r="D16" s="459">
        <f ca="1">SUM(D11:D15)</f>
        <v>7530893797.113821</v>
      </c>
      <c r="E16" s="459">
        <f t="shared" ref="E16:P16" ca="1" si="3">SUM(E11:E15)</f>
        <v>604587169.71555448</v>
      </c>
      <c r="F16" s="459">
        <f t="shared" ca="1" si="3"/>
        <v>620377690.76208746</v>
      </c>
      <c r="G16" s="459">
        <f t="shared" ca="1" si="3"/>
        <v>704081907.59938049</v>
      </c>
      <c r="H16" s="459">
        <f t="shared" ca="1" si="3"/>
        <v>689326822.57912958</v>
      </c>
      <c r="I16" s="459">
        <f t="shared" ca="1" si="3"/>
        <v>611578258.71027255</v>
      </c>
      <c r="J16" s="459">
        <f t="shared" ca="1" si="3"/>
        <v>664246925.63378656</v>
      </c>
      <c r="K16" s="459">
        <f t="shared" ca="1" si="3"/>
        <v>560052248.81747746</v>
      </c>
      <c r="L16" s="459">
        <f t="shared" ca="1" si="3"/>
        <v>577378715.76474547</v>
      </c>
      <c r="M16" s="459">
        <f t="shared" ca="1" si="3"/>
        <v>612008496.71022749</v>
      </c>
      <c r="N16" s="459">
        <f t="shared" ca="1" si="3"/>
        <v>636063522.43187177</v>
      </c>
      <c r="O16" s="459">
        <f t="shared" ca="1" si="3"/>
        <v>628058381.27034867</v>
      </c>
      <c r="P16" s="459">
        <f t="shared" ca="1" si="3"/>
        <v>623133657.11893892</v>
      </c>
    </row>
    <row r="17" spans="1:16" ht="15" x14ac:dyDescent="0.25">
      <c r="A17" s="458">
        <f t="shared" si="0"/>
        <v>11</v>
      </c>
      <c r="B17"/>
      <c r="C17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</row>
    <row r="18" spans="1:16" ht="15" x14ac:dyDescent="0.25">
      <c r="A18" s="458">
        <f t="shared" si="0"/>
        <v>12</v>
      </c>
      <c r="B18" s="484" t="s">
        <v>532</v>
      </c>
      <c r="C18" t="s">
        <v>533</v>
      </c>
      <c r="D18" s="459">
        <f t="shared" ca="1" si="2"/>
        <v>1284401574.4586966</v>
      </c>
      <c r="E18" s="459">
        <f ca="1">+'[59]Tariff 31'!E15</f>
        <v>106565055.36138692</v>
      </c>
      <c r="F18" s="459">
        <f ca="1">+'[59]Tariff 31'!F15</f>
        <v>103524461.90904701</v>
      </c>
      <c r="G18" s="459">
        <f ca="1">+'[59]Tariff 31'!G15</f>
        <v>113212345.64403586</v>
      </c>
      <c r="H18" s="459">
        <f ca="1">+'[59]Tariff 31'!H15</f>
        <v>104846532.38647696</v>
      </c>
      <c r="I18" s="459">
        <f ca="1">+'[59]Tariff 31'!I15</f>
        <v>112799481.29066783</v>
      </c>
      <c r="J18" s="459">
        <f ca="1">+'[59]Tariff 31'!J15</f>
        <v>106235133.21365285</v>
      </c>
      <c r="K18" s="459">
        <f ca="1">+'[59]Tariff 31'!K15</f>
        <v>95566793.209115341</v>
      </c>
      <c r="L18" s="459">
        <f ca="1">+'[59]Tariff 31'!L15</f>
        <v>88670200.915264264</v>
      </c>
      <c r="M18" s="459">
        <f ca="1">+'[59]Tariff 31'!M15</f>
        <v>115990767.48060417</v>
      </c>
      <c r="N18" s="459">
        <f ca="1">+'[59]Tariff 31'!N15</f>
        <v>111249832.76293805</v>
      </c>
      <c r="O18" s="459">
        <f ca="1">+'[59]Tariff 31'!O15</f>
        <v>115523001.3090072</v>
      </c>
      <c r="P18" s="459">
        <f ca="1">+'[59]Tariff 31'!P15</f>
        <v>110217968.9765002</v>
      </c>
    </row>
    <row r="19" spans="1:16" ht="15" x14ac:dyDescent="0.25">
      <c r="A19" s="458">
        <f t="shared" si="0"/>
        <v>13</v>
      </c>
      <c r="B19" s="458">
        <v>35</v>
      </c>
      <c r="C19" t="s">
        <v>531</v>
      </c>
      <c r="D19" s="459">
        <f t="shared" ca="1" si="2"/>
        <v>4452600</v>
      </c>
      <c r="E19" s="459">
        <f ca="1">+'[59]Tariff 35'!E12</f>
        <v>782400</v>
      </c>
      <c r="F19" s="459">
        <f ca="1">+'[59]Tariff 35'!F12</f>
        <v>-776400</v>
      </c>
      <c r="G19" s="459">
        <f ca="1">+'[59]Tariff 35'!G12</f>
        <v>3600</v>
      </c>
      <c r="H19" s="459">
        <f ca="1">+'[59]Tariff 35'!H12</f>
        <v>3000</v>
      </c>
      <c r="I19" s="459">
        <f ca="1">+'[59]Tariff 35'!I12</f>
        <v>2400</v>
      </c>
      <c r="J19" s="459">
        <f ca="1">+'[59]Tariff 35'!J12</f>
        <v>3600</v>
      </c>
      <c r="K19" s="459">
        <f ca="1">+'[59]Tariff 35'!K12</f>
        <v>299400</v>
      </c>
      <c r="L19" s="459">
        <f ca="1">+'[59]Tariff 35'!L12</f>
        <v>802200</v>
      </c>
      <c r="M19" s="459">
        <f ca="1">+'[59]Tariff 35'!M12</f>
        <v>811200</v>
      </c>
      <c r="N19" s="459">
        <f ca="1">+'[59]Tariff 35'!N12</f>
        <v>912600</v>
      </c>
      <c r="O19" s="459">
        <f ca="1">+'[59]Tariff 35'!O12</f>
        <v>848400</v>
      </c>
      <c r="P19" s="459">
        <f ca="1">+'[59]Tariff 35'!P12</f>
        <v>760200</v>
      </c>
    </row>
    <row r="20" spans="1:16" ht="15" x14ac:dyDescent="0.25">
      <c r="A20" s="458">
        <f t="shared" si="0"/>
        <v>14</v>
      </c>
      <c r="B20" s="458">
        <v>43</v>
      </c>
      <c r="C20" t="s">
        <v>534</v>
      </c>
      <c r="D20" s="459">
        <f t="shared" ca="1" si="2"/>
        <v>119660401.46477678</v>
      </c>
      <c r="E20" s="459">
        <f ca="1">+'[59]Tariff 43'!E12</f>
        <v>9337075.4695151523</v>
      </c>
      <c r="F20" s="459">
        <f ca="1">+'[59]Tariff 43'!F12</f>
        <v>12485354.643910935</v>
      </c>
      <c r="G20" s="459">
        <f ca="1">+'[59]Tariff 43'!G12</f>
        <v>15850434.107288616</v>
      </c>
      <c r="H20" s="459">
        <f ca="1">+'[59]Tariff 43'!H12</f>
        <v>14123147.660224725</v>
      </c>
      <c r="I20" s="459">
        <f ca="1">+'[59]Tariff 43'!I12</f>
        <v>12927959.375655247</v>
      </c>
      <c r="J20" s="459">
        <f ca="1">+'[59]Tariff 43'!J12</f>
        <v>13179188.19975958</v>
      </c>
      <c r="K20" s="459">
        <f ca="1">+'[59]Tariff 43'!K12</f>
        <v>8623983.9683423489</v>
      </c>
      <c r="L20" s="459">
        <f ca="1">+'[59]Tariff 43'!L12</f>
        <v>7590553.5698564323</v>
      </c>
      <c r="M20" s="459">
        <f ca="1">+'[59]Tariff 43'!M12</f>
        <v>6694592.3161879135</v>
      </c>
      <c r="N20" s="459">
        <f ca="1">+'[59]Tariff 43'!N12</f>
        <v>5879296.8919463623</v>
      </c>
      <c r="O20" s="459">
        <f ca="1">+'[59]Tariff 43'!O12</f>
        <v>5535078.0361081427</v>
      </c>
      <c r="P20" s="459">
        <f ca="1">+'[59]Tariff 43'!P12</f>
        <v>7433737.2259813203</v>
      </c>
    </row>
    <row r="21" spans="1:16" ht="15" x14ac:dyDescent="0.25">
      <c r="A21" s="458">
        <f t="shared" si="0"/>
        <v>15</v>
      </c>
      <c r="B21" s="526" t="s">
        <v>53</v>
      </c>
      <c r="C21" s="526"/>
      <c r="D21" s="459">
        <f ca="1">SUM(D18:D20)</f>
        <v>1408514575.9234734</v>
      </c>
      <c r="E21" s="459">
        <f t="shared" ref="E21:P21" ca="1" si="4">SUM(E18:E20)</f>
        <v>116684530.83090207</v>
      </c>
      <c r="F21" s="459">
        <f t="shared" ca="1" si="4"/>
        <v>115233416.55295794</v>
      </c>
      <c r="G21" s="459">
        <f t="shared" ca="1" si="4"/>
        <v>129066379.75132447</v>
      </c>
      <c r="H21" s="459">
        <f t="shared" ca="1" si="4"/>
        <v>118972680.04670168</v>
      </c>
      <c r="I21" s="459">
        <f t="shared" ca="1" si="4"/>
        <v>125729840.66632308</v>
      </c>
      <c r="J21" s="459">
        <f t="shared" ca="1" si="4"/>
        <v>119417921.41341242</v>
      </c>
      <c r="K21" s="459">
        <f t="shared" ca="1" si="4"/>
        <v>104490177.17745769</v>
      </c>
      <c r="L21" s="459">
        <f t="shared" ca="1" si="4"/>
        <v>97062954.485120699</v>
      </c>
      <c r="M21" s="459">
        <f t="shared" ca="1" si="4"/>
        <v>123496559.79679209</v>
      </c>
      <c r="N21" s="459">
        <f t="shared" ca="1" si="4"/>
        <v>118041729.65488441</v>
      </c>
      <c r="O21" s="459">
        <f t="shared" ca="1" si="4"/>
        <v>121906479.34511533</v>
      </c>
      <c r="P21" s="459">
        <f t="shared" ca="1" si="4"/>
        <v>118411906.20248152</v>
      </c>
    </row>
    <row r="22" spans="1:16" ht="15" x14ac:dyDescent="0.25">
      <c r="A22" s="458">
        <f t="shared" si="0"/>
        <v>16</v>
      </c>
      <c r="B22"/>
      <c r="C22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</row>
    <row r="23" spans="1:16" ht="15" x14ac:dyDescent="0.25">
      <c r="A23" s="458">
        <f t="shared" si="0"/>
        <v>17</v>
      </c>
      <c r="B23" s="458">
        <v>40</v>
      </c>
      <c r="C23" t="s">
        <v>535</v>
      </c>
      <c r="D23" s="459">
        <f t="shared" ca="1" si="2"/>
        <v>621678726.33913088</v>
      </c>
      <c r="E23" s="459">
        <f ca="1">+'[59]Tariff 40'!E22</f>
        <v>53144004.08998695</v>
      </c>
      <c r="F23" s="459">
        <f ca="1">+'[59]Tariff 40'!F22</f>
        <v>48441755.184000134</v>
      </c>
      <c r="G23" s="459">
        <f ca="1">+'[59]Tariff 40'!G22</f>
        <v>56839388.722935259</v>
      </c>
      <c r="H23" s="459">
        <f ca="1">+'[59]Tariff 40'!H22</f>
        <v>57172868.537418649</v>
      </c>
      <c r="I23" s="459">
        <f ca="1">+'[59]Tariff 40'!I22</f>
        <v>44963441.933640912</v>
      </c>
      <c r="J23" s="459">
        <f ca="1">+'[59]Tariff 40'!J22</f>
        <v>45820828.074154593</v>
      </c>
      <c r="K23" s="459">
        <f ca="1">+'[59]Tariff 40'!K22</f>
        <v>45739724.977565609</v>
      </c>
      <c r="L23" s="459">
        <f ca="1">+'[59]Tariff 40'!L22</f>
        <v>58590734.122435242</v>
      </c>
      <c r="M23" s="459">
        <f ca="1">+'[59]Tariff 40'!M22</f>
        <v>49835181.137705147</v>
      </c>
      <c r="N23" s="459">
        <f ca="1">+'[59]Tariff 40'!N22</f>
        <v>50172203.627229638</v>
      </c>
      <c r="O23" s="459">
        <f ca="1">+'[59]Tariff 40'!O22</f>
        <v>64817278.500200994</v>
      </c>
      <c r="P23" s="459">
        <f ca="1">+'[59]Tariff 40'!P22</f>
        <v>46141317.431857787</v>
      </c>
    </row>
    <row r="24" spans="1:16" ht="15" x14ac:dyDescent="0.25">
      <c r="A24" s="458">
        <f t="shared" si="0"/>
        <v>18</v>
      </c>
      <c r="B24"/>
      <c r="C24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</row>
    <row r="25" spans="1:16" ht="15" x14ac:dyDescent="0.25">
      <c r="A25" s="458">
        <f t="shared" si="0"/>
        <v>19</v>
      </c>
      <c r="B25" s="458">
        <v>46</v>
      </c>
      <c r="C25" s="310" t="s">
        <v>536</v>
      </c>
      <c r="D25" s="459">
        <f t="shared" ca="1" si="2"/>
        <v>64275357.697999991</v>
      </c>
      <c r="E25" s="459">
        <f ca="1">+'[59]Tariff 46'!E12</f>
        <v>5929499</v>
      </c>
      <c r="F25" s="459">
        <f ca="1">+'[59]Tariff 46'!F12</f>
        <v>11395712</v>
      </c>
      <c r="G25" s="459">
        <f ca="1">+'[59]Tariff 46'!G12</f>
        <v>4434417</v>
      </c>
      <c r="H25" s="459">
        <f ca="1">+'[59]Tariff 46'!H12</f>
        <v>2497569</v>
      </c>
      <c r="I25" s="459">
        <f ca="1">+'[59]Tariff 46'!I12</f>
        <v>6617739.7769999998</v>
      </c>
      <c r="J25" s="459">
        <f ca="1">+'[59]Tariff 46'!J12</f>
        <v>1740893.2230000002</v>
      </c>
      <c r="K25" s="459">
        <f ca="1">+'[59]Tariff 46'!K12</f>
        <v>7058841</v>
      </c>
      <c r="L25" s="459">
        <f ca="1">+'[59]Tariff 46'!L12</f>
        <v>6233064</v>
      </c>
      <c r="M25" s="459">
        <f ca="1">+'[59]Tariff 46'!M12</f>
        <v>4103891</v>
      </c>
      <c r="N25" s="459">
        <f ca="1">+'[59]Tariff 46'!N12</f>
        <v>4834580</v>
      </c>
      <c r="O25" s="459">
        <f ca="1">+'[59]Tariff 46'!O12</f>
        <v>3971862.6979999915</v>
      </c>
      <c r="P25" s="459">
        <f ca="1">+'[59]Tariff 46'!P12</f>
        <v>5457289</v>
      </c>
    </row>
    <row r="26" spans="1:16" ht="15" x14ac:dyDescent="0.25">
      <c r="A26" s="458">
        <f t="shared" si="0"/>
        <v>20</v>
      </c>
      <c r="B26" s="458">
        <v>49</v>
      </c>
      <c r="C26" t="s">
        <v>533</v>
      </c>
      <c r="D26" s="459">
        <f t="shared" ca="1" si="2"/>
        <v>567983859</v>
      </c>
      <c r="E26" s="459">
        <f ca="1">+'[59]Tariff 49'!E10</f>
        <v>49551390</v>
      </c>
      <c r="F26" s="459">
        <f ca="1">+'[59]Tariff 49'!F10</f>
        <v>74570548.046999991</v>
      </c>
      <c r="G26" s="459">
        <f ca="1">+'[59]Tariff 49'!G10</f>
        <v>16078171.793000001</v>
      </c>
      <c r="H26" s="459">
        <f ca="1">+'[59]Tariff 49'!H10</f>
        <v>51561516.159999996</v>
      </c>
      <c r="I26" s="459">
        <f ca="1">+'[59]Tariff 49'!I10</f>
        <v>89295334.787</v>
      </c>
      <c r="J26" s="459">
        <f ca="1">+'[59]Tariff 49'!J10</f>
        <v>7444497.2130000032</v>
      </c>
      <c r="K26" s="459">
        <f ca="1">+'[59]Tariff 49'!K10</f>
        <v>39924274</v>
      </c>
      <c r="L26" s="459">
        <f ca="1">+'[59]Tariff 49'!L10</f>
        <v>43936996</v>
      </c>
      <c r="M26" s="459">
        <f ca="1">+'[59]Tariff 49'!M10</f>
        <v>47284949</v>
      </c>
      <c r="N26" s="459">
        <f ca="1">+'[59]Tariff 49'!N10</f>
        <v>49438522</v>
      </c>
      <c r="O26" s="459">
        <f ca="1">+'[59]Tariff 49'!O10</f>
        <v>42063164</v>
      </c>
      <c r="P26" s="459">
        <f ca="1">+'[59]Tariff 49'!P10</f>
        <v>56834496</v>
      </c>
    </row>
    <row r="27" spans="1:16" ht="15" x14ac:dyDescent="0.25">
      <c r="A27" s="458">
        <f t="shared" si="0"/>
        <v>21</v>
      </c>
      <c r="B27" s="526" t="s">
        <v>54</v>
      </c>
      <c r="C27" s="526"/>
      <c r="D27" s="459">
        <f ca="1">SUM(D25:D26)</f>
        <v>632259216.69799995</v>
      </c>
      <c r="E27" s="459">
        <f t="shared" ref="E27:P27" ca="1" si="5">SUM(E25:E26)</f>
        <v>55480889</v>
      </c>
      <c r="F27" s="459">
        <f t="shared" ca="1" si="5"/>
        <v>85966260.046999991</v>
      </c>
      <c r="G27" s="459">
        <f t="shared" ca="1" si="5"/>
        <v>20512588.793000001</v>
      </c>
      <c r="H27" s="459">
        <f t="shared" ca="1" si="5"/>
        <v>54059085.159999996</v>
      </c>
      <c r="I27" s="459">
        <f t="shared" ca="1" si="5"/>
        <v>95913074.563999996</v>
      </c>
      <c r="J27" s="459">
        <f t="shared" ca="1" si="5"/>
        <v>9185390.4360000044</v>
      </c>
      <c r="K27" s="459">
        <f t="shared" ca="1" si="5"/>
        <v>46983115</v>
      </c>
      <c r="L27" s="459">
        <f t="shared" ca="1" si="5"/>
        <v>50170060</v>
      </c>
      <c r="M27" s="459">
        <f t="shared" ca="1" si="5"/>
        <v>51388840</v>
      </c>
      <c r="N27" s="459">
        <f t="shared" ca="1" si="5"/>
        <v>54273102</v>
      </c>
      <c r="O27" s="459">
        <f t="shared" ca="1" si="5"/>
        <v>46035026.697999991</v>
      </c>
      <c r="P27" s="459">
        <f t="shared" ca="1" si="5"/>
        <v>62291785</v>
      </c>
    </row>
    <row r="28" spans="1:16" ht="15" x14ac:dyDescent="0.25">
      <c r="A28" s="458">
        <f t="shared" si="0"/>
        <v>22</v>
      </c>
      <c r="B28"/>
      <c r="C28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</row>
    <row r="29" spans="1:16" ht="15" x14ac:dyDescent="0.25">
      <c r="A29" s="458">
        <f t="shared" si="0"/>
        <v>23</v>
      </c>
      <c r="B29" s="458" t="s">
        <v>55</v>
      </c>
      <c r="C29" t="s">
        <v>537</v>
      </c>
      <c r="D29" s="459">
        <f t="shared" ref="D29" ca="1" si="6">SUM(E29:P29)</f>
        <v>77972349.305999994</v>
      </c>
      <c r="E29" s="459">
        <f ca="1">+'[59]Tariff Lighting'!E17</f>
        <v>6940542.4285000004</v>
      </c>
      <c r="F29" s="459">
        <f ca="1">+'[59]Tariff Lighting'!F17</f>
        <v>5116837.171000001</v>
      </c>
      <c r="G29" s="459">
        <f ca="1">+'[59]Tariff Lighting'!G17</f>
        <v>6909456.5325000007</v>
      </c>
      <c r="H29" s="459">
        <f ca="1">+'[59]Tariff Lighting'!H17</f>
        <v>8982104.0499999989</v>
      </c>
      <c r="I29" s="459">
        <f ca="1">+'[59]Tariff Lighting'!I17</f>
        <v>5840346.4930000007</v>
      </c>
      <c r="J29" s="459">
        <f ca="1">+'[59]Tariff Lighting'!J17</f>
        <v>4626216.9330000002</v>
      </c>
      <c r="K29" s="459">
        <f ca="1">+'[59]Tariff Lighting'!K17</f>
        <v>6131290.6915000016</v>
      </c>
      <c r="L29" s="459">
        <f ca="1">+'[59]Tariff Lighting'!L17</f>
        <v>8258809.4964999985</v>
      </c>
      <c r="M29" s="459">
        <f ca="1">+'[59]Tariff Lighting'!M17</f>
        <v>4366334.0478139166</v>
      </c>
      <c r="N29" s="459">
        <f ca="1">+'[59]Tariff Lighting'!N17</f>
        <v>6275458.2116860822</v>
      </c>
      <c r="O29" s="459">
        <f ca="1">+'[59]Tariff Lighting'!O17</f>
        <v>6395082.9170000004</v>
      </c>
      <c r="P29" s="459">
        <f ca="1">+'[59]Tariff Lighting'!P17</f>
        <v>8129870.3335000006</v>
      </c>
    </row>
    <row r="30" spans="1:16" ht="15" x14ac:dyDescent="0.25">
      <c r="A30" s="458">
        <f t="shared" si="0"/>
        <v>24</v>
      </c>
      <c r="B30"/>
      <c r="C30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</row>
    <row r="31" spans="1:16" x14ac:dyDescent="0.3">
      <c r="A31" s="458">
        <f t="shared" si="0"/>
        <v>25</v>
      </c>
      <c r="B31" s="460" t="s">
        <v>538</v>
      </c>
      <c r="C31" t="s">
        <v>539</v>
      </c>
      <c r="D31" s="459">
        <f t="shared" ref="D31" ca="1" si="7">SUM(E31:P31)</f>
        <v>2098103636.6259997</v>
      </c>
      <c r="E31" s="459">
        <f ca="1">+'[59]Tariff 449-459'!E12</f>
        <v>177852881.88600001</v>
      </c>
      <c r="F31" s="459">
        <f ca="1">+'[59]Tariff 449-459'!F12</f>
        <v>171908908.32499999</v>
      </c>
      <c r="G31" s="459">
        <f ca="1">+'[59]Tariff 449-459'!G12</f>
        <v>175155725.25000003</v>
      </c>
      <c r="H31" s="459">
        <f ca="1">+'[59]Tariff 449-459'!H12</f>
        <v>180036575.97700003</v>
      </c>
      <c r="I31" s="459">
        <f ca="1">+'[59]Tariff 449-459'!I12</f>
        <v>163429294.68999997</v>
      </c>
      <c r="J31" s="459">
        <f ca="1">+'[59]Tariff 449-459'!J12</f>
        <v>187804403.67699999</v>
      </c>
      <c r="K31" s="459">
        <f ca="1">+'[59]Tariff 449-459'!K12</f>
        <v>171772051.655</v>
      </c>
      <c r="L31" s="459">
        <f ca="1">+'[59]Tariff 449-459'!L12</f>
        <v>175463775.18899998</v>
      </c>
      <c r="M31" s="459">
        <f ca="1">+'[59]Tariff 449-459'!M12</f>
        <v>172168450.53099999</v>
      </c>
      <c r="N31" s="459">
        <f ca="1">+'[59]Tariff 449-459'!N12</f>
        <v>175173145.68300003</v>
      </c>
      <c r="O31" s="459">
        <f ca="1">+'[59]Tariff 449-459'!O12</f>
        <v>171255107.55899999</v>
      </c>
      <c r="P31" s="459">
        <f ca="1">+'[59]Tariff 449-459'!P12</f>
        <v>176083316.204</v>
      </c>
    </row>
    <row r="32" spans="1:16" x14ac:dyDescent="0.3">
      <c r="A32" s="458">
        <f t="shared" si="0"/>
        <v>26</v>
      </c>
      <c r="B32"/>
      <c r="C32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</row>
    <row r="33" spans="1:16" x14ac:dyDescent="0.3">
      <c r="A33" s="458">
        <f t="shared" si="0"/>
        <v>27</v>
      </c>
      <c r="B33" s="526" t="s">
        <v>540</v>
      </c>
      <c r="C33" s="526"/>
      <c r="D33" s="459">
        <f ca="1">SUM(D31,D29,D27,D23,D21,D16,D9)</f>
        <v>22814379635.073318</v>
      </c>
      <c r="E33" s="459">
        <f t="shared" ref="E33:P33" ca="1" si="8">SUM(E31,E29,E27,E23,E21,E16,E9)</f>
        <v>1803265468.6495197</v>
      </c>
      <c r="F33" s="459">
        <f t="shared" ca="1" si="8"/>
        <v>2075835508.8720393</v>
      </c>
      <c r="G33" s="459">
        <f t="shared" ca="1" si="8"/>
        <v>2341775988.4810696</v>
      </c>
      <c r="H33" s="459">
        <f t="shared" ca="1" si="8"/>
        <v>2334608805.2790327</v>
      </c>
      <c r="I33" s="459">
        <f t="shared" ca="1" si="8"/>
        <v>2086583350.0143492</v>
      </c>
      <c r="J33" s="459">
        <f t="shared" ca="1" si="8"/>
        <v>2032446246.412663</v>
      </c>
      <c r="K33" s="459">
        <f t="shared" ca="1" si="8"/>
        <v>1731195091.7729316</v>
      </c>
      <c r="L33" s="459">
        <f t="shared" ca="1" si="8"/>
        <v>1682527708.4592338</v>
      </c>
      <c r="M33" s="459">
        <f t="shared" ca="1" si="8"/>
        <v>1632298643.3024292</v>
      </c>
      <c r="N33" s="459">
        <f t="shared" ca="1" si="8"/>
        <v>1733447321.3070021</v>
      </c>
      <c r="O33" s="459">
        <f t="shared" ca="1" si="8"/>
        <v>1710522869.8676755</v>
      </c>
      <c r="P33" s="459">
        <f t="shared" ca="1" si="8"/>
        <v>1649872632.6553757</v>
      </c>
    </row>
    <row r="34" spans="1:16" x14ac:dyDescent="0.3">
      <c r="A34" s="458">
        <f t="shared" si="0"/>
        <v>28</v>
      </c>
      <c r="B34"/>
      <c r="C34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</row>
    <row r="35" spans="1:16" x14ac:dyDescent="0.3">
      <c r="A35" s="458">
        <f t="shared" si="0"/>
        <v>29</v>
      </c>
      <c r="B35" s="485" t="s">
        <v>541</v>
      </c>
      <c r="C35" t="s">
        <v>542</v>
      </c>
      <c r="D35" s="459">
        <f t="shared" ref="D35" ca="1" si="9">SUM(E35:P35)</f>
        <v>6929803.4221808296</v>
      </c>
      <c r="E35" s="459">
        <f ca="1">+'[59]Tariff Firm Resale'!E10</f>
        <v>472878.08816908946</v>
      </c>
      <c r="F35" s="459">
        <f ca="1">+'[59]Tariff Firm Resale'!F10</f>
        <v>720195.36010173254</v>
      </c>
      <c r="G35" s="459">
        <f ca="1">+'[59]Tariff Firm Resale'!G10</f>
        <v>954376.15630294813</v>
      </c>
      <c r="H35" s="459">
        <f ca="1">+'[59]Tariff Firm Resale'!H10</f>
        <v>993626.39159838611</v>
      </c>
      <c r="I35" s="459">
        <f ca="1">+'[59]Tariff Firm Resale'!I10</f>
        <v>856039.19330273825</v>
      </c>
      <c r="J35" s="459">
        <f ca="1">+'[59]Tariff Firm Resale'!J10</f>
        <v>781417.16849282722</v>
      </c>
      <c r="K35" s="459">
        <f ca="1">+'[59]Tariff Firm Resale'!K10</f>
        <v>535014.30113615491</v>
      </c>
      <c r="L35" s="459">
        <f ca="1">+'[59]Tariff Firm Resale'!L10</f>
        <v>400773.10317194398</v>
      </c>
      <c r="M35" s="459">
        <f ca="1">+'[59]Tariff Firm Resale'!M10</f>
        <v>354758.87880689255</v>
      </c>
      <c r="N35" s="459">
        <f ca="1">+'[59]Tariff Firm Resale'!N10</f>
        <v>237403.97905303221</v>
      </c>
      <c r="O35" s="459">
        <f ca="1">+'[59]Tariff Firm Resale'!O10</f>
        <v>292303.01491862367</v>
      </c>
      <c r="P35" s="459">
        <f ca="1">+'[59]Tariff Firm Resale'!P10</f>
        <v>331017.78712645965</v>
      </c>
    </row>
    <row r="36" spans="1:16" x14ac:dyDescent="0.3">
      <c r="A36" s="458">
        <f t="shared" si="0"/>
        <v>30</v>
      </c>
      <c r="B36"/>
      <c r="C36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7" spans="1:16" x14ac:dyDescent="0.3">
      <c r="A37" s="458">
        <f t="shared" si="0"/>
        <v>31</v>
      </c>
      <c r="B37" s="526" t="s">
        <v>543</v>
      </c>
      <c r="C37" s="526"/>
      <c r="D37" s="459">
        <f ca="1">SUM(D33,D35)</f>
        <v>22821309438.495499</v>
      </c>
      <c r="E37" s="459">
        <f t="shared" ref="E37:P37" ca="1" si="10">SUM(E33,E35)</f>
        <v>1803738346.7376888</v>
      </c>
      <c r="F37" s="459">
        <f t="shared" ca="1" si="10"/>
        <v>2076555704.232141</v>
      </c>
      <c r="G37" s="459">
        <f t="shared" ca="1" si="10"/>
        <v>2342730364.6373725</v>
      </c>
      <c r="H37" s="459">
        <f t="shared" ca="1" si="10"/>
        <v>2335602431.6706309</v>
      </c>
      <c r="I37" s="459">
        <f t="shared" ca="1" si="10"/>
        <v>2087439389.2076519</v>
      </c>
      <c r="J37" s="459">
        <f t="shared" ca="1" si="10"/>
        <v>2033227663.5811558</v>
      </c>
      <c r="K37" s="459">
        <f t="shared" ca="1" si="10"/>
        <v>1731730106.0740678</v>
      </c>
      <c r="L37" s="459">
        <f t="shared" ca="1" si="10"/>
        <v>1682928481.5624056</v>
      </c>
      <c r="M37" s="459">
        <f t="shared" ca="1" si="10"/>
        <v>1632653402.181236</v>
      </c>
      <c r="N37" s="459">
        <f t="shared" ca="1" si="10"/>
        <v>1733684725.2860551</v>
      </c>
      <c r="O37" s="459">
        <f t="shared" ca="1" si="10"/>
        <v>1710815172.8825941</v>
      </c>
      <c r="P37" s="459">
        <f t="shared" ca="1" si="10"/>
        <v>1650203650.4425023</v>
      </c>
    </row>
    <row r="38" spans="1:16" x14ac:dyDescent="0.3">
      <c r="A38" s="458">
        <f t="shared" si="0"/>
        <v>32</v>
      </c>
      <c r="B38"/>
      <c r="C38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</row>
    <row r="39" spans="1:16" x14ac:dyDescent="0.3">
      <c r="A39" s="458">
        <f t="shared" si="0"/>
        <v>33</v>
      </c>
      <c r="B39" t="s">
        <v>544</v>
      </c>
      <c r="C39" t="s">
        <v>545</v>
      </c>
      <c r="D39" s="459">
        <f t="shared" ref="D39:D45" ca="1" si="11">SUM(E39:P39)</f>
        <v>20458662826.668999</v>
      </c>
      <c r="E39" s="459">
        <f ca="1">+'[59]SOE '!D54</f>
        <v>1580999369.615</v>
      </c>
      <c r="F39" s="459">
        <f ca="1">+'[59]SOE '!E54</f>
        <v>1949849778.957</v>
      </c>
      <c r="G39" s="459">
        <f ca="1">+'[59]SOE '!F54</f>
        <v>2122594833.9889998</v>
      </c>
      <c r="H39" s="459">
        <f ca="1">+'[59]SOE '!G54</f>
        <v>2109647579.7850001</v>
      </c>
      <c r="I39" s="459">
        <f ca="1">+'[59]SOE '!H54</f>
        <v>1829822241.2389998</v>
      </c>
      <c r="J39" s="459">
        <f ca="1">+'[59]SOE '!I54</f>
        <v>1792363775.7639999</v>
      </c>
      <c r="K39" s="459">
        <f ca="1">+'[59]SOE '!J54</f>
        <v>1488052248</v>
      </c>
      <c r="L39" s="459">
        <f ca="1">+'[59]SOE '!K54</f>
        <v>1492590366</v>
      </c>
      <c r="M39" s="459">
        <f ca="1">+'[59]SOE '!L54</f>
        <v>1471268485.3199999</v>
      </c>
      <c r="N39" s="459">
        <f ca="1">+'[59]SOE '!M54</f>
        <v>1560718751</v>
      </c>
      <c r="O39" s="459">
        <f ca="1">+'[59]SOE '!N54</f>
        <v>1592669652</v>
      </c>
      <c r="P39" s="459">
        <f ca="1">+'[59]SOE '!O54</f>
        <v>1468085745</v>
      </c>
    </row>
    <row r="40" spans="1:16" x14ac:dyDescent="0.3">
      <c r="A40" s="458">
        <f t="shared" si="0"/>
        <v>34</v>
      </c>
      <c r="B40" t="s">
        <v>544</v>
      </c>
      <c r="C40" t="s">
        <v>546</v>
      </c>
      <c r="D40" s="459">
        <f t="shared" ca="1" si="11"/>
        <v>2098103637.2950001</v>
      </c>
      <c r="E40" s="459">
        <f ca="1">+'[59]SOE '!D55</f>
        <v>177852881.86899999</v>
      </c>
      <c r="F40" s="459">
        <f ca="1">+'[59]SOE '!E55</f>
        <v>171908908.37</v>
      </c>
      <c r="G40" s="459">
        <f ca="1">+'[59]SOE '!F55</f>
        <v>175155725.21599999</v>
      </c>
      <c r="H40" s="459">
        <f ca="1">+'[59]SOE '!G55</f>
        <v>180036575.947</v>
      </c>
      <c r="I40" s="459">
        <f ca="1">+'[59]SOE '!H55</f>
        <v>163429294.692</v>
      </c>
      <c r="J40" s="459">
        <f ca="1">+'[59]SOE '!I55</f>
        <v>187804403.692</v>
      </c>
      <c r="K40" s="459">
        <f ca="1">+'[59]SOE '!J55</f>
        <v>171772052</v>
      </c>
      <c r="L40" s="459">
        <f ca="1">+'[59]SOE '!K55</f>
        <v>175463775</v>
      </c>
      <c r="M40" s="459">
        <f ca="1">+'[59]SOE '!L55</f>
        <v>172168450.509</v>
      </c>
      <c r="N40" s="459">
        <f ca="1">+'[59]SOE '!M55</f>
        <v>175173146</v>
      </c>
      <c r="O40" s="459">
        <f ca="1">+'[59]SOE '!N55</f>
        <v>171255108</v>
      </c>
      <c r="P40" s="459">
        <f ca="1">+'[59]SOE '!O55</f>
        <v>176083316</v>
      </c>
    </row>
    <row r="41" spans="1:16" x14ac:dyDescent="0.3">
      <c r="A41" s="458">
        <f t="shared" si="0"/>
        <v>35</v>
      </c>
      <c r="B41" t="s">
        <v>544</v>
      </c>
      <c r="C41" t="s">
        <v>547</v>
      </c>
      <c r="D41" s="459">
        <f t="shared" ca="1" si="11"/>
        <v>22556766463.963997</v>
      </c>
      <c r="E41" s="486">
        <f ca="1">SUM(E39:E40)</f>
        <v>1758852251.484</v>
      </c>
      <c r="F41" s="486">
        <f t="shared" ref="F41:P41" ca="1" si="12">SUM(F39:F40)</f>
        <v>2121758687.3270001</v>
      </c>
      <c r="G41" s="486">
        <f t="shared" ca="1" si="12"/>
        <v>2297750559.2049999</v>
      </c>
      <c r="H41" s="486">
        <f t="shared" ca="1" si="12"/>
        <v>2289684155.7319999</v>
      </c>
      <c r="I41" s="486">
        <f t="shared" ca="1" si="12"/>
        <v>1993251535.9309998</v>
      </c>
      <c r="J41" s="486">
        <f t="shared" ca="1" si="12"/>
        <v>1980168179.4559999</v>
      </c>
      <c r="K41" s="486">
        <f t="shared" ca="1" si="12"/>
        <v>1659824300</v>
      </c>
      <c r="L41" s="486">
        <f t="shared" ca="1" si="12"/>
        <v>1668054141</v>
      </c>
      <c r="M41" s="486">
        <f t="shared" ca="1" si="12"/>
        <v>1643436935.829</v>
      </c>
      <c r="N41" s="486">
        <f t="shared" ca="1" si="12"/>
        <v>1735891897</v>
      </c>
      <c r="O41" s="486">
        <f t="shared" ca="1" si="12"/>
        <v>1763924760</v>
      </c>
      <c r="P41" s="486">
        <f t="shared" ca="1" si="12"/>
        <v>1644169061</v>
      </c>
    </row>
    <row r="42" spans="1:16" x14ac:dyDescent="0.3">
      <c r="A42" s="458">
        <f t="shared" si="0"/>
        <v>36</v>
      </c>
      <c r="B42"/>
      <c r="C42" t="s">
        <v>192</v>
      </c>
      <c r="D42" s="459">
        <f ca="1">SUM(E42:P42)</f>
        <v>281706864.87875724</v>
      </c>
      <c r="E42" s="486">
        <f ca="1">+'[59]Temperature Adj'!L36</f>
        <v>44229678.104880236</v>
      </c>
      <c r="F42" s="486">
        <f ca="1">+'[59]Temperature Adj'!M36</f>
        <v>-45900458.080219798</v>
      </c>
      <c r="G42" s="486">
        <f ca="1">+'[59]Temperature Adj'!N36</f>
        <v>44259642.039111502</v>
      </c>
      <c r="H42" s="486">
        <f ca="1">+'[59]Temperature Adj'!C36</f>
        <v>45192535.036168337</v>
      </c>
      <c r="I42" s="486">
        <f ca="1">+'[59]Temperature Adj'!D36</f>
        <v>93453897.546413183</v>
      </c>
      <c r="J42" s="486">
        <f ca="1">+'[59]Temperature Adj'!E36</f>
        <v>52367415.719787337</v>
      </c>
      <c r="K42" s="486">
        <f ca="1">+'[59]Temperature Adj'!F36</f>
        <v>71171146.133725539</v>
      </c>
      <c r="L42" s="486">
        <f ca="1">+'[59]Temperature Adj'!G36</f>
        <v>14181372.511321284</v>
      </c>
      <c r="M42" s="486">
        <f ca="1">+'[59]Temperature Adj'!H36</f>
        <v>-11496156.920470042</v>
      </c>
      <c r="N42" s="486">
        <f ca="1">+'[59]Temperature Adj'!I36</f>
        <v>-2207170.5850217612</v>
      </c>
      <c r="O42" s="486">
        <f ca="1">+'[59]Temperature Adj'!J36</f>
        <v>-29579625.601903219</v>
      </c>
      <c r="P42" s="486">
        <f ca="1">+'[59]Temperature Adj'!K36</f>
        <v>6034588.9749646252</v>
      </c>
    </row>
    <row r="43" spans="1:16" x14ac:dyDescent="0.3">
      <c r="A43" s="458"/>
      <c r="B43"/>
      <c r="C43" t="s">
        <v>548</v>
      </c>
      <c r="D43" s="459">
        <f ca="1">SUM(E43:P43)</f>
        <v>-17163889.065000009</v>
      </c>
      <c r="E43" s="487">
        <v>656416.89100000006</v>
      </c>
      <c r="F43" s="487">
        <v>697475.48800000001</v>
      </c>
      <c r="G43" s="487">
        <v>720164.46700000006</v>
      </c>
      <c r="H43" s="487">
        <v>725739.19</v>
      </c>
      <c r="I43" s="487">
        <v>733955.88799999992</v>
      </c>
      <c r="J43" s="487">
        <v>692066.54500000004</v>
      </c>
      <c r="K43" s="487">
        <v>734662.28200000001</v>
      </c>
      <c r="L43" s="487">
        <v>692967.76500000001</v>
      </c>
      <c r="M43" s="487">
        <v>712622.72100000002</v>
      </c>
      <c r="N43" s="487"/>
      <c r="O43" s="487">
        <v>-23529960.302000009</v>
      </c>
      <c r="P43" s="487">
        <f ca="1">+'[59]Temperature Adj'!K37</f>
        <v>0</v>
      </c>
    </row>
    <row r="44" spans="1:16" x14ac:dyDescent="0.3">
      <c r="A44" s="458">
        <f t="shared" si="0"/>
        <v>38</v>
      </c>
      <c r="B44"/>
      <c r="C44" s="310" t="s">
        <v>549</v>
      </c>
      <c r="D44" s="459">
        <f t="shared" ca="1" si="11"/>
        <v>22821309439.777756</v>
      </c>
      <c r="E44" s="486">
        <f ca="1">SUM(E41:E43)</f>
        <v>1803738346.4798803</v>
      </c>
      <c r="F44" s="486">
        <f t="shared" ref="F44:P44" ca="1" si="13">SUM(F41:F43)</f>
        <v>2076555704.7347803</v>
      </c>
      <c r="G44" s="486">
        <f t="shared" ca="1" si="13"/>
        <v>2342730365.7111115</v>
      </c>
      <c r="H44" s="486">
        <f t="shared" ca="1" si="13"/>
        <v>2335602429.9581685</v>
      </c>
      <c r="I44" s="486">
        <f t="shared" ca="1" si="13"/>
        <v>2087439389.365413</v>
      </c>
      <c r="J44" s="486">
        <f t="shared" ca="1" si="13"/>
        <v>2033227661.7207873</v>
      </c>
      <c r="K44" s="486">
        <f t="shared" ca="1" si="13"/>
        <v>1731730108.4157257</v>
      </c>
      <c r="L44" s="486">
        <f t="shared" ca="1" si="13"/>
        <v>1682928481.2763214</v>
      </c>
      <c r="M44" s="486">
        <f t="shared" ca="1" si="13"/>
        <v>1632653401.62953</v>
      </c>
      <c r="N44" s="486">
        <f t="shared" ca="1" si="13"/>
        <v>1733684726.4149783</v>
      </c>
      <c r="O44" s="486">
        <f t="shared" ca="1" si="13"/>
        <v>1710815174.0960968</v>
      </c>
      <c r="P44" s="486">
        <f t="shared" ca="1" si="13"/>
        <v>1650203649.9749646</v>
      </c>
    </row>
    <row r="45" spans="1:16" x14ac:dyDescent="0.3">
      <c r="A45" s="458">
        <f t="shared" si="0"/>
        <v>39</v>
      </c>
      <c r="B45"/>
      <c r="C45" t="s">
        <v>46</v>
      </c>
      <c r="D45" s="459">
        <f t="shared" ca="1" si="11"/>
        <v>1.2822558879852295</v>
      </c>
      <c r="E45" s="486">
        <f ca="1">+E44-E37</f>
        <v>-0.25780844688415527</v>
      </c>
      <c r="F45" s="486">
        <f t="shared" ref="F45:P45" ca="1" si="14">+F44-F37</f>
        <v>0.5026392936706543</v>
      </c>
      <c r="G45" s="486">
        <f t="shared" ca="1" si="14"/>
        <v>1.0737390518188477</v>
      </c>
      <c r="H45" s="486">
        <f t="shared" ca="1" si="14"/>
        <v>-1.7124624252319336</v>
      </c>
      <c r="I45" s="486">
        <f t="shared" ca="1" si="14"/>
        <v>0.1577610969543457</v>
      </c>
      <c r="J45" s="486">
        <f t="shared" ca="1" si="14"/>
        <v>-1.8603684902191162</v>
      </c>
      <c r="K45" s="486">
        <f t="shared" ca="1" si="14"/>
        <v>2.3416578769683838</v>
      </c>
      <c r="L45" s="486">
        <f t="shared" ca="1" si="14"/>
        <v>-0.28608417510986328</v>
      </c>
      <c r="M45" s="486">
        <f t="shared" ca="1" si="14"/>
        <v>-0.55170607566833496</v>
      </c>
      <c r="N45" s="486">
        <f t="shared" ca="1" si="14"/>
        <v>1.1289231777191162</v>
      </c>
      <c r="O45" s="486">
        <f t="shared" ca="1" si="14"/>
        <v>1.2135026454925537</v>
      </c>
      <c r="P45" s="486">
        <f t="shared" ca="1" si="14"/>
        <v>-0.46753764152526855</v>
      </c>
    </row>
    <row r="46" spans="1:16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</sheetData>
  <mergeCells count="10">
    <mergeCell ref="B16:C16"/>
    <mergeCell ref="B21:C21"/>
    <mergeCell ref="B27:C27"/>
    <mergeCell ref="B33:C33"/>
    <mergeCell ref="B37:C37"/>
    <mergeCell ref="A1:P1"/>
    <mergeCell ref="A2:P2"/>
    <mergeCell ref="A3:P3"/>
    <mergeCell ref="A4:P4"/>
    <mergeCell ref="B9:C9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&amp;N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23"/>
  <sheetViews>
    <sheetView zoomScaleNormal="100" workbookViewId="0">
      <selection activeCell="B18" sqref="B18"/>
    </sheetView>
  </sheetViews>
  <sheetFormatPr defaultColWidth="9.109375" defaultRowHeight="13.8" x14ac:dyDescent="0.3"/>
  <cols>
    <col min="1" max="1" width="5.33203125" style="3" customWidth="1"/>
    <col min="2" max="2" width="43.44140625" style="3" customWidth="1"/>
    <col min="3" max="3" width="15.5546875" style="3" customWidth="1"/>
    <col min="4" max="5" width="16.44140625" style="3" customWidth="1"/>
    <col min="6" max="6" width="20.5546875" style="3" bestFit="1" customWidth="1"/>
    <col min="7" max="9" width="16.44140625" style="51" customWidth="1"/>
    <col min="10" max="10" width="17.6640625" style="51" customWidth="1"/>
    <col min="11" max="11" width="14.5546875" style="3" bestFit="1" customWidth="1"/>
    <col min="12" max="12" width="9.109375" style="3"/>
    <col min="13" max="13" width="10.33203125" style="3" bestFit="1" customWidth="1"/>
    <col min="14" max="16384" width="9.109375" style="3"/>
  </cols>
  <sheetData>
    <row r="1" spans="1:20" ht="12.75" x14ac:dyDescent="0.2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2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x14ac:dyDescent="0.2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2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x14ac:dyDescent="0.2">
      <c r="A3" s="488" t="s">
        <v>556</v>
      </c>
      <c r="B3" s="488"/>
      <c r="C3" s="488"/>
      <c r="D3" s="488"/>
      <c r="E3" s="488"/>
      <c r="F3" s="488"/>
      <c r="G3" s="488"/>
      <c r="H3" s="488"/>
      <c r="I3" s="488"/>
      <c r="J3" s="42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x14ac:dyDescent="0.2">
      <c r="A4" s="15"/>
      <c r="B4" s="15"/>
      <c r="C4" s="15"/>
      <c r="D4" s="15"/>
      <c r="E4" s="15"/>
      <c r="F4" s="10"/>
      <c r="G4" s="70"/>
      <c r="H4" s="56"/>
      <c r="I4" s="56"/>
      <c r="J4" s="56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x14ac:dyDescent="0.2">
      <c r="A5" s="9"/>
      <c r="B5" s="9"/>
      <c r="C5" s="9"/>
      <c r="D5" s="9"/>
      <c r="E5" s="9"/>
      <c r="F5" s="9"/>
      <c r="G5" s="52"/>
      <c r="H5" s="52"/>
      <c r="I5" s="52"/>
      <c r="J5" s="52"/>
    </row>
    <row r="6" spans="1:20" s="51" customFormat="1" ht="12.75" customHeight="1" x14ac:dyDescent="0.2">
      <c r="A6" s="103" t="s">
        <v>311</v>
      </c>
      <c r="B6" s="52"/>
      <c r="C6" s="52"/>
      <c r="D6" s="96" t="s">
        <v>313</v>
      </c>
      <c r="E6" s="96" t="s">
        <v>314</v>
      </c>
      <c r="F6" s="96" t="s">
        <v>314</v>
      </c>
      <c r="G6" s="96" t="s">
        <v>41</v>
      </c>
      <c r="H6" s="96" t="s">
        <v>314</v>
      </c>
      <c r="I6" s="96" t="s">
        <v>314</v>
      </c>
      <c r="J6" s="52"/>
    </row>
    <row r="7" spans="1:20" s="102" customFormat="1" ht="12.75" x14ac:dyDescent="0.2">
      <c r="A7" s="98" t="s">
        <v>312</v>
      </c>
      <c r="B7" s="101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  <c r="H7" s="67" t="s">
        <v>185</v>
      </c>
      <c r="I7" s="67" t="s">
        <v>186</v>
      </c>
    </row>
    <row r="8" spans="1:20" ht="12.75" x14ac:dyDescent="0.2">
      <c r="A8" s="7"/>
      <c r="B8" s="8" t="s">
        <v>14</v>
      </c>
      <c r="C8" s="8" t="s">
        <v>13</v>
      </c>
      <c r="D8" s="8" t="s">
        <v>12</v>
      </c>
      <c r="E8" s="8" t="s">
        <v>11</v>
      </c>
      <c r="F8" s="8" t="s">
        <v>10</v>
      </c>
      <c r="G8" s="34" t="s">
        <v>9</v>
      </c>
      <c r="H8" s="34" t="s">
        <v>8</v>
      </c>
      <c r="I8" s="34" t="s">
        <v>7</v>
      </c>
    </row>
    <row r="9" spans="1:20" ht="12.75" x14ac:dyDescent="0.2">
      <c r="A9" s="8"/>
      <c r="B9" s="16"/>
      <c r="C9" s="8"/>
      <c r="D9" s="8"/>
      <c r="E9" s="8"/>
      <c r="F9" s="8"/>
      <c r="G9" s="34"/>
      <c r="H9" s="34"/>
      <c r="I9" s="34"/>
    </row>
    <row r="10" spans="1:20" ht="12.75" x14ac:dyDescent="0.2">
      <c r="A10" s="8">
        <v>1</v>
      </c>
      <c r="B10" s="57" t="s">
        <v>505</v>
      </c>
      <c r="C10" s="49" t="s">
        <v>553</v>
      </c>
      <c r="D10" s="50">
        <f ca="1">'JAP-41 Page 1'!$D$16</f>
        <v>316909505.37786996</v>
      </c>
      <c r="E10" s="50">
        <f ca="1">'JAP-41 Page 1'!$E$16</f>
        <v>82243492.706473321</v>
      </c>
      <c r="F10" s="50">
        <f ca="1">'JAP-41 Page 1'!$F$16</f>
        <v>88387753.118962169</v>
      </c>
      <c r="G10" s="50">
        <f ca="1">'JAP-41 Page 1'!$G$16</f>
        <v>11017526.303942524</v>
      </c>
      <c r="H10" s="50">
        <f ca="1">'JAP-41 Page 1'!$H$16</f>
        <v>45869957.136200413</v>
      </c>
      <c r="I10" s="50">
        <f ca="1">'JAP-41 Page 1'!$I$16</f>
        <v>30235910.059613258</v>
      </c>
      <c r="K10" s="45"/>
    </row>
    <row r="11" spans="1:20" ht="12.75" x14ac:dyDescent="0.2">
      <c r="A11" s="8">
        <f>A10+1</f>
        <v>2</v>
      </c>
      <c r="B11" s="57"/>
      <c r="C11" s="7"/>
      <c r="D11" s="7"/>
      <c r="E11" s="7"/>
      <c r="F11" s="7"/>
      <c r="G11" s="41"/>
      <c r="H11" s="41"/>
      <c r="I11" s="41"/>
    </row>
    <row r="12" spans="1:20" ht="12.75" x14ac:dyDescent="0.2">
      <c r="A12" s="8">
        <f t="shared" ref="A12:A14" si="0">A11+1</f>
        <v>3</v>
      </c>
      <c r="B12" s="57" t="s">
        <v>18</v>
      </c>
      <c r="C12" s="49" t="s">
        <v>551</v>
      </c>
      <c r="D12" s="64">
        <f>SUM('12ME Sep16 Cust Data'!$O$62)</f>
        <v>980659.91666666663</v>
      </c>
      <c r="E12" s="64">
        <f>SUM('12ME Sep16 Cust Data'!$O$64)</f>
        <v>117926.16666666667</v>
      </c>
      <c r="F12" s="64">
        <f>SUM('12ME Sep16 Cust Data'!$O$63,'12ME Sep16 Cust Data'!$O$65,'12ME Sep16 Cust Data'!$O$67,'12ME Sep16 Cust Data'!$O$69,'12ME Sep16 Cust Data'!$O$71)</f>
        <v>7786.25</v>
      </c>
      <c r="G12" s="64">
        <f>SUM('12ME Sep16 Cust Data'!$O$70)</f>
        <v>131.08333333333334</v>
      </c>
      <c r="H12" s="64">
        <f>SUM('12ME Sep16 Cust Data'!$O$66)</f>
        <v>785</v>
      </c>
      <c r="I12" s="64">
        <f>SUM('12ME Sep16 Cust Data'!$O$68)</f>
        <v>476.41666666666669</v>
      </c>
    </row>
    <row r="13" spans="1:20" ht="12.75" x14ac:dyDescent="0.2">
      <c r="A13" s="8">
        <f t="shared" si="0"/>
        <v>4</v>
      </c>
      <c r="B13" s="57"/>
      <c r="C13" s="7"/>
      <c r="D13" s="17"/>
      <c r="E13" s="17"/>
      <c r="F13" s="17"/>
      <c r="G13" s="35"/>
      <c r="H13" s="35"/>
      <c r="I13" s="35"/>
    </row>
    <row r="14" spans="1:20" s="51" customFormat="1" ht="12.75" x14ac:dyDescent="0.2">
      <c r="A14" s="34">
        <f t="shared" si="0"/>
        <v>5</v>
      </c>
      <c r="B14" s="57" t="s">
        <v>504</v>
      </c>
      <c r="C14" s="34" t="str">
        <f>"("&amp;A10&amp;") / ("&amp;A12&amp;")"</f>
        <v>(1) / (3)</v>
      </c>
      <c r="D14" s="71">
        <f ca="1">ROUND(D10/D12,2)</f>
        <v>323.16000000000003</v>
      </c>
      <c r="E14" s="71">
        <f t="shared" ref="E14:I14" ca="1" si="1">ROUND(E10/E12,2)</f>
        <v>697.42</v>
      </c>
      <c r="F14" s="71">
        <f t="shared" ca="1" si="1"/>
        <v>11351.77</v>
      </c>
      <c r="G14" s="71">
        <f ca="1">ROUND(G10/G12,2)</f>
        <v>84049.79</v>
      </c>
      <c r="H14" s="71">
        <f t="shared" ca="1" si="1"/>
        <v>58433.07</v>
      </c>
      <c r="I14" s="71">
        <f t="shared" ca="1" si="1"/>
        <v>63465.27</v>
      </c>
    </row>
    <row r="15" spans="1:20" ht="12.75" x14ac:dyDescent="0.2">
      <c r="A15" s="9"/>
      <c r="B15" s="9"/>
      <c r="C15" s="9"/>
      <c r="D15" s="9"/>
      <c r="E15" s="9"/>
      <c r="F15" s="9"/>
      <c r="G15" s="52"/>
      <c r="H15" s="52"/>
      <c r="I15" s="52"/>
      <c r="J15" s="52"/>
      <c r="K15" s="9"/>
    </row>
    <row r="16" spans="1:20" ht="12.75" x14ac:dyDescent="0.2">
      <c r="A16" s="9"/>
      <c r="B16" s="9"/>
      <c r="C16" s="9"/>
      <c r="D16" s="13"/>
      <c r="E16" s="13"/>
      <c r="F16" s="13"/>
      <c r="G16" s="13"/>
      <c r="H16" s="13"/>
      <c r="I16" s="13"/>
      <c r="J16" s="13"/>
      <c r="K16" s="9"/>
    </row>
    <row r="17" spans="1:11" ht="12.75" x14ac:dyDescent="0.2">
      <c r="A17" s="9"/>
      <c r="B17" s="9"/>
      <c r="C17" s="9"/>
      <c r="D17" s="14"/>
      <c r="E17" s="14"/>
      <c r="F17" s="14"/>
      <c r="G17" s="14"/>
      <c r="H17" s="14"/>
      <c r="I17" s="14"/>
      <c r="J17" s="14"/>
      <c r="K17" s="9"/>
    </row>
    <row r="18" spans="1:11" ht="12.75" x14ac:dyDescent="0.2">
      <c r="A18" s="9"/>
      <c r="B18" s="9"/>
      <c r="C18" s="9"/>
      <c r="D18" s="9"/>
      <c r="E18" s="9"/>
      <c r="F18" s="9"/>
      <c r="G18" s="52"/>
      <c r="H18" s="52"/>
      <c r="I18" s="52"/>
      <c r="J18" s="52"/>
      <c r="K18" s="9"/>
    </row>
    <row r="19" spans="1:11" ht="12.75" x14ac:dyDescent="0.2">
      <c r="D19" s="6"/>
      <c r="E19" s="6"/>
      <c r="F19" s="6"/>
      <c r="G19" s="6"/>
      <c r="H19" s="6"/>
      <c r="I19" s="6"/>
      <c r="J19" s="6"/>
    </row>
    <row r="20" spans="1:11" ht="12.75" x14ac:dyDescent="0.2">
      <c r="D20" s="6"/>
      <c r="E20" s="6"/>
      <c r="F20" s="6"/>
      <c r="G20" s="6"/>
      <c r="H20" s="6"/>
      <c r="I20" s="6"/>
      <c r="J20" s="6"/>
    </row>
    <row r="21" spans="1:11" ht="12.75" x14ac:dyDescent="0.2">
      <c r="D21" s="6"/>
      <c r="E21" s="6"/>
      <c r="F21" s="6"/>
      <c r="G21" s="6"/>
      <c r="H21" s="6"/>
      <c r="I21" s="6"/>
      <c r="J21" s="6"/>
    </row>
    <row r="22" spans="1:11" ht="12.75" x14ac:dyDescent="0.2">
      <c r="D22" s="6"/>
      <c r="E22" s="6"/>
      <c r="F22" s="6"/>
      <c r="G22" s="6"/>
      <c r="H22" s="6"/>
      <c r="I22" s="6"/>
      <c r="J22" s="6"/>
    </row>
    <row r="23" spans="1:11" ht="12.75" x14ac:dyDescent="0.2">
      <c r="D23" s="6"/>
      <c r="E23" s="6"/>
      <c r="F23" s="6"/>
      <c r="G23" s="6"/>
      <c r="H23" s="6"/>
      <c r="I23" s="6"/>
      <c r="J23" s="6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3"/>
  <sheetViews>
    <sheetView zoomScaleNormal="100" workbookViewId="0">
      <selection activeCell="H14" sqref="H14"/>
    </sheetView>
  </sheetViews>
  <sheetFormatPr defaultColWidth="9.109375" defaultRowHeight="13.8" x14ac:dyDescent="0.3"/>
  <cols>
    <col min="1" max="1" width="5.33203125" style="51" customWidth="1"/>
    <col min="2" max="2" width="45" style="51" customWidth="1"/>
    <col min="3" max="3" width="15.5546875" style="51" customWidth="1"/>
    <col min="4" max="5" width="16.44140625" style="51" customWidth="1"/>
    <col min="6" max="6" width="20.5546875" style="51" bestFit="1" customWidth="1"/>
    <col min="7" max="7" width="16.44140625" style="51" customWidth="1"/>
    <col min="8" max="8" width="9.109375" style="51"/>
    <col min="9" max="9" width="10.33203125" style="51" bestFit="1" customWidth="1"/>
    <col min="10" max="16384" width="9.109375" style="51"/>
  </cols>
  <sheetData>
    <row r="1" spans="1:16" ht="12.75" x14ac:dyDescent="0.2">
      <c r="A1" s="488" t="s">
        <v>17</v>
      </c>
      <c r="B1" s="488"/>
      <c r="C1" s="488"/>
      <c r="D1" s="488"/>
      <c r="E1" s="488"/>
      <c r="F1" s="488"/>
      <c r="G1" s="488"/>
      <c r="H1" s="40"/>
      <c r="I1" s="40"/>
      <c r="J1" s="40"/>
      <c r="K1" s="40"/>
      <c r="L1" s="40"/>
      <c r="M1" s="40"/>
      <c r="N1" s="40"/>
      <c r="O1" s="40"/>
      <c r="P1" s="40"/>
    </row>
    <row r="2" spans="1:16" ht="12.75" x14ac:dyDescent="0.2">
      <c r="A2" s="488" t="s">
        <v>47</v>
      </c>
      <c r="B2" s="488"/>
      <c r="C2" s="488"/>
      <c r="D2" s="488"/>
      <c r="E2" s="488"/>
      <c r="F2" s="488"/>
      <c r="G2" s="488"/>
      <c r="H2" s="40"/>
      <c r="I2" s="40"/>
      <c r="J2" s="40"/>
      <c r="K2" s="40"/>
      <c r="L2" s="40"/>
      <c r="M2" s="40"/>
      <c r="N2" s="40"/>
      <c r="O2" s="40"/>
      <c r="P2" s="40"/>
    </row>
    <row r="3" spans="1:16" ht="12.75" x14ac:dyDescent="0.2">
      <c r="A3" s="488" t="s">
        <v>557</v>
      </c>
      <c r="B3" s="488"/>
      <c r="C3" s="488"/>
      <c r="D3" s="488"/>
      <c r="E3" s="488"/>
      <c r="F3" s="488"/>
      <c r="G3" s="488"/>
      <c r="H3" s="40"/>
      <c r="I3" s="40"/>
      <c r="J3" s="40"/>
      <c r="K3" s="40"/>
      <c r="L3" s="40"/>
      <c r="M3" s="40"/>
      <c r="N3" s="40"/>
      <c r="O3" s="40"/>
      <c r="P3" s="40"/>
    </row>
    <row r="4" spans="1:16" ht="12.75" x14ac:dyDescent="0.2">
      <c r="A4" s="42"/>
      <c r="B4" s="42"/>
      <c r="C4" s="42"/>
      <c r="D4" s="42"/>
      <c r="E4" s="42"/>
      <c r="F4" s="72"/>
      <c r="G4" s="72"/>
      <c r="H4" s="40"/>
      <c r="I4" s="40"/>
      <c r="J4" s="40"/>
      <c r="K4" s="40"/>
      <c r="L4" s="40"/>
      <c r="M4" s="40"/>
      <c r="N4" s="40"/>
      <c r="O4" s="40"/>
      <c r="P4" s="40"/>
    </row>
    <row r="5" spans="1:16" ht="12.75" x14ac:dyDescent="0.2">
      <c r="A5" s="52"/>
      <c r="B5" s="52"/>
      <c r="C5" s="52"/>
      <c r="D5" s="52"/>
      <c r="E5" s="52"/>
      <c r="F5" s="52"/>
      <c r="G5" s="52"/>
    </row>
    <row r="6" spans="1:16" ht="12.75" customHeight="1" x14ac:dyDescent="0.2">
      <c r="A6" s="103" t="s">
        <v>311</v>
      </c>
      <c r="B6" s="52"/>
      <c r="C6" s="52"/>
      <c r="D6" s="96" t="s">
        <v>313</v>
      </c>
      <c r="E6" s="96" t="s">
        <v>314</v>
      </c>
      <c r="F6" s="96" t="s">
        <v>314</v>
      </c>
      <c r="G6" s="96" t="s">
        <v>41</v>
      </c>
    </row>
    <row r="7" spans="1:16" ht="12.75" x14ac:dyDescent="0.2">
      <c r="A7" s="98" t="s">
        <v>312</v>
      </c>
      <c r="B7" s="101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</row>
    <row r="8" spans="1:16" ht="12.75" x14ac:dyDescent="0.2">
      <c r="A8" s="57"/>
      <c r="B8" s="58" t="s">
        <v>14</v>
      </c>
      <c r="C8" s="58" t="s">
        <v>13</v>
      </c>
      <c r="D8" s="58" t="s">
        <v>12</v>
      </c>
      <c r="E8" s="58" t="s">
        <v>11</v>
      </c>
      <c r="F8" s="58" t="s">
        <v>10</v>
      </c>
      <c r="G8" s="58" t="s">
        <v>9</v>
      </c>
    </row>
    <row r="9" spans="1:16" ht="12.75" x14ac:dyDescent="0.2">
      <c r="A9" s="58"/>
      <c r="B9" s="48"/>
      <c r="C9" s="58"/>
      <c r="D9" s="58"/>
      <c r="E9" s="58"/>
      <c r="F9" s="58"/>
      <c r="G9" s="58"/>
    </row>
    <row r="10" spans="1:16" ht="12.75" x14ac:dyDescent="0.2">
      <c r="A10" s="58">
        <v>1</v>
      </c>
      <c r="B10" s="57" t="s">
        <v>505</v>
      </c>
      <c r="C10" s="49" t="s">
        <v>553</v>
      </c>
      <c r="D10" s="50">
        <f ca="1">'JAP-41 Page 1'!$D$16</f>
        <v>316909505.37786996</v>
      </c>
      <c r="E10" s="50">
        <f ca="1">'JAP-41 Page 1'!$E$16</f>
        <v>82243492.706473321</v>
      </c>
      <c r="F10" s="50">
        <f ca="1">'JAP-41 Page 1'!$F$16</f>
        <v>88387753.118962169</v>
      </c>
      <c r="G10" s="50">
        <f ca="1">'JAP-41 Page 1'!$G$16</f>
        <v>11017526.303942524</v>
      </c>
    </row>
    <row r="11" spans="1:16" ht="12.75" x14ac:dyDescent="0.2">
      <c r="A11" s="58">
        <f>A10+1</f>
        <v>2</v>
      </c>
      <c r="B11" s="57"/>
      <c r="C11" s="57"/>
      <c r="D11" s="57"/>
      <c r="E11" s="57"/>
      <c r="F11" s="57"/>
      <c r="G11" s="57"/>
    </row>
    <row r="12" spans="1:16" ht="12.75" x14ac:dyDescent="0.2">
      <c r="A12" s="58">
        <f t="shared" ref="A12:A14" si="0">A11+1</f>
        <v>3</v>
      </c>
      <c r="B12" s="57" t="s">
        <v>306</v>
      </c>
      <c r="C12" s="58" t="s">
        <v>552</v>
      </c>
      <c r="D12" s="64">
        <f ca="1">'Exhibit No.__(JAP-Res RD)'!C23</f>
        <v>10442426485.066896</v>
      </c>
      <c r="E12" s="64">
        <f ca="1">'Exhibit No.__(JAP-SV RD)'!C25</f>
        <v>2787584113.8710942</v>
      </c>
      <c r="F12" s="64">
        <f ca="1">SUM('Exhibit No.__(JAP-SV RD)'!C39,'Exhibit No.__(JAP-SV RD)'!C128,'Exhibit No.__(JAP-PV RD)'!C43,'Exhibit No.__(JAP-PV RD)'!C66)</f>
        <v>2977898788.3258581</v>
      </c>
      <c r="G12" s="64">
        <f ca="1">'Exhibit No.__(JAP-CAMP RD)'!C27</f>
        <v>621678726.339131</v>
      </c>
    </row>
    <row r="13" spans="1:16" ht="12.75" x14ac:dyDescent="0.2">
      <c r="A13" s="58">
        <f t="shared" si="0"/>
        <v>4</v>
      </c>
      <c r="B13" s="57"/>
      <c r="C13" s="57"/>
      <c r="D13" s="35"/>
      <c r="E13" s="35"/>
      <c r="F13" s="35"/>
      <c r="G13" s="35"/>
    </row>
    <row r="14" spans="1:16" ht="12.75" x14ac:dyDescent="0.2">
      <c r="A14" s="58">
        <f t="shared" si="0"/>
        <v>5</v>
      </c>
      <c r="B14" s="57" t="s">
        <v>506</v>
      </c>
      <c r="C14" s="58" t="str">
        <f>"("&amp;A10&amp;") / ("&amp;A12&amp;")"</f>
        <v>(1) / (3)</v>
      </c>
      <c r="D14" s="73">
        <f ca="1">ROUND(D10/D12,6)</f>
        <v>3.0348E-2</v>
      </c>
      <c r="E14" s="73">
        <f ca="1">ROUND(E10/E12,6)</f>
        <v>2.9503999999999999E-2</v>
      </c>
      <c r="F14" s="73">
        <f t="shared" ref="F14:G14" ca="1" si="1">ROUND(F10/F12,6)</f>
        <v>2.9680999999999999E-2</v>
      </c>
      <c r="G14" s="73">
        <f t="shared" ca="1" si="1"/>
        <v>1.7722000000000002E-2</v>
      </c>
    </row>
    <row r="15" spans="1:16" ht="12.75" x14ac:dyDescent="0.2">
      <c r="A15" s="52"/>
      <c r="B15" s="52"/>
      <c r="C15" s="52"/>
      <c r="D15" s="52"/>
      <c r="E15" s="52"/>
      <c r="F15" s="52"/>
      <c r="G15" s="52"/>
    </row>
    <row r="16" spans="1:16" ht="12.75" x14ac:dyDescent="0.2">
      <c r="A16" s="52"/>
      <c r="B16" s="57"/>
      <c r="C16" s="52"/>
      <c r="D16" s="13"/>
      <c r="E16" s="13"/>
      <c r="F16" s="13"/>
      <c r="G16" s="13"/>
    </row>
    <row r="17" spans="1:7" ht="12.75" x14ac:dyDescent="0.2">
      <c r="A17" s="52"/>
      <c r="B17" s="57"/>
      <c r="C17" s="52"/>
      <c r="D17" s="14"/>
      <c r="E17" s="14"/>
      <c r="F17" s="14"/>
      <c r="G17" s="14"/>
    </row>
    <row r="18" spans="1:7" ht="12.75" x14ac:dyDescent="0.2">
      <c r="A18" s="52"/>
      <c r="C18" s="52"/>
      <c r="D18" s="52"/>
      <c r="E18" s="52"/>
      <c r="F18" s="52"/>
      <c r="G18" s="52"/>
    </row>
    <row r="19" spans="1:7" ht="12.75" x14ac:dyDescent="0.2">
      <c r="D19" s="6"/>
      <c r="E19" s="6"/>
      <c r="F19" s="6"/>
      <c r="G19" s="6"/>
    </row>
    <row r="20" spans="1:7" ht="12.75" x14ac:dyDescent="0.2">
      <c r="D20" s="6"/>
      <c r="E20" s="6"/>
      <c r="F20" s="6"/>
      <c r="G20" s="6"/>
    </row>
    <row r="21" spans="1:7" ht="12.75" x14ac:dyDescent="0.2">
      <c r="D21" s="6"/>
      <c r="E21" s="6"/>
      <c r="F21" s="6"/>
      <c r="G21" s="6"/>
    </row>
    <row r="22" spans="1:7" ht="12.75" x14ac:dyDescent="0.2">
      <c r="D22" s="6"/>
      <c r="E22" s="6"/>
      <c r="F22" s="6"/>
      <c r="G22" s="6"/>
    </row>
    <row r="23" spans="1:7" ht="12.75" x14ac:dyDescent="0.2">
      <c r="D23" s="6"/>
      <c r="E23" s="6"/>
      <c r="F23" s="6"/>
      <c r="G23" s="6"/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4"/>
  <sheetViews>
    <sheetView zoomScaleNormal="100" workbookViewId="0">
      <selection activeCell="G26" sqref="G26"/>
    </sheetView>
  </sheetViews>
  <sheetFormatPr defaultColWidth="9.109375" defaultRowHeight="13.8" x14ac:dyDescent="0.3"/>
  <cols>
    <col min="1" max="1" width="5.33203125" style="51" customWidth="1"/>
    <col min="2" max="2" width="43.44140625" style="51" customWidth="1"/>
    <col min="3" max="3" width="15.5546875" style="51" customWidth="1"/>
    <col min="4" max="7" width="15.6640625" style="51" customWidth="1"/>
    <col min="8" max="9" width="9.109375" style="51" customWidth="1"/>
    <col min="10" max="10" width="9.109375" style="51"/>
    <col min="11" max="11" width="10.33203125" style="51" bestFit="1" customWidth="1"/>
    <col min="12" max="16384" width="9.109375" style="51"/>
  </cols>
  <sheetData>
    <row r="1" spans="1:18" ht="12.75" x14ac:dyDescent="0.2">
      <c r="A1" s="488" t="s">
        <v>17</v>
      </c>
      <c r="B1" s="488"/>
      <c r="C1" s="488"/>
      <c r="D1" s="488"/>
      <c r="E1" s="488"/>
      <c r="F1" s="488"/>
      <c r="G1" s="488"/>
      <c r="H1" s="42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 x14ac:dyDescent="0.2">
      <c r="A2" s="488" t="s">
        <v>47</v>
      </c>
      <c r="B2" s="488"/>
      <c r="C2" s="488"/>
      <c r="D2" s="488"/>
      <c r="E2" s="488"/>
      <c r="F2" s="488"/>
      <c r="G2" s="488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 x14ac:dyDescent="0.2">
      <c r="A3" s="488" t="s">
        <v>502</v>
      </c>
      <c r="B3" s="488"/>
      <c r="C3" s="488"/>
      <c r="D3" s="488"/>
      <c r="E3" s="488"/>
      <c r="F3" s="488"/>
      <c r="G3" s="488"/>
      <c r="H3" s="42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2.75" x14ac:dyDescent="0.2">
      <c r="A4" s="42"/>
      <c r="B4" s="42"/>
      <c r="C4" s="42"/>
      <c r="D4" s="94"/>
      <c r="E4" s="94"/>
      <c r="F4" s="95"/>
      <c r="G4" s="94"/>
      <c r="H4" s="94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 x14ac:dyDescent="0.2">
      <c r="A5" s="52"/>
      <c r="B5" s="52"/>
      <c r="C5" s="52"/>
      <c r="D5" s="52"/>
      <c r="E5" s="52"/>
      <c r="F5" s="52"/>
      <c r="G5" s="52"/>
      <c r="H5" s="52"/>
    </row>
    <row r="6" spans="1:18" ht="12.75" customHeight="1" x14ac:dyDescent="0.2">
      <c r="A6" s="52"/>
      <c r="B6" s="52"/>
      <c r="C6" s="52"/>
      <c r="D6" s="489" t="s">
        <v>303</v>
      </c>
      <c r="E6" s="490"/>
      <c r="F6" s="489" t="s">
        <v>305</v>
      </c>
      <c r="G6" s="490"/>
      <c r="H6" s="52"/>
    </row>
    <row r="7" spans="1:18" ht="12.75" customHeight="1" x14ac:dyDescent="0.2">
      <c r="A7" s="104" t="s">
        <v>311</v>
      </c>
      <c r="B7" s="52"/>
      <c r="C7" s="52"/>
      <c r="D7" s="105" t="s">
        <v>307</v>
      </c>
      <c r="E7" s="106" t="s">
        <v>308</v>
      </c>
      <c r="F7" s="105" t="s">
        <v>307</v>
      </c>
      <c r="G7" s="106" t="s">
        <v>308</v>
      </c>
      <c r="H7" s="52"/>
    </row>
    <row r="8" spans="1:18" ht="12.75" customHeight="1" x14ac:dyDescent="0.2">
      <c r="A8" s="99" t="s">
        <v>312</v>
      </c>
      <c r="B8" s="47"/>
      <c r="C8" s="99" t="s">
        <v>15</v>
      </c>
      <c r="D8" s="107" t="s">
        <v>309</v>
      </c>
      <c r="E8" s="108" t="s">
        <v>310</v>
      </c>
      <c r="F8" s="107" t="s">
        <v>309</v>
      </c>
      <c r="G8" s="108" t="s">
        <v>310</v>
      </c>
    </row>
    <row r="9" spans="1:18" ht="12.75" x14ac:dyDescent="0.2">
      <c r="A9" s="57"/>
      <c r="B9" s="58" t="s">
        <v>14</v>
      </c>
      <c r="C9" s="58" t="s">
        <v>13</v>
      </c>
      <c r="D9" s="58" t="s">
        <v>12</v>
      </c>
      <c r="E9" s="58" t="s">
        <v>11</v>
      </c>
      <c r="F9" s="58" t="s">
        <v>10</v>
      </c>
      <c r="G9" s="58" t="s">
        <v>9</v>
      </c>
    </row>
    <row r="10" spans="1:18" ht="12.75" x14ac:dyDescent="0.2">
      <c r="A10" s="58"/>
      <c r="B10" s="48"/>
      <c r="C10" s="58"/>
      <c r="D10" s="58"/>
      <c r="E10" s="58"/>
      <c r="F10" s="58"/>
      <c r="G10" s="58"/>
    </row>
    <row r="11" spans="1:18" ht="12.75" x14ac:dyDescent="0.2">
      <c r="A11" s="58">
        <v>1</v>
      </c>
      <c r="B11" s="57" t="s">
        <v>505</v>
      </c>
      <c r="C11" s="49" t="s">
        <v>553</v>
      </c>
      <c r="D11" s="50">
        <f ca="1">'JAP-41 Page 1'!$H$16*(('Exhibit No.__(JAP-SV RD)'!I73+'Exhibit No.__(JAP-SV RD)'!I96)/('Exhibit No.__(JAP-SV RD)'!I75+'Exhibit No.__(JAP-SV RD)'!I96+'Exhibit No.__(JAP-SV RD)'!I97))</f>
        <v>26974097.146215964</v>
      </c>
      <c r="E11" s="50">
        <f ca="1">'JAP-41 Page 1'!$H$16*(('Exhibit No.__(JAP-SV RD)'!I74+'Exhibit No.__(JAP-SV RD)'!I97)/('Exhibit No.__(JAP-SV RD)'!I75+'Exhibit No.__(JAP-SV RD)'!I96+'Exhibit No.__(JAP-SV RD)'!I97))</f>
        <v>18895859.989984449</v>
      </c>
      <c r="F11" s="50">
        <f ca="1">'JAP-41 Page 1'!$I$16*('Exhibit No.__(JAP-PV RD)'!I23/'Exhibit No.__(JAP-PV RD)'!I25)</f>
        <v>17754470.713265244</v>
      </c>
      <c r="G11" s="50">
        <f ca="1">'JAP-41 Page 1'!$I$16*('Exhibit No.__(JAP-PV RD)'!I24/'Exhibit No.__(JAP-PV RD)'!I25)</f>
        <v>12481439.346348014</v>
      </c>
      <c r="I11" s="45"/>
    </row>
    <row r="12" spans="1:18" ht="12.75" x14ac:dyDescent="0.2">
      <c r="A12" s="58">
        <f>A11+1</f>
        <v>2</v>
      </c>
      <c r="B12" s="57"/>
      <c r="C12" s="57"/>
      <c r="D12" s="57"/>
      <c r="E12" s="57"/>
      <c r="F12" s="57"/>
      <c r="G12" s="57"/>
    </row>
    <row r="13" spans="1:18" ht="12.75" x14ac:dyDescent="0.2">
      <c r="A13" s="58">
        <f t="shared" ref="A13:A15" si="0">A12+1</f>
        <v>3</v>
      </c>
      <c r="B13" s="57" t="s">
        <v>304</v>
      </c>
      <c r="C13" s="58" t="s">
        <v>552</v>
      </c>
      <c r="D13" s="64">
        <f ca="1">'Exhibit No.__(JAP-SV RD)'!C73+'Exhibit No.__(JAP-SV RD)'!C96</f>
        <v>2245260</v>
      </c>
      <c r="E13" s="64">
        <f ca="1">'Exhibit No.__(JAP-SV RD)'!C74+'Exhibit No.__(JAP-SV RD)'!C97</f>
        <v>2359270</v>
      </c>
      <c r="F13" s="64">
        <f ca="1">'Exhibit No.__(JAP-PV RD)'!C23</f>
        <v>1595334</v>
      </c>
      <c r="G13" s="64">
        <f ca="1">'Exhibit No.__(JAP-PV RD)'!C24</f>
        <v>1682286</v>
      </c>
    </row>
    <row r="14" spans="1:18" ht="12.75" x14ac:dyDescent="0.2">
      <c r="A14" s="58">
        <f t="shared" si="0"/>
        <v>4</v>
      </c>
      <c r="B14" s="57"/>
      <c r="C14" s="57"/>
      <c r="D14" s="35"/>
      <c r="E14" s="35"/>
      <c r="F14" s="35"/>
      <c r="G14" s="35"/>
    </row>
    <row r="15" spans="1:18" ht="12.75" x14ac:dyDescent="0.2">
      <c r="A15" s="58">
        <f t="shared" si="0"/>
        <v>5</v>
      </c>
      <c r="B15" s="57" t="s">
        <v>507</v>
      </c>
      <c r="C15" s="58" t="str">
        <f>"("&amp;A11&amp;") / ("&amp;A13&amp;")"</f>
        <v>(1) / (3)</v>
      </c>
      <c r="D15" s="71">
        <f ca="1">ROUND(D11/D13,2)</f>
        <v>12.01</v>
      </c>
      <c r="E15" s="71">
        <f ca="1">ROUND(E11/E13,2)</f>
        <v>8.01</v>
      </c>
      <c r="F15" s="71">
        <f ca="1">ROUND(F11/F13,2)</f>
        <v>11.13</v>
      </c>
      <c r="G15" s="71">
        <f ca="1">ROUND(G11/G13,2)</f>
        <v>7.42</v>
      </c>
    </row>
    <row r="16" spans="1:18" ht="12.75" x14ac:dyDescent="0.2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2.75" x14ac:dyDescent="0.2">
      <c r="A17" s="52"/>
      <c r="B17" s="57"/>
      <c r="C17" s="52"/>
      <c r="D17" s="13"/>
      <c r="E17" s="13"/>
      <c r="F17" s="13"/>
      <c r="G17" s="13"/>
      <c r="H17" s="13"/>
      <c r="I17" s="52"/>
    </row>
    <row r="18" spans="1:9" ht="12.75" x14ac:dyDescent="0.2">
      <c r="A18" s="52"/>
      <c r="B18" s="57"/>
      <c r="C18" s="52"/>
      <c r="D18" s="14"/>
      <c r="E18" s="14"/>
      <c r="F18" s="14"/>
      <c r="G18" s="14"/>
      <c r="H18" s="14"/>
      <c r="I18" s="52"/>
    </row>
    <row r="19" spans="1:9" ht="12.75" x14ac:dyDescent="0.2">
      <c r="A19" s="52"/>
      <c r="C19" s="52"/>
      <c r="D19" s="52"/>
      <c r="E19" s="52"/>
      <c r="F19" s="52"/>
      <c r="G19" s="52"/>
      <c r="H19" s="52"/>
      <c r="I19" s="52"/>
    </row>
    <row r="20" spans="1:9" ht="12.75" x14ac:dyDescent="0.2">
      <c r="D20" s="6"/>
      <c r="E20" s="6"/>
      <c r="F20" s="6"/>
      <c r="G20" s="6"/>
      <c r="H20" s="6"/>
    </row>
    <row r="21" spans="1:9" ht="12.75" x14ac:dyDescent="0.2">
      <c r="D21" s="6"/>
      <c r="E21" s="6"/>
      <c r="F21" s="6"/>
      <c r="G21" s="6"/>
      <c r="H21" s="6"/>
    </row>
    <row r="22" spans="1:9" ht="12.75" x14ac:dyDescent="0.2">
      <c r="D22" s="6"/>
      <c r="E22" s="6"/>
      <c r="F22" s="6"/>
      <c r="G22" s="6"/>
      <c r="H22" s="6"/>
    </row>
    <row r="23" spans="1:9" ht="12.75" x14ac:dyDescent="0.2">
      <c r="D23" s="6"/>
      <c r="E23" s="6"/>
      <c r="F23" s="6"/>
      <c r="G23" s="6"/>
      <c r="H23" s="6"/>
    </row>
    <row r="24" spans="1:9" ht="12.75" x14ac:dyDescent="0.2">
      <c r="D24" s="6"/>
      <c r="E24" s="6"/>
      <c r="F24" s="6"/>
      <c r="G24" s="6"/>
      <c r="H24" s="6"/>
    </row>
  </sheetData>
  <mergeCells count="5">
    <mergeCell ref="A1:G1"/>
    <mergeCell ref="A2:G2"/>
    <mergeCell ref="A3:G3"/>
    <mergeCell ref="D6:E6"/>
    <mergeCell ref="F6:G6"/>
  </mergeCells>
  <printOptions horizontalCentered="1"/>
  <pageMargins left="0.7" right="0.7" top="0.75" bottom="0.75" header="0.3" footer="0.3"/>
  <pageSetup scale="85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6"/>
  <sheetViews>
    <sheetView zoomScaleNormal="100" workbookViewId="0">
      <pane xSplit="4" ySplit="7" topLeftCell="E20" activePane="bottomRight" state="frozen"/>
      <selection activeCell="F25" sqref="F25"/>
      <selection pane="topRight" activeCell="F25" sqref="F25"/>
      <selection pane="bottomLeft" activeCell="F25" sqref="F25"/>
      <selection pane="bottomRight" activeCell="C59" sqref="C59"/>
    </sheetView>
  </sheetViews>
  <sheetFormatPr defaultColWidth="9.109375" defaultRowHeight="13.2" x14ac:dyDescent="0.25"/>
  <cols>
    <col min="1" max="1" width="5.33203125" style="1" customWidth="1"/>
    <col min="2" max="2" width="2.6640625" style="1" customWidth="1"/>
    <col min="3" max="3" width="43.109375" style="1" customWidth="1"/>
    <col min="4" max="4" width="14.109375" style="2" bestFit="1" customWidth="1"/>
    <col min="5" max="7" width="14" style="2" bestFit="1" customWidth="1"/>
    <col min="8" max="8" width="12.33203125" style="2" customWidth="1"/>
    <col min="9" max="14" width="12.33203125" style="1" customWidth="1"/>
    <col min="15" max="16" width="14" style="1" bestFit="1" customWidth="1"/>
    <col min="17" max="18" width="13.88671875" style="1" bestFit="1" customWidth="1"/>
    <col min="19" max="16384" width="9.109375" style="1"/>
  </cols>
  <sheetData>
    <row r="1" spans="1:18" ht="12.75" x14ac:dyDescent="0.2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8" ht="12.75" x14ac:dyDescent="0.2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1:18" ht="12.75" x14ac:dyDescent="0.2">
      <c r="A3" s="488" t="s">
        <v>43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</row>
    <row r="4" spans="1:18" ht="12.75" x14ac:dyDescent="0.2">
      <c r="A4" s="7"/>
      <c r="B4" s="7"/>
      <c r="C4" s="7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</row>
    <row r="5" spans="1:18" ht="12.75" x14ac:dyDescent="0.2">
      <c r="A5" s="7"/>
      <c r="B5" s="7"/>
      <c r="C5" s="7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</row>
    <row r="6" spans="1:18" ht="38.25" x14ac:dyDescent="0.2">
      <c r="A6" s="11" t="s">
        <v>16</v>
      </c>
      <c r="B6" s="11"/>
      <c r="C6" s="12"/>
      <c r="D6" s="19" t="s">
        <v>15</v>
      </c>
      <c r="E6" s="20" t="s">
        <v>26</v>
      </c>
      <c r="F6" s="20" t="s">
        <v>27</v>
      </c>
      <c r="G6" s="20" t="s">
        <v>28</v>
      </c>
      <c r="H6" s="20" t="s">
        <v>29</v>
      </c>
      <c r="I6" s="20" t="s">
        <v>30</v>
      </c>
      <c r="J6" s="20" t="s">
        <v>31</v>
      </c>
      <c r="K6" s="20" t="s">
        <v>32</v>
      </c>
      <c r="L6" s="20" t="s">
        <v>33</v>
      </c>
      <c r="M6" s="20" t="s">
        <v>34</v>
      </c>
      <c r="N6" s="20" t="s">
        <v>35</v>
      </c>
      <c r="O6" s="20" t="s">
        <v>36</v>
      </c>
      <c r="P6" s="20" t="s">
        <v>37</v>
      </c>
      <c r="Q6" s="11" t="s">
        <v>38</v>
      </c>
    </row>
    <row r="7" spans="1:18" ht="12.75" x14ac:dyDescent="0.2">
      <c r="A7" s="7"/>
      <c r="B7" s="7"/>
      <c r="C7" s="8" t="s">
        <v>14</v>
      </c>
      <c r="D7" s="8" t="s">
        <v>13</v>
      </c>
      <c r="E7" s="8" t="s">
        <v>12</v>
      </c>
      <c r="F7" s="8" t="s">
        <v>11</v>
      </c>
      <c r="G7" s="8" t="s">
        <v>10</v>
      </c>
      <c r="H7" s="8" t="s">
        <v>9</v>
      </c>
      <c r="I7" s="8" t="s">
        <v>8</v>
      </c>
      <c r="J7" s="8" t="s">
        <v>7</v>
      </c>
      <c r="K7" s="8" t="s">
        <v>6</v>
      </c>
      <c r="L7" s="8" t="s">
        <v>5</v>
      </c>
      <c r="M7" s="8" t="s">
        <v>4</v>
      </c>
      <c r="N7" s="8" t="s">
        <v>3</v>
      </c>
      <c r="O7" s="8" t="s">
        <v>2</v>
      </c>
      <c r="P7" s="8" t="s">
        <v>1</v>
      </c>
      <c r="Q7" s="8" t="s">
        <v>25</v>
      </c>
    </row>
    <row r="8" spans="1:18" ht="12.75" x14ac:dyDescent="0.2">
      <c r="A8" s="8"/>
      <c r="B8" s="21" t="s">
        <v>45</v>
      </c>
      <c r="C8" s="16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7"/>
    </row>
    <row r="9" spans="1:18" ht="12.75" x14ac:dyDescent="0.2">
      <c r="A9" s="8">
        <v>1</v>
      </c>
      <c r="B9" s="31" t="s">
        <v>56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/>
    </row>
    <row r="10" spans="1:18" ht="12.75" x14ac:dyDescent="0.2">
      <c r="A10" s="8">
        <f t="shared" ref="A10:A56" si="0">A9+1</f>
        <v>2</v>
      </c>
      <c r="B10" s="8"/>
      <c r="C10" s="7" t="s">
        <v>238</v>
      </c>
      <c r="D10" s="49" t="s">
        <v>551</v>
      </c>
      <c r="E10" s="64">
        <f ca="1">'Delivered kWh'!H7</f>
        <v>1225806465.9287825</v>
      </c>
      <c r="F10" s="64">
        <f ca="1">'Delivered kWh'!I7</f>
        <v>1038920912.9571128</v>
      </c>
      <c r="G10" s="64">
        <f ca="1">'Delivered kWh'!J7</f>
        <v>1001139736.2453095</v>
      </c>
      <c r="H10" s="64">
        <f ca="1">'Delivered kWh'!K7</f>
        <v>795874664.78726423</v>
      </c>
      <c r="I10" s="64">
        <f ca="1">'Delivered kWh'!L7</f>
        <v>715559108.06809902</v>
      </c>
      <c r="J10" s="64">
        <f ca="1">'Delivered kWh'!M7</f>
        <v>618674823.07889044</v>
      </c>
      <c r="K10" s="64">
        <f ca="1">'Delivered kWh'!N7</f>
        <v>693231423.69833016</v>
      </c>
      <c r="L10" s="64">
        <f ca="1">'Delivered kWh'!O7</f>
        <v>671821991.57801056</v>
      </c>
      <c r="M10" s="64">
        <f ca="1">'Delivered kWh'!P7</f>
        <v>615495906.36459756</v>
      </c>
      <c r="N10" s="64">
        <f ca="1">'Delivered kWh'!E7</f>
        <v>788389063.69857621</v>
      </c>
      <c r="O10" s="64">
        <f ca="1">'Delivered kWh'!F7</f>
        <v>1028566034.8299937</v>
      </c>
      <c r="P10" s="64">
        <f ca="1">'Delivered kWh'!G7</f>
        <v>1248946353.8319292</v>
      </c>
      <c r="Q10" s="23">
        <f ca="1">SUM(E10:P10)</f>
        <v>10442426485.066895</v>
      </c>
      <c r="R10" s="4"/>
    </row>
    <row r="11" spans="1:18" ht="12.75" x14ac:dyDescent="0.2">
      <c r="A11" s="8">
        <f t="shared" si="0"/>
        <v>3</v>
      </c>
      <c r="B11" s="8"/>
      <c r="C11" s="7" t="s">
        <v>44</v>
      </c>
      <c r="D11" s="69" t="s">
        <v>513</v>
      </c>
      <c r="E11" s="24">
        <f t="shared" ref="E11:P11" ca="1" si="1">E10/$Q10</f>
        <v>0.11738712910085954</v>
      </c>
      <c r="F11" s="24">
        <f t="shared" ca="1" si="1"/>
        <v>9.949037366390015E-2</v>
      </c>
      <c r="G11" s="24">
        <f t="shared" ca="1" si="1"/>
        <v>9.5872327918897118E-2</v>
      </c>
      <c r="H11" s="24">
        <f t="shared" ca="1" si="1"/>
        <v>7.621549128695311E-2</v>
      </c>
      <c r="I11" s="24">
        <f t="shared" ca="1" si="1"/>
        <v>6.8524217919214314E-2</v>
      </c>
      <c r="J11" s="24">
        <f t="shared" ca="1" si="1"/>
        <v>5.9246270391620302E-2</v>
      </c>
      <c r="K11" s="24">
        <f t="shared" ca="1" si="1"/>
        <v>6.638604779163923E-2</v>
      </c>
      <c r="L11" s="24">
        <f t="shared" ca="1" si="1"/>
        <v>6.4335812422404312E-2</v>
      </c>
      <c r="M11" s="24">
        <f t="shared" ca="1" si="1"/>
        <v>5.8941847208096927E-2</v>
      </c>
      <c r="N11" s="24">
        <f t="shared" ca="1" si="1"/>
        <v>7.5498646298923486E-2</v>
      </c>
      <c r="O11" s="24">
        <f t="shared" ca="1" si="1"/>
        <v>9.8498757573336621E-2</v>
      </c>
      <c r="P11" s="24">
        <f t="shared" ca="1" si="1"/>
        <v>0.11960307842415502</v>
      </c>
      <c r="Q11" s="24">
        <f ca="1">SUM(E11:P11)</f>
        <v>1</v>
      </c>
    </row>
    <row r="12" spans="1:18" ht="12.75" x14ac:dyDescent="0.2">
      <c r="A12" s="8">
        <f t="shared" si="0"/>
        <v>4</v>
      </c>
      <c r="B12" s="8"/>
      <c r="C12" s="7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8" ht="12.75" x14ac:dyDescent="0.2">
      <c r="A13" s="8">
        <f t="shared" si="0"/>
        <v>5</v>
      </c>
      <c r="B13" s="31" t="s">
        <v>69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8" ht="12.75" x14ac:dyDescent="0.2">
      <c r="A14" s="8">
        <f t="shared" si="0"/>
        <v>6</v>
      </c>
      <c r="B14" s="8"/>
      <c r="C14" s="7" t="str">
        <f>C10</f>
        <v>Weather-Normalized kWh Sales (Oct15-Sep16)</v>
      </c>
      <c r="D14" s="49" t="s">
        <v>551</v>
      </c>
      <c r="E14" s="64">
        <f ca="1">'Delivered kWh'!H11</f>
        <v>281640441.24406934</v>
      </c>
      <c r="F14" s="64">
        <f ca="1">'Delivered kWh'!I11</f>
        <v>229077398.29324535</v>
      </c>
      <c r="G14" s="64">
        <f ca="1">'Delivered kWh'!J11</f>
        <v>253484969.25955233</v>
      </c>
      <c r="H14" s="64">
        <f ca="1">'Delivered kWh'!K11</f>
        <v>204141936.02314135</v>
      </c>
      <c r="I14" s="64">
        <f ca="1">'Delivered kWh'!L11</f>
        <v>220142117.8939862</v>
      </c>
      <c r="J14" s="64">
        <f ca="1">'Delivered kWh'!M11</f>
        <v>204102525.23337504</v>
      </c>
      <c r="K14" s="64">
        <f ca="1">'Delivered kWh'!N11</f>
        <v>225364756.61116701</v>
      </c>
      <c r="L14" s="64">
        <f ca="1">'Delivered kWh'!O11</f>
        <v>235005860.14518324</v>
      </c>
      <c r="M14" s="64">
        <f ca="1">'Delivered kWh'!P11</f>
        <v>215988619.95737374</v>
      </c>
      <c r="N14" s="64">
        <f ca="1">'Delivered kWh'!E11</f>
        <v>215710510.70449299</v>
      </c>
      <c r="O14" s="64">
        <f ca="1">'Delivered kWh'!F11</f>
        <v>233750370.5283455</v>
      </c>
      <c r="P14" s="64">
        <f ca="1">'Delivered kWh'!G11</f>
        <v>269174607.97716194</v>
      </c>
      <c r="Q14" s="23">
        <f ca="1">SUM(E14:P14)</f>
        <v>2787584113.8710942</v>
      </c>
      <c r="R14" s="4"/>
    </row>
    <row r="15" spans="1:18" ht="12.75" x14ac:dyDescent="0.2">
      <c r="A15" s="8">
        <f t="shared" si="0"/>
        <v>7</v>
      </c>
      <c r="B15" s="8"/>
      <c r="C15" s="7" t="s">
        <v>44</v>
      </c>
      <c r="D15" s="49" t="s">
        <v>514</v>
      </c>
      <c r="E15" s="27">
        <f t="shared" ref="E15:P15" ca="1" si="2">E14/$Q14</f>
        <v>0.10103388085856095</v>
      </c>
      <c r="F15" s="27">
        <f t="shared" ca="1" si="2"/>
        <v>8.2177752826668074E-2</v>
      </c>
      <c r="G15" s="27">
        <f t="shared" ca="1" si="2"/>
        <v>9.0933567887047512E-2</v>
      </c>
      <c r="H15" s="27">
        <f t="shared" ca="1" si="2"/>
        <v>7.3232565434465477E-2</v>
      </c>
      <c r="I15" s="27">
        <f t="shared" ca="1" si="2"/>
        <v>7.897236779279701E-2</v>
      </c>
      <c r="J15" s="27">
        <f t="shared" ca="1" si="2"/>
        <v>7.3218427461168023E-2</v>
      </c>
      <c r="K15" s="27">
        <f t="shared" ca="1" si="2"/>
        <v>8.0845903623049747E-2</v>
      </c>
      <c r="L15" s="27">
        <f t="shared" ca="1" si="2"/>
        <v>8.4304491109627039E-2</v>
      </c>
      <c r="M15" s="27">
        <f t="shared" ca="1" si="2"/>
        <v>7.7482368651266342E-2</v>
      </c>
      <c r="N15" s="27">
        <f t="shared" ca="1" si="2"/>
        <v>7.7382601526214623E-2</v>
      </c>
      <c r="O15" s="27">
        <f t="shared" ca="1" si="2"/>
        <v>8.3854104837661148E-2</v>
      </c>
      <c r="P15" s="27">
        <f t="shared" ca="1" si="2"/>
        <v>9.6561967991473971E-2</v>
      </c>
      <c r="Q15" s="27">
        <f ca="1">SUM(E15:P15)</f>
        <v>0.99999999999999978</v>
      </c>
    </row>
    <row r="16" spans="1:18" ht="12.75" x14ac:dyDescent="0.2">
      <c r="A16" s="8">
        <f t="shared" si="0"/>
        <v>8</v>
      </c>
      <c r="B16" s="8"/>
      <c r="C16" s="7"/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2" customFormat="1" ht="12.75" x14ac:dyDescent="0.2">
      <c r="A17" s="58">
        <f t="shared" si="0"/>
        <v>9</v>
      </c>
      <c r="B17" s="54" t="s">
        <v>317</v>
      </c>
      <c r="D17" s="34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53"/>
    </row>
    <row r="18" spans="1:17" s="32" customFormat="1" ht="12.75" x14ac:dyDescent="0.2">
      <c r="A18" s="58">
        <f t="shared" si="0"/>
        <v>10</v>
      </c>
      <c r="B18" s="34"/>
      <c r="C18" s="41" t="str">
        <f>C10</f>
        <v>Weather-Normalized kWh Sales (Oct15-Sep16)</v>
      </c>
      <c r="D18" s="49" t="s">
        <v>551</v>
      </c>
      <c r="E18" s="64">
        <f ca="1">SUM('Delivered kWh'!H8,'Delivered kWh'!H12,'Delivered kWh'!H15,'Delivered kWh'!H19,'Delivered kWh'!H20)</f>
        <v>267613345.64547846</v>
      </c>
      <c r="F18" s="64">
        <f ca="1">SUM('Delivered kWh'!I8,'Delivered kWh'!I12,'Delivered kWh'!I15,'Delivered kWh'!I19,'Delivered kWh'!I20)</f>
        <v>245397026.67447519</v>
      </c>
      <c r="G18" s="64">
        <f ca="1">SUM('Delivered kWh'!J8,'Delivered kWh'!J12,'Delivered kWh'!J15,'Delivered kWh'!J19,'Delivered kWh'!J20)</f>
        <v>268565291.70652598</v>
      </c>
      <c r="H18" s="64">
        <f ca="1">SUM('Delivered kWh'!K8,'Delivered kWh'!K12,'Delivered kWh'!K15,'Delivered kWh'!K19,'Delivered kWh'!K20)</f>
        <v>213863374.52241391</v>
      </c>
      <c r="I18" s="64">
        <f ca="1">SUM('Delivered kWh'!L8,'Delivered kWh'!L12,'Delivered kWh'!L15,'Delivered kWh'!L19,'Delivered kWh'!L20)</f>
        <v>228622008.49373269</v>
      </c>
      <c r="J18" s="64">
        <f ca="1">SUM('Delivered kWh'!M8,'Delivered kWh'!M12,'Delivered kWh'!M15,'Delivered kWh'!M19,'Delivered kWh'!M20)</f>
        <v>243487500.80227262</v>
      </c>
      <c r="K18" s="64">
        <f ca="1">SUM('Delivered kWh'!N8,'Delivered kWh'!N12,'Delivered kWh'!N15,'Delivered kWh'!N19,'Delivered kWh'!N20)</f>
        <v>249418126.66181687</v>
      </c>
      <c r="L18" s="64">
        <f ca="1">SUM('Delivered kWh'!O8,'Delivered kWh'!O12,'Delivered kWh'!O15,'Delivered kWh'!O19,'Delivered kWh'!O20)</f>
        <v>237571803.53498957</v>
      </c>
      <c r="M18" s="64">
        <f ca="1">SUM('Delivered kWh'!P8,'Delivered kWh'!P12,'Delivered kWh'!P15,'Delivered kWh'!P19,'Delivered kWh'!P20)</f>
        <v>253516474.06788689</v>
      </c>
      <c r="N18" s="64">
        <f ca="1">SUM('Delivered kWh'!E8,'Delivered kWh'!E12,'Delivered kWh'!E15,'Delivered kWh'!E19,'Delivered kWh'!E20)</f>
        <v>241618524.52650315</v>
      </c>
      <c r="O18" s="64">
        <f ca="1">SUM('Delivered kWh'!F8,'Delivered kWh'!F12,'Delivered kWh'!F15,'Delivered kWh'!F19,'Delivered kWh'!F20)</f>
        <v>246589455.65272796</v>
      </c>
      <c r="P18" s="64">
        <f ca="1">SUM('Delivered kWh'!G8,'Delivered kWh'!G12,'Delivered kWh'!G15,'Delivered kWh'!G19,'Delivered kWh'!G20)</f>
        <v>281635856.03703481</v>
      </c>
      <c r="Q18" s="23">
        <f ca="1">SUM(E18:P18)</f>
        <v>2977898788.3258586</v>
      </c>
    </row>
    <row r="19" spans="1:17" s="32" customFormat="1" ht="12.75" x14ac:dyDescent="0.2">
      <c r="A19" s="58">
        <f t="shared" si="0"/>
        <v>11</v>
      </c>
      <c r="B19" s="34"/>
      <c r="C19" s="41" t="s">
        <v>44</v>
      </c>
      <c r="D19" s="69" t="s">
        <v>515</v>
      </c>
      <c r="E19" s="46">
        <f t="shared" ref="E19:P19" ca="1" si="3">E18/$Q18</f>
        <v>8.9866501405149402E-2</v>
      </c>
      <c r="F19" s="46">
        <f t="shared" ca="1" si="3"/>
        <v>8.2406100447904973E-2</v>
      </c>
      <c r="G19" s="46">
        <f t="shared" ca="1" si="3"/>
        <v>9.0186171793135511E-2</v>
      </c>
      <c r="H19" s="46">
        <f t="shared" ca="1" si="3"/>
        <v>7.181687146682561E-2</v>
      </c>
      <c r="I19" s="46">
        <f t="shared" ca="1" si="3"/>
        <v>7.6772927740187374E-2</v>
      </c>
      <c r="J19" s="46">
        <f t="shared" ca="1" si="3"/>
        <v>8.1764867817807396E-2</v>
      </c>
      <c r="K19" s="46">
        <f t="shared" ca="1" si="3"/>
        <v>8.3756414972732146E-2</v>
      </c>
      <c r="L19" s="46">
        <f t="shared" ca="1" si="3"/>
        <v>7.9778333792381764E-2</v>
      </c>
      <c r="M19" s="46">
        <f t="shared" ca="1" si="3"/>
        <v>8.513266974073723E-2</v>
      </c>
      <c r="N19" s="46">
        <f t="shared" ca="1" si="3"/>
        <v>8.1137252036137322E-2</v>
      </c>
      <c r="O19" s="46">
        <f t="shared" ca="1" si="3"/>
        <v>8.2806526742756695E-2</v>
      </c>
      <c r="P19" s="46">
        <f t="shared" ca="1" si="3"/>
        <v>9.457536204424441E-2</v>
      </c>
      <c r="Q19" s="46">
        <f ca="1">SUM(E19:P19)</f>
        <v>0.99999999999999978</v>
      </c>
    </row>
    <row r="20" spans="1:17" s="32" customFormat="1" ht="12.75" x14ac:dyDescent="0.2">
      <c r="A20" s="58">
        <f t="shared" si="0"/>
        <v>12</v>
      </c>
      <c r="B20" s="34"/>
      <c r="C20" s="41"/>
      <c r="D20" s="4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32" customFormat="1" ht="12.75" x14ac:dyDescent="0.2">
      <c r="A21" s="58">
        <f t="shared" si="0"/>
        <v>13</v>
      </c>
      <c r="B21" s="54" t="s">
        <v>617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32" customFormat="1" ht="12.75" x14ac:dyDescent="0.2">
      <c r="A22" s="58">
        <f t="shared" si="0"/>
        <v>14</v>
      </c>
      <c r="B22" s="34"/>
      <c r="C22" s="41" t="str">
        <f>C10</f>
        <v>Weather-Normalized kWh Sales (Oct15-Sep16)</v>
      </c>
      <c r="D22" s="49" t="s">
        <v>551</v>
      </c>
      <c r="E22" s="64">
        <f ca="1">'Delivered kWh'!H23</f>
        <v>57172868.537418649</v>
      </c>
      <c r="F22" s="64">
        <f ca="1">'Delivered kWh'!I23</f>
        <v>44963441.933640912</v>
      </c>
      <c r="G22" s="64">
        <f ca="1">'Delivered kWh'!J23</f>
        <v>45820828.074154593</v>
      </c>
      <c r="H22" s="64">
        <f ca="1">'Delivered kWh'!K23</f>
        <v>45739724.977565609</v>
      </c>
      <c r="I22" s="64">
        <f ca="1">'Delivered kWh'!L23</f>
        <v>58590734.122435242</v>
      </c>
      <c r="J22" s="64">
        <f ca="1">'Delivered kWh'!M23</f>
        <v>49835181.137705147</v>
      </c>
      <c r="K22" s="64">
        <f ca="1">'Delivered kWh'!N23</f>
        <v>50172203.627229638</v>
      </c>
      <c r="L22" s="64">
        <f ca="1">'Delivered kWh'!O23</f>
        <v>64817278.500200994</v>
      </c>
      <c r="M22" s="64">
        <f ca="1">'Delivered kWh'!P23</f>
        <v>46141317.431857787</v>
      </c>
      <c r="N22" s="64">
        <f ca="1">'Delivered kWh'!E23</f>
        <v>53144004.08998695</v>
      </c>
      <c r="O22" s="64">
        <f ca="1">'Delivered kWh'!F23</f>
        <v>48441755.184000134</v>
      </c>
      <c r="P22" s="64">
        <f ca="1">'Delivered kWh'!G23</f>
        <v>56839388.722935259</v>
      </c>
      <c r="Q22" s="23">
        <f ca="1">SUM(E22:P22)</f>
        <v>621678726.33913088</v>
      </c>
    </row>
    <row r="23" spans="1:17" s="32" customFormat="1" ht="12.75" x14ac:dyDescent="0.2">
      <c r="A23" s="58">
        <f t="shared" si="0"/>
        <v>15</v>
      </c>
      <c r="B23" s="34"/>
      <c r="C23" s="41" t="s">
        <v>44</v>
      </c>
      <c r="D23" s="49" t="s">
        <v>516</v>
      </c>
      <c r="E23" s="38">
        <f t="shared" ref="E23:P23" ca="1" si="4">E22/$Q22</f>
        <v>9.1965296728249921E-2</v>
      </c>
      <c r="F23" s="38">
        <f t="shared" ca="1" si="4"/>
        <v>7.232584939558151E-2</v>
      </c>
      <c r="G23" s="38">
        <f t="shared" ca="1" si="4"/>
        <v>7.370499605797827E-2</v>
      </c>
      <c r="H23" s="38">
        <f t="shared" ca="1" si="4"/>
        <v>7.357453784354559E-2</v>
      </c>
      <c r="I23" s="38">
        <f t="shared" ca="1" si="4"/>
        <v>9.4246001415325117E-2</v>
      </c>
      <c r="J23" s="38">
        <f t="shared" ca="1" si="4"/>
        <v>8.0162275185398008E-2</v>
      </c>
      <c r="K23" s="38">
        <f t="shared" ca="1" si="4"/>
        <v>8.070439199790197E-2</v>
      </c>
      <c r="L23" s="38">
        <f t="shared" ca="1" si="4"/>
        <v>0.10426169620100952</v>
      </c>
      <c r="M23" s="38">
        <f t="shared" ca="1" si="4"/>
        <v>7.4220518536269361E-2</v>
      </c>
      <c r="N23" s="38">
        <f t="shared" ca="1" si="4"/>
        <v>8.5484675344989131E-2</v>
      </c>
      <c r="O23" s="38">
        <f t="shared" ca="1" si="4"/>
        <v>7.7920882815563419E-2</v>
      </c>
      <c r="P23" s="38">
        <f t="shared" ca="1" si="4"/>
        <v>9.1428878478188272E-2</v>
      </c>
      <c r="Q23" s="38">
        <f ca="1">SUM(E23:P23)</f>
        <v>1.0000000000000002</v>
      </c>
    </row>
    <row r="24" spans="1:17" s="32" customFormat="1" ht="12.75" x14ac:dyDescent="0.2">
      <c r="A24" s="58">
        <f t="shared" si="0"/>
        <v>16</v>
      </c>
      <c r="B24" s="58"/>
      <c r="C24" s="57"/>
      <c r="D24" s="4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2" customFormat="1" ht="12.75" x14ac:dyDescent="0.2">
      <c r="A25" s="58">
        <f t="shared" si="0"/>
        <v>17</v>
      </c>
      <c r="B25" s="54" t="s">
        <v>181</v>
      </c>
      <c r="C25" s="41"/>
      <c r="D25" s="3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53"/>
    </row>
    <row r="26" spans="1:17" s="32" customFormat="1" ht="12.75" x14ac:dyDescent="0.2">
      <c r="A26" s="58">
        <f t="shared" si="0"/>
        <v>18</v>
      </c>
      <c r="B26" s="34"/>
      <c r="C26" s="62" t="s">
        <v>239</v>
      </c>
      <c r="D26" s="49" t="s">
        <v>551</v>
      </c>
      <c r="E26" s="68">
        <f ca="1">'Tariff 26'!H58+'Tariff 26P'!H43</f>
        <v>4187107</v>
      </c>
      <c r="F26" s="68">
        <f ca="1">'Tariff 26'!I58+'Tariff 26P'!I43</f>
        <v>4629541</v>
      </c>
      <c r="G26" s="68">
        <f ca="1">'Tariff 26'!J58+'Tariff 26P'!J43</f>
        <v>4140096</v>
      </c>
      <c r="H26" s="68">
        <f ca="1">'Tariff 26'!K58+'Tariff 26P'!K43</f>
        <v>3626230</v>
      </c>
      <c r="I26" s="68">
        <f ca="1">'Tariff 26'!L58+'Tariff 26P'!L43</f>
        <v>2913606</v>
      </c>
      <c r="J26" s="68">
        <f ca="1">'Tariff 26'!M58+'Tariff 26P'!M43</f>
        <v>3077880</v>
      </c>
      <c r="K26" s="68">
        <f ca="1">'Tariff 26'!N58+'Tariff 26P'!N43</f>
        <v>3183405</v>
      </c>
      <c r="L26" s="68">
        <f ca="1">'Tariff 26'!O58+'Tariff 26P'!O43</f>
        <v>3144315</v>
      </c>
      <c r="M26" s="68">
        <f ca="1">'Tariff 26'!P58+'Tariff 26P'!P43</f>
        <v>3380180</v>
      </c>
      <c r="N26" s="68">
        <f ca="1">'Tariff 26'!E58+'Tariff 26P'!E43</f>
        <v>3558021</v>
      </c>
      <c r="O26" s="68">
        <f ca="1">'Tariff 26'!F58+'Tariff 26P'!F43</f>
        <v>4055628</v>
      </c>
      <c r="P26" s="68">
        <f ca="1">'Tariff 26'!G58+'Tariff 26P'!G43</f>
        <v>4558334</v>
      </c>
      <c r="Q26" s="63">
        <f ca="1">SUM(E26:P26)</f>
        <v>44454343</v>
      </c>
    </row>
    <row r="27" spans="1:17" s="32" customFormat="1" ht="12.75" x14ac:dyDescent="0.2">
      <c r="A27" s="58">
        <f t="shared" si="0"/>
        <v>19</v>
      </c>
      <c r="B27" s="34"/>
      <c r="C27" s="41" t="s">
        <v>44</v>
      </c>
      <c r="D27" s="69" t="s">
        <v>517</v>
      </c>
      <c r="E27" s="46">
        <f t="shared" ref="E27:P27" ca="1" si="5">E26/$Q26</f>
        <v>9.4188929976987856E-2</v>
      </c>
      <c r="F27" s="46">
        <f t="shared" ca="1" si="5"/>
        <v>0.10414147837029107</v>
      </c>
      <c r="G27" s="46">
        <f t="shared" ca="1" si="5"/>
        <v>9.3131418003410821E-2</v>
      </c>
      <c r="H27" s="46">
        <f t="shared" ca="1" si="5"/>
        <v>8.157200748642264E-2</v>
      </c>
      <c r="I27" s="46">
        <f t="shared" ca="1" si="5"/>
        <v>6.554153775256559E-2</v>
      </c>
      <c r="J27" s="46">
        <f t="shared" ca="1" si="5"/>
        <v>6.9236879735237566E-2</v>
      </c>
      <c r="K27" s="46">
        <f t="shared" ca="1" si="5"/>
        <v>7.1610663552040349E-2</v>
      </c>
      <c r="L27" s="46">
        <f t="shared" ca="1" si="5"/>
        <v>7.0731334394032092E-2</v>
      </c>
      <c r="M27" s="46">
        <f t="shared" ca="1" si="5"/>
        <v>7.6037115203794595E-2</v>
      </c>
      <c r="N27" s="46">
        <f t="shared" ca="1" si="5"/>
        <v>8.003764671541766E-2</v>
      </c>
      <c r="O27" s="46">
        <f t="shared" ca="1" si="5"/>
        <v>9.1231311190449943E-2</v>
      </c>
      <c r="P27" s="46">
        <f t="shared" ca="1" si="5"/>
        <v>0.10253967761934982</v>
      </c>
      <c r="Q27" s="46">
        <f ca="1">SUM(E27:P27)</f>
        <v>1</v>
      </c>
    </row>
    <row r="28" spans="1:17" s="32" customFormat="1" ht="12.75" x14ac:dyDescent="0.2">
      <c r="A28" s="58">
        <f t="shared" si="0"/>
        <v>20</v>
      </c>
      <c r="B28" s="34"/>
      <c r="C28" s="41"/>
      <c r="D28" s="4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32" customFormat="1" ht="12.75" x14ac:dyDescent="0.2">
      <c r="A29" s="58">
        <f t="shared" si="0"/>
        <v>21</v>
      </c>
      <c r="B29" s="54" t="s">
        <v>182</v>
      </c>
      <c r="C29" s="4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2" customFormat="1" ht="12.75" x14ac:dyDescent="0.2">
      <c r="A30" s="58">
        <f t="shared" si="0"/>
        <v>22</v>
      </c>
      <c r="B30" s="34"/>
      <c r="C30" s="62" t="str">
        <f>C26</f>
        <v>Demand Charge Revenue (Oct15-Sep16)</v>
      </c>
      <c r="D30" s="49" t="s">
        <v>551</v>
      </c>
      <c r="E30" s="68">
        <f ca="1">'Tariff 31'!H48</f>
        <v>2718438</v>
      </c>
      <c r="F30" s="68">
        <f ca="1">'Tariff 31'!I48</f>
        <v>3233105</v>
      </c>
      <c r="G30" s="68">
        <f ca="1">'Tariff 31'!J48</f>
        <v>2882853</v>
      </c>
      <c r="H30" s="68">
        <f ca="1">'Tariff 31'!K48</f>
        <v>2395773</v>
      </c>
      <c r="I30" s="68">
        <f ca="1">'Tariff 31'!L48</f>
        <v>2034948</v>
      </c>
      <c r="J30" s="68">
        <f ca="1">'Tariff 31'!M48</f>
        <v>2135075</v>
      </c>
      <c r="K30" s="68">
        <f ca="1">'Tariff 31'!N48</f>
        <v>1973474</v>
      </c>
      <c r="L30" s="68">
        <f ca="1">'Tariff 31'!O48</f>
        <v>2696200</v>
      </c>
      <c r="M30" s="68">
        <f ca="1">'Tariff 31'!P48</f>
        <v>2187235</v>
      </c>
      <c r="N30" s="68">
        <f ca="1">'Tariff 31'!E48</f>
        <v>2443417</v>
      </c>
      <c r="O30" s="68">
        <f ca="1">'Tariff 31'!F48</f>
        <v>2651672</v>
      </c>
      <c r="P30" s="68">
        <f ca="1">'Tariff 31'!G48</f>
        <v>3408250</v>
      </c>
      <c r="Q30" s="63">
        <f ca="1">SUM(E30:P30)</f>
        <v>30760440</v>
      </c>
    </row>
    <row r="31" spans="1:17" s="32" customFormat="1" ht="12.75" x14ac:dyDescent="0.2">
      <c r="A31" s="58">
        <f t="shared" si="0"/>
        <v>23</v>
      </c>
      <c r="B31" s="34"/>
      <c r="C31" s="41" t="s">
        <v>44</v>
      </c>
      <c r="D31" s="49" t="s">
        <v>518</v>
      </c>
      <c r="E31" s="38">
        <f t="shared" ref="E31:P31" ca="1" si="6">E30/$Q30</f>
        <v>8.8374483589961653E-2</v>
      </c>
      <c r="F31" s="38">
        <f t="shared" ca="1" si="6"/>
        <v>0.10510594126742011</v>
      </c>
      <c r="G31" s="38">
        <f t="shared" ca="1" si="6"/>
        <v>9.3719498160624484E-2</v>
      </c>
      <c r="H31" s="38">
        <f t="shared" ca="1" si="6"/>
        <v>7.7884874208561383E-2</v>
      </c>
      <c r="I31" s="38">
        <f t="shared" ca="1" si="6"/>
        <v>6.6154710400761499E-2</v>
      </c>
      <c r="J31" s="38">
        <f t="shared" ca="1" si="6"/>
        <v>6.940976787068065E-2</v>
      </c>
      <c r="K31" s="38">
        <f t="shared" ca="1" si="6"/>
        <v>6.4156234436178419E-2</v>
      </c>
      <c r="L31" s="38">
        <f t="shared" ca="1" si="6"/>
        <v>8.7651542045562414E-2</v>
      </c>
      <c r="M31" s="38">
        <f t="shared" ca="1" si="6"/>
        <v>7.1105452327730037E-2</v>
      </c>
      <c r="N31" s="38">
        <f t="shared" ca="1" si="6"/>
        <v>7.9433746721438311E-2</v>
      </c>
      <c r="O31" s="38">
        <f t="shared" ca="1" si="6"/>
        <v>8.6203968473792969E-2</v>
      </c>
      <c r="P31" s="38">
        <f t="shared" ca="1" si="6"/>
        <v>0.11079978049728807</v>
      </c>
      <c r="Q31" s="38">
        <f ca="1">SUM(E31:P31)</f>
        <v>1</v>
      </c>
    </row>
    <row r="32" spans="1:17" s="32" customFormat="1" ht="12.75" x14ac:dyDescent="0.2">
      <c r="A32" s="58">
        <f t="shared" si="0"/>
        <v>24</v>
      </c>
      <c r="B32" s="58"/>
      <c r="C32" s="57"/>
      <c r="D32" s="4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2.75" x14ac:dyDescent="0.2">
      <c r="A33" s="58">
        <f t="shared" si="0"/>
        <v>25</v>
      </c>
      <c r="B33" s="21" t="s">
        <v>509</v>
      </c>
      <c r="D33" s="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x14ac:dyDescent="0.2">
      <c r="A34" s="58">
        <f t="shared" si="0"/>
        <v>26</v>
      </c>
      <c r="B34" s="31" t="str">
        <f>B9</f>
        <v>Schedule 7</v>
      </c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 x14ac:dyDescent="0.2">
      <c r="A35" s="58">
        <f t="shared" si="0"/>
        <v>27</v>
      </c>
      <c r="B35" s="8"/>
      <c r="C35" s="7" t="s">
        <v>508</v>
      </c>
      <c r="D35" s="58" t="s">
        <v>554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4">
        <f ca="1">'JAP-41 Page 2'!D14</f>
        <v>323.16000000000003</v>
      </c>
    </row>
    <row r="36" spans="1:17" ht="12.75" x14ac:dyDescent="0.2">
      <c r="A36" s="58">
        <f t="shared" si="0"/>
        <v>28</v>
      </c>
      <c r="B36" s="8"/>
      <c r="C36" s="7" t="s">
        <v>509</v>
      </c>
      <c r="D36" s="8" t="str">
        <f>"("&amp;A$11&amp;") x ("&amp;A35&amp;")"</f>
        <v>(3) x (27)</v>
      </c>
      <c r="E36" s="29">
        <f ca="1">$Q35*E$11</f>
        <v>37.934824640233771</v>
      </c>
      <c r="F36" s="29">
        <f t="shared" ref="F36:P36" ca="1" si="7">$Q35*F$11</f>
        <v>32.151309153225974</v>
      </c>
      <c r="G36" s="29">
        <f t="shared" ca="1" si="7"/>
        <v>30.982101490270797</v>
      </c>
      <c r="H36" s="29">
        <f t="shared" ca="1" si="7"/>
        <v>24.62979816429177</v>
      </c>
      <c r="I36" s="29">
        <f t="shared" ca="1" si="7"/>
        <v>22.144286262773299</v>
      </c>
      <c r="J36" s="29">
        <f t="shared" ca="1" si="7"/>
        <v>19.146024739756019</v>
      </c>
      <c r="K36" s="29">
        <f t="shared" ca="1" si="7"/>
        <v>21.453315204346136</v>
      </c>
      <c r="L36" s="29">
        <f t="shared" ca="1" si="7"/>
        <v>20.790761142424181</v>
      </c>
      <c r="M36" s="29">
        <f t="shared" ca="1" si="7"/>
        <v>19.047647343768606</v>
      </c>
      <c r="N36" s="29">
        <f t="shared" ca="1" si="7"/>
        <v>24.398142537960116</v>
      </c>
      <c r="O36" s="29">
        <f t="shared" ca="1" si="7"/>
        <v>31.830858497399465</v>
      </c>
      <c r="P36" s="29">
        <f t="shared" ca="1" si="7"/>
        <v>38.650930823549942</v>
      </c>
      <c r="Q36" s="28">
        <f ca="1">SUM(E36:P36)</f>
        <v>323.16000000000008</v>
      </c>
    </row>
    <row r="37" spans="1:17" ht="12.75" x14ac:dyDescent="0.2">
      <c r="A37" s="58">
        <f t="shared" si="0"/>
        <v>29</v>
      </c>
      <c r="B37" s="8"/>
      <c r="C37" s="7"/>
      <c r="D37" s="3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8"/>
    </row>
    <row r="38" spans="1:17" ht="12.75" x14ac:dyDescent="0.2">
      <c r="A38" s="58">
        <f t="shared" si="0"/>
        <v>30</v>
      </c>
      <c r="B38" s="31" t="str">
        <f>B13</f>
        <v>Schedules 8 &amp; 24</v>
      </c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8"/>
    </row>
    <row r="39" spans="1:17" ht="12.75" x14ac:dyDescent="0.2">
      <c r="A39" s="58">
        <f t="shared" si="0"/>
        <v>31</v>
      </c>
      <c r="B39" s="8"/>
      <c r="C39" s="57" t="s">
        <v>508</v>
      </c>
      <c r="D39" s="58" t="str">
        <f>$D$35</f>
        <v>JAP-41 Page 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4">
        <f ca="1">'JAP-41 Page 2'!E14</f>
        <v>697.42</v>
      </c>
    </row>
    <row r="40" spans="1:17" ht="12.75" x14ac:dyDescent="0.2">
      <c r="A40" s="58">
        <f t="shared" si="0"/>
        <v>32</v>
      </c>
      <c r="B40" s="8"/>
      <c r="C40" s="57" t="s">
        <v>509</v>
      </c>
      <c r="D40" s="8" t="str">
        <f>"("&amp;A$15&amp;") x ("&amp;A39&amp;")"</f>
        <v>(7) x (31)</v>
      </c>
      <c r="E40" s="29">
        <f ca="1">$Q39*E$15</f>
        <v>70.463049188377568</v>
      </c>
      <c r="F40" s="29">
        <f t="shared" ref="F40:P40" ca="1" si="8">$Q39*F$15</f>
        <v>57.312408376374847</v>
      </c>
      <c r="G40" s="29">
        <f t="shared" ca="1" si="8"/>
        <v>63.41888891578467</v>
      </c>
      <c r="H40" s="29">
        <f t="shared" ca="1" si="8"/>
        <v>51.073855785304907</v>
      </c>
      <c r="I40" s="29">
        <f t="shared" ca="1" si="8"/>
        <v>55.076908746052489</v>
      </c>
      <c r="J40" s="29">
        <f t="shared" ca="1" si="8"/>
        <v>51.063995679967796</v>
      </c>
      <c r="K40" s="29">
        <f t="shared" ca="1" si="8"/>
        <v>56.383550104787354</v>
      </c>
      <c r="L40" s="29">
        <f t="shared" ca="1" si="8"/>
        <v>58.795638189676083</v>
      </c>
      <c r="M40" s="29">
        <f t="shared" ca="1" si="8"/>
        <v>54.037753544766169</v>
      </c>
      <c r="N40" s="29">
        <f ca="1">$Q39*N$15</f>
        <v>53.968173956412599</v>
      </c>
      <c r="O40" s="29">
        <f t="shared" ca="1" si="8"/>
        <v>58.481529795881634</v>
      </c>
      <c r="P40" s="29">
        <f t="shared" ca="1" si="8"/>
        <v>67.344247716613779</v>
      </c>
      <c r="Q40" s="28">
        <f ca="1">SUM(E40:P40)</f>
        <v>697.41999999999985</v>
      </c>
    </row>
    <row r="41" spans="1:17" ht="12.75" x14ac:dyDescent="0.2">
      <c r="A41" s="58">
        <f t="shared" si="0"/>
        <v>33</v>
      </c>
      <c r="B41" s="8"/>
      <c r="C41" s="7"/>
      <c r="D41" s="30"/>
      <c r="E41" s="8"/>
      <c r="F41" s="8"/>
      <c r="G41" s="8"/>
      <c r="H41" s="8"/>
      <c r="I41" s="7"/>
      <c r="J41" s="7"/>
      <c r="K41" s="7"/>
      <c r="L41" s="7"/>
      <c r="M41" s="7"/>
      <c r="N41" s="7"/>
      <c r="O41" s="7"/>
      <c r="P41" s="7"/>
      <c r="Q41" s="28"/>
    </row>
    <row r="42" spans="1:17" ht="12.75" x14ac:dyDescent="0.2">
      <c r="A42" s="58">
        <f t="shared" si="0"/>
        <v>34</v>
      </c>
      <c r="B42" s="54" t="str">
        <f>B17</f>
        <v>Schedules 7A, 11, 25, 29, 35 &amp; 43</v>
      </c>
      <c r="C42" s="32"/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9"/>
    </row>
    <row r="43" spans="1:17" ht="12.75" x14ac:dyDescent="0.2">
      <c r="A43" s="58">
        <f t="shared" si="0"/>
        <v>35</v>
      </c>
      <c r="B43" s="58"/>
      <c r="C43" s="57" t="s">
        <v>508</v>
      </c>
      <c r="D43" s="58" t="str">
        <f>$D$35</f>
        <v>JAP-41 Page 2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4">
        <f ca="1">'JAP-41 Page 2'!F14</f>
        <v>11351.77</v>
      </c>
    </row>
    <row r="44" spans="1:17" ht="12.75" x14ac:dyDescent="0.2">
      <c r="A44" s="58">
        <f t="shared" si="0"/>
        <v>36</v>
      </c>
      <c r="B44" s="58"/>
      <c r="C44" s="57" t="s">
        <v>509</v>
      </c>
      <c r="D44" s="58" t="str">
        <f>"("&amp;A$19&amp;") x ("&amp;A43&amp;")"</f>
        <v>(11) x (35)</v>
      </c>
      <c r="E44" s="60">
        <f t="shared" ref="E44:P44" ca="1" si="9">$Q43*E$19</f>
        <v>1020.1438546559328</v>
      </c>
      <c r="F44" s="60">
        <f t="shared" ca="1" si="9"/>
        <v>935.45509888151423</v>
      </c>
      <c r="G44" s="60">
        <f t="shared" ca="1" si="9"/>
        <v>1023.7726793761619</v>
      </c>
      <c r="H44" s="60">
        <f t="shared" ca="1" si="9"/>
        <v>815.24860701096702</v>
      </c>
      <c r="I44" s="60">
        <f t="shared" ca="1" si="9"/>
        <v>871.5086179332269</v>
      </c>
      <c r="J44" s="60">
        <f t="shared" ca="1" si="9"/>
        <v>928.17597354815155</v>
      </c>
      <c r="K44" s="60">
        <f t="shared" ca="1" si="9"/>
        <v>950.78355879501169</v>
      </c>
      <c r="L44" s="60">
        <f t="shared" ca="1" si="9"/>
        <v>905.62529619434554</v>
      </c>
      <c r="M44" s="60">
        <f t="shared" ca="1" si="9"/>
        <v>966.40648638280868</v>
      </c>
      <c r="N44" s="60">
        <f t="shared" ca="1" si="9"/>
        <v>921.05142354626264</v>
      </c>
      <c r="O44" s="60">
        <f t="shared" ca="1" si="9"/>
        <v>940.00064608262323</v>
      </c>
      <c r="P44" s="60">
        <f t="shared" ca="1" si="9"/>
        <v>1073.5977575929924</v>
      </c>
      <c r="Q44" s="59">
        <f ca="1">SUM(E44:P44)</f>
        <v>11351.769999999999</v>
      </c>
    </row>
    <row r="45" spans="1:17" ht="12.75" x14ac:dyDescent="0.2">
      <c r="A45" s="58">
        <f t="shared" si="0"/>
        <v>37</v>
      </c>
    </row>
    <row r="46" spans="1:17" ht="12.75" x14ac:dyDescent="0.2">
      <c r="A46" s="58">
        <f t="shared" si="0"/>
        <v>38</v>
      </c>
      <c r="B46" s="54" t="str">
        <f>B21</f>
        <v>Schedule 40</v>
      </c>
      <c r="C46" s="32"/>
      <c r="D46" s="58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9"/>
    </row>
    <row r="47" spans="1:17" ht="12.75" x14ac:dyDescent="0.2">
      <c r="A47" s="58">
        <f t="shared" si="0"/>
        <v>39</v>
      </c>
      <c r="B47" s="58"/>
      <c r="C47" s="57" t="s">
        <v>508</v>
      </c>
      <c r="D47" s="58" t="str">
        <f>$D$35</f>
        <v>JAP-41 Page 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74">
        <f ca="1">'JAP-41 Page 2'!G14</f>
        <v>84049.79</v>
      </c>
    </row>
    <row r="48" spans="1:17" ht="12.75" x14ac:dyDescent="0.2">
      <c r="A48" s="58">
        <f t="shared" si="0"/>
        <v>40</v>
      </c>
      <c r="B48" s="58"/>
      <c r="C48" s="57" t="s">
        <v>509</v>
      </c>
      <c r="D48" s="58" t="str">
        <f>"("&amp;A$23&amp;") x ("&amp;A47&amp;")"</f>
        <v>(15) x (39)</v>
      </c>
      <c r="E48" s="60">
        <f t="shared" ref="E48:P48" ca="1" si="10">$Q47*E$23</f>
        <v>7729.6638772970919</v>
      </c>
      <c r="F48" s="60">
        <f t="shared" ca="1" si="10"/>
        <v>6078.9724532702521</v>
      </c>
      <c r="G48" s="60">
        <f t="shared" ca="1" si="10"/>
        <v>6194.8894406239006</v>
      </c>
      <c r="H48" s="60">
        <f t="shared" ca="1" si="10"/>
        <v>6183.9244550970589</v>
      </c>
      <c r="I48" s="60">
        <f t="shared" ca="1" si="10"/>
        <v>7921.3566272977787</v>
      </c>
      <c r="J48" s="60">
        <f t="shared" ca="1" si="10"/>
        <v>6737.6223952549135</v>
      </c>
      <c r="K48" s="60">
        <f t="shared" ca="1" si="10"/>
        <v>6783.1871995013407</v>
      </c>
      <c r="L48" s="60">
        <f t="shared" ca="1" si="10"/>
        <v>8763.1736707386463</v>
      </c>
      <c r="M48" s="60">
        <f t="shared" ca="1" si="10"/>
        <v>6238.2189966645465</v>
      </c>
      <c r="N48" s="60">
        <f t="shared" ca="1" si="10"/>
        <v>7184.9690109645135</v>
      </c>
      <c r="O48" s="60">
        <f t="shared" ca="1" si="10"/>
        <v>6549.2338372627137</v>
      </c>
      <c r="P48" s="60">
        <f t="shared" ca="1" si="10"/>
        <v>7684.5780360272429</v>
      </c>
      <c r="Q48" s="59">
        <f ca="1">SUM(E48:P48)</f>
        <v>84049.79</v>
      </c>
    </row>
    <row r="49" spans="1:17" ht="12.75" x14ac:dyDescent="0.2">
      <c r="A49" s="58">
        <f t="shared" si="0"/>
        <v>41</v>
      </c>
    </row>
    <row r="50" spans="1:17" ht="12.75" x14ac:dyDescent="0.2">
      <c r="A50" s="58">
        <f t="shared" si="0"/>
        <v>42</v>
      </c>
      <c r="B50" s="54" t="str">
        <f>B25</f>
        <v>Schedules 12 &amp; 26</v>
      </c>
      <c r="C50" s="32"/>
      <c r="D50" s="58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9"/>
    </row>
    <row r="51" spans="1:17" ht="12.75" x14ac:dyDescent="0.2">
      <c r="A51" s="58">
        <f t="shared" si="0"/>
        <v>43</v>
      </c>
      <c r="B51" s="58"/>
      <c r="C51" s="57" t="s">
        <v>508</v>
      </c>
      <c r="D51" s="58" t="str">
        <f>$D$35</f>
        <v>JAP-41 Page 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74">
        <f ca="1">'JAP-41 Page 2'!H14</f>
        <v>58433.07</v>
      </c>
    </row>
    <row r="52" spans="1:17" ht="12.75" x14ac:dyDescent="0.2">
      <c r="A52" s="58">
        <f t="shared" si="0"/>
        <v>44</v>
      </c>
      <c r="B52" s="58"/>
      <c r="C52" s="57" t="s">
        <v>509</v>
      </c>
      <c r="D52" s="58" t="str">
        <f>"("&amp;A$27&amp;") x ("&amp;A51&amp;")"</f>
        <v>(19) x (43)</v>
      </c>
      <c r="E52" s="60">
        <f t="shared" ref="E52:P52" ca="1" si="11">$Q51*E$27</f>
        <v>5503.74833857043</v>
      </c>
      <c r="F52" s="60">
        <f t="shared" ca="1" si="11"/>
        <v>6085.3062955147043</v>
      </c>
      <c r="G52" s="60">
        <f t="shared" ca="1" si="11"/>
        <v>5441.9546673925643</v>
      </c>
      <c r="H52" s="60">
        <f t="shared" ca="1" si="11"/>
        <v>4766.5028234946585</v>
      </c>
      <c r="I52" s="60">
        <f t="shared" ca="1" si="11"/>
        <v>3829.7932634033077</v>
      </c>
      <c r="J52" s="60">
        <f t="shared" ca="1" si="11"/>
        <v>4045.723440150718</v>
      </c>
      <c r="K52" s="60">
        <f t="shared" ca="1" si="11"/>
        <v>4184.4309160828225</v>
      </c>
      <c r="L52" s="60">
        <f t="shared" ca="1" si="11"/>
        <v>4133.0490138398845</v>
      </c>
      <c r="M52" s="60">
        <f t="shared" ca="1" si="11"/>
        <v>4443.0820753013941</v>
      </c>
      <c r="N52" s="60">
        <f t="shared" ca="1" si="11"/>
        <v>4676.8454131572698</v>
      </c>
      <c r="O52" s="60">
        <f t="shared" ca="1" si="11"/>
        <v>5330.9255929833453</v>
      </c>
      <c r="P52" s="60">
        <f t="shared" ca="1" si="11"/>
        <v>5991.7081601089012</v>
      </c>
      <c r="Q52" s="59">
        <f ca="1">SUM(E52:P52)</f>
        <v>58433.07</v>
      </c>
    </row>
    <row r="53" spans="1:17" ht="12.75" x14ac:dyDescent="0.2">
      <c r="A53" s="58">
        <f t="shared" si="0"/>
        <v>45</v>
      </c>
    </row>
    <row r="54" spans="1:17" x14ac:dyDescent="0.25">
      <c r="A54" s="58">
        <f t="shared" si="0"/>
        <v>46</v>
      </c>
      <c r="B54" s="54" t="str">
        <f>B29</f>
        <v>Schedules 10 &amp; 31</v>
      </c>
      <c r="C54" s="32"/>
      <c r="D54" s="5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9"/>
    </row>
    <row r="55" spans="1:17" x14ac:dyDescent="0.25">
      <c r="A55" s="58">
        <f t="shared" si="0"/>
        <v>47</v>
      </c>
      <c r="B55" s="58"/>
      <c r="C55" s="57" t="s">
        <v>508</v>
      </c>
      <c r="D55" s="58" t="str">
        <f>$D$35</f>
        <v>JAP-41 Page 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74">
        <f ca="1">'JAP-41 Page 2'!I14</f>
        <v>63465.27</v>
      </c>
    </row>
    <row r="56" spans="1:17" x14ac:dyDescent="0.25">
      <c r="A56" s="58">
        <f t="shared" si="0"/>
        <v>48</v>
      </c>
      <c r="B56" s="58"/>
      <c r="C56" s="57" t="s">
        <v>509</v>
      </c>
      <c r="D56" s="58" t="str">
        <f>"("&amp;A$31&amp;") x ("&amp;A55&amp;")"</f>
        <v>(23) x (47)</v>
      </c>
      <c r="E56" s="60">
        <f t="shared" ref="E56:P56" ca="1" si="12">$Q55*E$31</f>
        <v>5608.7104621474855</v>
      </c>
      <c r="F56" s="60">
        <f t="shared" ca="1" si="12"/>
        <v>6670.5769411409592</v>
      </c>
      <c r="G56" s="60">
        <f t="shared" ca="1" si="12"/>
        <v>5947.9332550285362</v>
      </c>
      <c r="H56" s="60">
        <f t="shared" ca="1" si="12"/>
        <v>4942.9845705623839</v>
      </c>
      <c r="I56" s="60">
        <f t="shared" ca="1" si="12"/>
        <v>4198.5265573561364</v>
      </c>
      <c r="J56" s="60">
        <f t="shared" ca="1" si="12"/>
        <v>4405.1096585500727</v>
      </c>
      <c r="K56" s="60">
        <f t="shared" ca="1" si="12"/>
        <v>4071.6927406753612</v>
      </c>
      <c r="L56" s="60">
        <f t="shared" ca="1" si="12"/>
        <v>5562.8287818379704</v>
      </c>
      <c r="M56" s="60">
        <f t="shared" ca="1" si="12"/>
        <v>4512.7267304515153</v>
      </c>
      <c r="N56" s="60">
        <f t="shared" ca="1" si="12"/>
        <v>5041.2841827876973</v>
      </c>
      <c r="O56" s="60">
        <f t="shared" ca="1" si="12"/>
        <v>5470.958134260758</v>
      </c>
      <c r="P56" s="60">
        <f t="shared" ca="1" si="12"/>
        <v>7031.9379852011216</v>
      </c>
      <c r="Q56" s="59">
        <f ca="1">SUM(E56:P56)</f>
        <v>63465.26999999999</v>
      </c>
    </row>
  </sheetData>
  <mergeCells count="3">
    <mergeCell ref="A1:Q1"/>
    <mergeCell ref="A2:Q2"/>
    <mergeCell ref="A3:Q3"/>
  </mergeCells>
  <printOptions horizontalCentered="1"/>
  <pageMargins left="0.45" right="0.45" top="0.75" bottom="0.75" header="0.3" footer="0.3"/>
  <pageSetup scale="55" orientation="landscape" blackAndWhite="1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N34" sqref="N34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7"/>
  <sheetViews>
    <sheetView showGridLines="0" zoomScaleNormal="100" workbookViewId="0">
      <selection activeCell="C19" sqref="C19"/>
    </sheetView>
  </sheetViews>
  <sheetFormatPr defaultRowHeight="13.2" x14ac:dyDescent="0.25"/>
  <cols>
    <col min="1" max="1" width="5.33203125" style="109" customWidth="1"/>
    <col min="2" max="2" width="37.33203125" style="109" bestFit="1" customWidth="1"/>
    <col min="3" max="3" width="16.109375" style="109" bestFit="1" customWidth="1"/>
    <col min="4" max="4" width="3.33203125" style="109" customWidth="1"/>
    <col min="5" max="5" width="16.33203125" style="109" customWidth="1"/>
    <col min="6" max="7" width="15.33203125" style="109" customWidth="1"/>
    <col min="8" max="8" width="15.44140625" style="109" bestFit="1" customWidth="1"/>
    <col min="9" max="9" width="15" style="109" bestFit="1" customWidth="1"/>
    <col min="10" max="10" width="11.88671875" style="109" customWidth="1"/>
    <col min="11" max="11" width="14.44140625" style="109" customWidth="1"/>
    <col min="12" max="12" width="13.33203125" style="109" bestFit="1" customWidth="1"/>
    <col min="13" max="15" width="15.33203125" style="109" customWidth="1"/>
    <col min="16" max="16" width="13.88671875" style="109" bestFit="1" customWidth="1"/>
    <col min="17" max="17" width="15.33203125" style="109" customWidth="1"/>
    <col min="18" max="256" width="9.109375" style="109"/>
    <col min="257" max="257" width="5.33203125" style="109" customWidth="1"/>
    <col min="258" max="258" width="37.33203125" style="109" bestFit="1" customWidth="1"/>
    <col min="259" max="259" width="15.33203125" style="109" customWidth="1"/>
    <col min="260" max="260" width="3.33203125" style="109" customWidth="1"/>
    <col min="261" max="263" width="15.33203125" style="109" customWidth="1"/>
    <col min="264" max="264" width="14" style="109" customWidth="1"/>
    <col min="265" max="265" width="14.33203125" style="109" customWidth="1"/>
    <col min="266" max="266" width="11.88671875" style="109" customWidth="1"/>
    <col min="267" max="267" width="14.44140625" style="109" customWidth="1"/>
    <col min="268" max="268" width="12.5546875" style="109" customWidth="1"/>
    <col min="269" max="271" width="15.33203125" style="109" customWidth="1"/>
    <col min="272" max="272" width="12.44140625" style="109" customWidth="1"/>
    <col min="273" max="273" width="15.33203125" style="109" customWidth="1"/>
    <col min="274" max="512" width="9.109375" style="109"/>
    <col min="513" max="513" width="5.33203125" style="109" customWidth="1"/>
    <col min="514" max="514" width="37.33203125" style="109" bestFit="1" customWidth="1"/>
    <col min="515" max="515" width="15.33203125" style="109" customWidth="1"/>
    <col min="516" max="516" width="3.33203125" style="109" customWidth="1"/>
    <col min="517" max="519" width="15.33203125" style="109" customWidth="1"/>
    <col min="520" max="520" width="14" style="109" customWidth="1"/>
    <col min="521" max="521" width="14.33203125" style="109" customWidth="1"/>
    <col min="522" max="522" width="11.88671875" style="109" customWidth="1"/>
    <col min="523" max="523" width="14.44140625" style="109" customWidth="1"/>
    <col min="524" max="524" width="12.5546875" style="109" customWidth="1"/>
    <col min="525" max="527" width="15.33203125" style="109" customWidth="1"/>
    <col min="528" max="528" width="12.44140625" style="109" customWidth="1"/>
    <col min="529" max="529" width="15.33203125" style="109" customWidth="1"/>
    <col min="530" max="768" width="9.109375" style="109"/>
    <col min="769" max="769" width="5.33203125" style="109" customWidth="1"/>
    <col min="770" max="770" width="37.33203125" style="109" bestFit="1" customWidth="1"/>
    <col min="771" max="771" width="15.33203125" style="109" customWidth="1"/>
    <col min="772" max="772" width="3.33203125" style="109" customWidth="1"/>
    <col min="773" max="775" width="15.33203125" style="109" customWidth="1"/>
    <col min="776" max="776" width="14" style="109" customWidth="1"/>
    <col min="777" max="777" width="14.33203125" style="109" customWidth="1"/>
    <col min="778" max="778" width="11.88671875" style="109" customWidth="1"/>
    <col min="779" max="779" width="14.44140625" style="109" customWidth="1"/>
    <col min="780" max="780" width="12.5546875" style="109" customWidth="1"/>
    <col min="781" max="783" width="15.33203125" style="109" customWidth="1"/>
    <col min="784" max="784" width="12.44140625" style="109" customWidth="1"/>
    <col min="785" max="785" width="15.33203125" style="109" customWidth="1"/>
    <col min="786" max="1024" width="9.109375" style="109"/>
    <col min="1025" max="1025" width="5.33203125" style="109" customWidth="1"/>
    <col min="1026" max="1026" width="37.33203125" style="109" bestFit="1" customWidth="1"/>
    <col min="1027" max="1027" width="15.33203125" style="109" customWidth="1"/>
    <col min="1028" max="1028" width="3.33203125" style="109" customWidth="1"/>
    <col min="1029" max="1031" width="15.33203125" style="109" customWidth="1"/>
    <col min="1032" max="1032" width="14" style="109" customWidth="1"/>
    <col min="1033" max="1033" width="14.33203125" style="109" customWidth="1"/>
    <col min="1034" max="1034" width="11.88671875" style="109" customWidth="1"/>
    <col min="1035" max="1035" width="14.44140625" style="109" customWidth="1"/>
    <col min="1036" max="1036" width="12.5546875" style="109" customWidth="1"/>
    <col min="1037" max="1039" width="15.33203125" style="109" customWidth="1"/>
    <col min="1040" max="1040" width="12.44140625" style="109" customWidth="1"/>
    <col min="1041" max="1041" width="15.33203125" style="109" customWidth="1"/>
    <col min="1042" max="1280" width="9.109375" style="109"/>
    <col min="1281" max="1281" width="5.33203125" style="109" customWidth="1"/>
    <col min="1282" max="1282" width="37.33203125" style="109" bestFit="1" customWidth="1"/>
    <col min="1283" max="1283" width="15.33203125" style="109" customWidth="1"/>
    <col min="1284" max="1284" width="3.33203125" style="109" customWidth="1"/>
    <col min="1285" max="1287" width="15.33203125" style="109" customWidth="1"/>
    <col min="1288" max="1288" width="14" style="109" customWidth="1"/>
    <col min="1289" max="1289" width="14.33203125" style="109" customWidth="1"/>
    <col min="1290" max="1290" width="11.88671875" style="109" customWidth="1"/>
    <col min="1291" max="1291" width="14.44140625" style="109" customWidth="1"/>
    <col min="1292" max="1292" width="12.5546875" style="109" customWidth="1"/>
    <col min="1293" max="1295" width="15.33203125" style="109" customWidth="1"/>
    <col min="1296" max="1296" width="12.44140625" style="109" customWidth="1"/>
    <col min="1297" max="1297" width="15.33203125" style="109" customWidth="1"/>
    <col min="1298" max="1536" width="9.109375" style="109"/>
    <col min="1537" max="1537" width="5.33203125" style="109" customWidth="1"/>
    <col min="1538" max="1538" width="37.33203125" style="109" bestFit="1" customWidth="1"/>
    <col min="1539" max="1539" width="15.33203125" style="109" customWidth="1"/>
    <col min="1540" max="1540" width="3.33203125" style="109" customWidth="1"/>
    <col min="1541" max="1543" width="15.33203125" style="109" customWidth="1"/>
    <col min="1544" max="1544" width="14" style="109" customWidth="1"/>
    <col min="1545" max="1545" width="14.33203125" style="109" customWidth="1"/>
    <col min="1546" max="1546" width="11.88671875" style="109" customWidth="1"/>
    <col min="1547" max="1547" width="14.44140625" style="109" customWidth="1"/>
    <col min="1548" max="1548" width="12.5546875" style="109" customWidth="1"/>
    <col min="1549" max="1551" width="15.33203125" style="109" customWidth="1"/>
    <col min="1552" max="1552" width="12.44140625" style="109" customWidth="1"/>
    <col min="1553" max="1553" width="15.33203125" style="109" customWidth="1"/>
    <col min="1554" max="1792" width="9.109375" style="109"/>
    <col min="1793" max="1793" width="5.33203125" style="109" customWidth="1"/>
    <col min="1794" max="1794" width="37.33203125" style="109" bestFit="1" customWidth="1"/>
    <col min="1795" max="1795" width="15.33203125" style="109" customWidth="1"/>
    <col min="1796" max="1796" width="3.33203125" style="109" customWidth="1"/>
    <col min="1797" max="1799" width="15.33203125" style="109" customWidth="1"/>
    <col min="1800" max="1800" width="14" style="109" customWidth="1"/>
    <col min="1801" max="1801" width="14.33203125" style="109" customWidth="1"/>
    <col min="1802" max="1802" width="11.88671875" style="109" customWidth="1"/>
    <col min="1803" max="1803" width="14.44140625" style="109" customWidth="1"/>
    <col min="1804" max="1804" width="12.5546875" style="109" customWidth="1"/>
    <col min="1805" max="1807" width="15.33203125" style="109" customWidth="1"/>
    <col min="1808" max="1808" width="12.44140625" style="109" customWidth="1"/>
    <col min="1809" max="1809" width="15.33203125" style="109" customWidth="1"/>
    <col min="1810" max="2048" width="9.109375" style="109"/>
    <col min="2049" max="2049" width="5.33203125" style="109" customWidth="1"/>
    <col min="2050" max="2050" width="37.33203125" style="109" bestFit="1" customWidth="1"/>
    <col min="2051" max="2051" width="15.33203125" style="109" customWidth="1"/>
    <col min="2052" max="2052" width="3.33203125" style="109" customWidth="1"/>
    <col min="2053" max="2055" width="15.33203125" style="109" customWidth="1"/>
    <col min="2056" max="2056" width="14" style="109" customWidth="1"/>
    <col min="2057" max="2057" width="14.33203125" style="109" customWidth="1"/>
    <col min="2058" max="2058" width="11.88671875" style="109" customWidth="1"/>
    <col min="2059" max="2059" width="14.44140625" style="109" customWidth="1"/>
    <col min="2060" max="2060" width="12.5546875" style="109" customWidth="1"/>
    <col min="2061" max="2063" width="15.33203125" style="109" customWidth="1"/>
    <col min="2064" max="2064" width="12.44140625" style="109" customWidth="1"/>
    <col min="2065" max="2065" width="15.33203125" style="109" customWidth="1"/>
    <col min="2066" max="2304" width="9.109375" style="109"/>
    <col min="2305" max="2305" width="5.33203125" style="109" customWidth="1"/>
    <col min="2306" max="2306" width="37.33203125" style="109" bestFit="1" customWidth="1"/>
    <col min="2307" max="2307" width="15.33203125" style="109" customWidth="1"/>
    <col min="2308" max="2308" width="3.33203125" style="109" customWidth="1"/>
    <col min="2309" max="2311" width="15.33203125" style="109" customWidth="1"/>
    <col min="2312" max="2312" width="14" style="109" customWidth="1"/>
    <col min="2313" max="2313" width="14.33203125" style="109" customWidth="1"/>
    <col min="2314" max="2314" width="11.88671875" style="109" customWidth="1"/>
    <col min="2315" max="2315" width="14.44140625" style="109" customWidth="1"/>
    <col min="2316" max="2316" width="12.5546875" style="109" customWidth="1"/>
    <col min="2317" max="2319" width="15.33203125" style="109" customWidth="1"/>
    <col min="2320" max="2320" width="12.44140625" style="109" customWidth="1"/>
    <col min="2321" max="2321" width="15.33203125" style="109" customWidth="1"/>
    <col min="2322" max="2560" width="9.109375" style="109"/>
    <col min="2561" max="2561" width="5.33203125" style="109" customWidth="1"/>
    <col min="2562" max="2562" width="37.33203125" style="109" bestFit="1" customWidth="1"/>
    <col min="2563" max="2563" width="15.33203125" style="109" customWidth="1"/>
    <col min="2564" max="2564" width="3.33203125" style="109" customWidth="1"/>
    <col min="2565" max="2567" width="15.33203125" style="109" customWidth="1"/>
    <col min="2568" max="2568" width="14" style="109" customWidth="1"/>
    <col min="2569" max="2569" width="14.33203125" style="109" customWidth="1"/>
    <col min="2570" max="2570" width="11.88671875" style="109" customWidth="1"/>
    <col min="2571" max="2571" width="14.44140625" style="109" customWidth="1"/>
    <col min="2572" max="2572" width="12.5546875" style="109" customWidth="1"/>
    <col min="2573" max="2575" width="15.33203125" style="109" customWidth="1"/>
    <col min="2576" max="2576" width="12.44140625" style="109" customWidth="1"/>
    <col min="2577" max="2577" width="15.33203125" style="109" customWidth="1"/>
    <col min="2578" max="2816" width="9.109375" style="109"/>
    <col min="2817" max="2817" width="5.33203125" style="109" customWidth="1"/>
    <col min="2818" max="2818" width="37.33203125" style="109" bestFit="1" customWidth="1"/>
    <col min="2819" max="2819" width="15.33203125" style="109" customWidth="1"/>
    <col min="2820" max="2820" width="3.33203125" style="109" customWidth="1"/>
    <col min="2821" max="2823" width="15.33203125" style="109" customWidth="1"/>
    <col min="2824" max="2824" width="14" style="109" customWidth="1"/>
    <col min="2825" max="2825" width="14.33203125" style="109" customWidth="1"/>
    <col min="2826" max="2826" width="11.88671875" style="109" customWidth="1"/>
    <col min="2827" max="2827" width="14.44140625" style="109" customWidth="1"/>
    <col min="2828" max="2828" width="12.5546875" style="109" customWidth="1"/>
    <col min="2829" max="2831" width="15.33203125" style="109" customWidth="1"/>
    <col min="2832" max="2832" width="12.44140625" style="109" customWidth="1"/>
    <col min="2833" max="2833" width="15.33203125" style="109" customWidth="1"/>
    <col min="2834" max="3072" width="9.109375" style="109"/>
    <col min="3073" max="3073" width="5.33203125" style="109" customWidth="1"/>
    <col min="3074" max="3074" width="37.33203125" style="109" bestFit="1" customWidth="1"/>
    <col min="3075" max="3075" width="15.33203125" style="109" customWidth="1"/>
    <col min="3076" max="3076" width="3.33203125" style="109" customWidth="1"/>
    <col min="3077" max="3079" width="15.33203125" style="109" customWidth="1"/>
    <col min="3080" max="3080" width="14" style="109" customWidth="1"/>
    <col min="3081" max="3081" width="14.33203125" style="109" customWidth="1"/>
    <col min="3082" max="3082" width="11.88671875" style="109" customWidth="1"/>
    <col min="3083" max="3083" width="14.44140625" style="109" customWidth="1"/>
    <col min="3084" max="3084" width="12.5546875" style="109" customWidth="1"/>
    <col min="3085" max="3087" width="15.33203125" style="109" customWidth="1"/>
    <col min="3088" max="3088" width="12.44140625" style="109" customWidth="1"/>
    <col min="3089" max="3089" width="15.33203125" style="109" customWidth="1"/>
    <col min="3090" max="3328" width="9.109375" style="109"/>
    <col min="3329" max="3329" width="5.33203125" style="109" customWidth="1"/>
    <col min="3330" max="3330" width="37.33203125" style="109" bestFit="1" customWidth="1"/>
    <col min="3331" max="3331" width="15.33203125" style="109" customWidth="1"/>
    <col min="3332" max="3332" width="3.33203125" style="109" customWidth="1"/>
    <col min="3333" max="3335" width="15.33203125" style="109" customWidth="1"/>
    <col min="3336" max="3336" width="14" style="109" customWidth="1"/>
    <col min="3337" max="3337" width="14.33203125" style="109" customWidth="1"/>
    <col min="3338" max="3338" width="11.88671875" style="109" customWidth="1"/>
    <col min="3339" max="3339" width="14.44140625" style="109" customWidth="1"/>
    <col min="3340" max="3340" width="12.5546875" style="109" customWidth="1"/>
    <col min="3341" max="3343" width="15.33203125" style="109" customWidth="1"/>
    <col min="3344" max="3344" width="12.44140625" style="109" customWidth="1"/>
    <col min="3345" max="3345" width="15.33203125" style="109" customWidth="1"/>
    <col min="3346" max="3584" width="9.109375" style="109"/>
    <col min="3585" max="3585" width="5.33203125" style="109" customWidth="1"/>
    <col min="3586" max="3586" width="37.33203125" style="109" bestFit="1" customWidth="1"/>
    <col min="3587" max="3587" width="15.33203125" style="109" customWidth="1"/>
    <col min="3588" max="3588" width="3.33203125" style="109" customWidth="1"/>
    <col min="3589" max="3591" width="15.33203125" style="109" customWidth="1"/>
    <col min="3592" max="3592" width="14" style="109" customWidth="1"/>
    <col min="3593" max="3593" width="14.33203125" style="109" customWidth="1"/>
    <col min="3594" max="3594" width="11.88671875" style="109" customWidth="1"/>
    <col min="3595" max="3595" width="14.44140625" style="109" customWidth="1"/>
    <col min="3596" max="3596" width="12.5546875" style="109" customWidth="1"/>
    <col min="3597" max="3599" width="15.33203125" style="109" customWidth="1"/>
    <col min="3600" max="3600" width="12.44140625" style="109" customWidth="1"/>
    <col min="3601" max="3601" width="15.33203125" style="109" customWidth="1"/>
    <col min="3602" max="3840" width="9.109375" style="109"/>
    <col min="3841" max="3841" width="5.33203125" style="109" customWidth="1"/>
    <col min="3842" max="3842" width="37.33203125" style="109" bestFit="1" customWidth="1"/>
    <col min="3843" max="3843" width="15.33203125" style="109" customWidth="1"/>
    <col min="3844" max="3844" width="3.33203125" style="109" customWidth="1"/>
    <col min="3845" max="3847" width="15.33203125" style="109" customWidth="1"/>
    <col min="3848" max="3848" width="14" style="109" customWidth="1"/>
    <col min="3849" max="3849" width="14.33203125" style="109" customWidth="1"/>
    <col min="3850" max="3850" width="11.88671875" style="109" customWidth="1"/>
    <col min="3851" max="3851" width="14.44140625" style="109" customWidth="1"/>
    <col min="3852" max="3852" width="12.5546875" style="109" customWidth="1"/>
    <col min="3853" max="3855" width="15.33203125" style="109" customWidth="1"/>
    <col min="3856" max="3856" width="12.44140625" style="109" customWidth="1"/>
    <col min="3857" max="3857" width="15.33203125" style="109" customWidth="1"/>
    <col min="3858" max="4096" width="9.109375" style="109"/>
    <col min="4097" max="4097" width="5.33203125" style="109" customWidth="1"/>
    <col min="4098" max="4098" width="37.33203125" style="109" bestFit="1" customWidth="1"/>
    <col min="4099" max="4099" width="15.33203125" style="109" customWidth="1"/>
    <col min="4100" max="4100" width="3.33203125" style="109" customWidth="1"/>
    <col min="4101" max="4103" width="15.33203125" style="109" customWidth="1"/>
    <col min="4104" max="4104" width="14" style="109" customWidth="1"/>
    <col min="4105" max="4105" width="14.33203125" style="109" customWidth="1"/>
    <col min="4106" max="4106" width="11.88671875" style="109" customWidth="1"/>
    <col min="4107" max="4107" width="14.44140625" style="109" customWidth="1"/>
    <col min="4108" max="4108" width="12.5546875" style="109" customWidth="1"/>
    <col min="4109" max="4111" width="15.33203125" style="109" customWidth="1"/>
    <col min="4112" max="4112" width="12.44140625" style="109" customWidth="1"/>
    <col min="4113" max="4113" width="15.33203125" style="109" customWidth="1"/>
    <col min="4114" max="4352" width="9.109375" style="109"/>
    <col min="4353" max="4353" width="5.33203125" style="109" customWidth="1"/>
    <col min="4354" max="4354" width="37.33203125" style="109" bestFit="1" customWidth="1"/>
    <col min="4355" max="4355" width="15.33203125" style="109" customWidth="1"/>
    <col min="4356" max="4356" width="3.33203125" style="109" customWidth="1"/>
    <col min="4357" max="4359" width="15.33203125" style="109" customWidth="1"/>
    <col min="4360" max="4360" width="14" style="109" customWidth="1"/>
    <col min="4361" max="4361" width="14.33203125" style="109" customWidth="1"/>
    <col min="4362" max="4362" width="11.88671875" style="109" customWidth="1"/>
    <col min="4363" max="4363" width="14.44140625" style="109" customWidth="1"/>
    <col min="4364" max="4364" width="12.5546875" style="109" customWidth="1"/>
    <col min="4365" max="4367" width="15.33203125" style="109" customWidth="1"/>
    <col min="4368" max="4368" width="12.44140625" style="109" customWidth="1"/>
    <col min="4369" max="4369" width="15.33203125" style="109" customWidth="1"/>
    <col min="4370" max="4608" width="9.109375" style="109"/>
    <col min="4609" max="4609" width="5.33203125" style="109" customWidth="1"/>
    <col min="4610" max="4610" width="37.33203125" style="109" bestFit="1" customWidth="1"/>
    <col min="4611" max="4611" width="15.33203125" style="109" customWidth="1"/>
    <col min="4612" max="4612" width="3.33203125" style="109" customWidth="1"/>
    <col min="4613" max="4615" width="15.33203125" style="109" customWidth="1"/>
    <col min="4616" max="4616" width="14" style="109" customWidth="1"/>
    <col min="4617" max="4617" width="14.33203125" style="109" customWidth="1"/>
    <col min="4618" max="4618" width="11.88671875" style="109" customWidth="1"/>
    <col min="4619" max="4619" width="14.44140625" style="109" customWidth="1"/>
    <col min="4620" max="4620" width="12.5546875" style="109" customWidth="1"/>
    <col min="4621" max="4623" width="15.33203125" style="109" customWidth="1"/>
    <col min="4624" max="4624" width="12.44140625" style="109" customWidth="1"/>
    <col min="4625" max="4625" width="15.33203125" style="109" customWidth="1"/>
    <col min="4626" max="4864" width="9.109375" style="109"/>
    <col min="4865" max="4865" width="5.33203125" style="109" customWidth="1"/>
    <col min="4866" max="4866" width="37.33203125" style="109" bestFit="1" customWidth="1"/>
    <col min="4867" max="4867" width="15.33203125" style="109" customWidth="1"/>
    <col min="4868" max="4868" width="3.33203125" style="109" customWidth="1"/>
    <col min="4869" max="4871" width="15.33203125" style="109" customWidth="1"/>
    <col min="4872" max="4872" width="14" style="109" customWidth="1"/>
    <col min="4873" max="4873" width="14.33203125" style="109" customWidth="1"/>
    <col min="4874" max="4874" width="11.88671875" style="109" customWidth="1"/>
    <col min="4875" max="4875" width="14.44140625" style="109" customWidth="1"/>
    <col min="4876" max="4876" width="12.5546875" style="109" customWidth="1"/>
    <col min="4877" max="4879" width="15.33203125" style="109" customWidth="1"/>
    <col min="4880" max="4880" width="12.44140625" style="109" customWidth="1"/>
    <col min="4881" max="4881" width="15.33203125" style="109" customWidth="1"/>
    <col min="4882" max="5120" width="9.109375" style="109"/>
    <col min="5121" max="5121" width="5.33203125" style="109" customWidth="1"/>
    <col min="5122" max="5122" width="37.33203125" style="109" bestFit="1" customWidth="1"/>
    <col min="5123" max="5123" width="15.33203125" style="109" customWidth="1"/>
    <col min="5124" max="5124" width="3.33203125" style="109" customWidth="1"/>
    <col min="5125" max="5127" width="15.33203125" style="109" customWidth="1"/>
    <col min="5128" max="5128" width="14" style="109" customWidth="1"/>
    <col min="5129" max="5129" width="14.33203125" style="109" customWidth="1"/>
    <col min="5130" max="5130" width="11.88671875" style="109" customWidth="1"/>
    <col min="5131" max="5131" width="14.44140625" style="109" customWidth="1"/>
    <col min="5132" max="5132" width="12.5546875" style="109" customWidth="1"/>
    <col min="5133" max="5135" width="15.33203125" style="109" customWidth="1"/>
    <col min="5136" max="5136" width="12.44140625" style="109" customWidth="1"/>
    <col min="5137" max="5137" width="15.33203125" style="109" customWidth="1"/>
    <col min="5138" max="5376" width="9.109375" style="109"/>
    <col min="5377" max="5377" width="5.33203125" style="109" customWidth="1"/>
    <col min="5378" max="5378" width="37.33203125" style="109" bestFit="1" customWidth="1"/>
    <col min="5379" max="5379" width="15.33203125" style="109" customWidth="1"/>
    <col min="5380" max="5380" width="3.33203125" style="109" customWidth="1"/>
    <col min="5381" max="5383" width="15.33203125" style="109" customWidth="1"/>
    <col min="5384" max="5384" width="14" style="109" customWidth="1"/>
    <col min="5385" max="5385" width="14.33203125" style="109" customWidth="1"/>
    <col min="5386" max="5386" width="11.88671875" style="109" customWidth="1"/>
    <col min="5387" max="5387" width="14.44140625" style="109" customWidth="1"/>
    <col min="5388" max="5388" width="12.5546875" style="109" customWidth="1"/>
    <col min="5389" max="5391" width="15.33203125" style="109" customWidth="1"/>
    <col min="5392" max="5392" width="12.44140625" style="109" customWidth="1"/>
    <col min="5393" max="5393" width="15.33203125" style="109" customWidth="1"/>
    <col min="5394" max="5632" width="9.109375" style="109"/>
    <col min="5633" max="5633" width="5.33203125" style="109" customWidth="1"/>
    <col min="5634" max="5634" width="37.33203125" style="109" bestFit="1" customWidth="1"/>
    <col min="5635" max="5635" width="15.33203125" style="109" customWidth="1"/>
    <col min="5636" max="5636" width="3.33203125" style="109" customWidth="1"/>
    <col min="5637" max="5639" width="15.33203125" style="109" customWidth="1"/>
    <col min="5640" max="5640" width="14" style="109" customWidth="1"/>
    <col min="5641" max="5641" width="14.33203125" style="109" customWidth="1"/>
    <col min="5642" max="5642" width="11.88671875" style="109" customWidth="1"/>
    <col min="5643" max="5643" width="14.44140625" style="109" customWidth="1"/>
    <col min="5644" max="5644" width="12.5546875" style="109" customWidth="1"/>
    <col min="5645" max="5647" width="15.33203125" style="109" customWidth="1"/>
    <col min="5648" max="5648" width="12.44140625" style="109" customWidth="1"/>
    <col min="5649" max="5649" width="15.33203125" style="109" customWidth="1"/>
    <col min="5650" max="5888" width="9.109375" style="109"/>
    <col min="5889" max="5889" width="5.33203125" style="109" customWidth="1"/>
    <col min="5890" max="5890" width="37.33203125" style="109" bestFit="1" customWidth="1"/>
    <col min="5891" max="5891" width="15.33203125" style="109" customWidth="1"/>
    <col min="5892" max="5892" width="3.33203125" style="109" customWidth="1"/>
    <col min="5893" max="5895" width="15.33203125" style="109" customWidth="1"/>
    <col min="5896" max="5896" width="14" style="109" customWidth="1"/>
    <col min="5897" max="5897" width="14.33203125" style="109" customWidth="1"/>
    <col min="5898" max="5898" width="11.88671875" style="109" customWidth="1"/>
    <col min="5899" max="5899" width="14.44140625" style="109" customWidth="1"/>
    <col min="5900" max="5900" width="12.5546875" style="109" customWidth="1"/>
    <col min="5901" max="5903" width="15.33203125" style="109" customWidth="1"/>
    <col min="5904" max="5904" width="12.44140625" style="109" customWidth="1"/>
    <col min="5905" max="5905" width="15.33203125" style="109" customWidth="1"/>
    <col min="5906" max="6144" width="9.109375" style="109"/>
    <col min="6145" max="6145" width="5.33203125" style="109" customWidth="1"/>
    <col min="6146" max="6146" width="37.33203125" style="109" bestFit="1" customWidth="1"/>
    <col min="6147" max="6147" width="15.33203125" style="109" customWidth="1"/>
    <col min="6148" max="6148" width="3.33203125" style="109" customWidth="1"/>
    <col min="6149" max="6151" width="15.33203125" style="109" customWidth="1"/>
    <col min="6152" max="6152" width="14" style="109" customWidth="1"/>
    <col min="6153" max="6153" width="14.33203125" style="109" customWidth="1"/>
    <col min="6154" max="6154" width="11.88671875" style="109" customWidth="1"/>
    <col min="6155" max="6155" width="14.44140625" style="109" customWidth="1"/>
    <col min="6156" max="6156" width="12.5546875" style="109" customWidth="1"/>
    <col min="6157" max="6159" width="15.33203125" style="109" customWidth="1"/>
    <col min="6160" max="6160" width="12.44140625" style="109" customWidth="1"/>
    <col min="6161" max="6161" width="15.33203125" style="109" customWidth="1"/>
    <col min="6162" max="6400" width="9.109375" style="109"/>
    <col min="6401" max="6401" width="5.33203125" style="109" customWidth="1"/>
    <col min="6402" max="6402" width="37.33203125" style="109" bestFit="1" customWidth="1"/>
    <col min="6403" max="6403" width="15.33203125" style="109" customWidth="1"/>
    <col min="6404" max="6404" width="3.33203125" style="109" customWidth="1"/>
    <col min="6405" max="6407" width="15.33203125" style="109" customWidth="1"/>
    <col min="6408" max="6408" width="14" style="109" customWidth="1"/>
    <col min="6409" max="6409" width="14.33203125" style="109" customWidth="1"/>
    <col min="6410" max="6410" width="11.88671875" style="109" customWidth="1"/>
    <col min="6411" max="6411" width="14.44140625" style="109" customWidth="1"/>
    <col min="6412" max="6412" width="12.5546875" style="109" customWidth="1"/>
    <col min="6413" max="6415" width="15.33203125" style="109" customWidth="1"/>
    <col min="6416" max="6416" width="12.44140625" style="109" customWidth="1"/>
    <col min="6417" max="6417" width="15.33203125" style="109" customWidth="1"/>
    <col min="6418" max="6656" width="9.109375" style="109"/>
    <col min="6657" max="6657" width="5.33203125" style="109" customWidth="1"/>
    <col min="6658" max="6658" width="37.33203125" style="109" bestFit="1" customWidth="1"/>
    <col min="6659" max="6659" width="15.33203125" style="109" customWidth="1"/>
    <col min="6660" max="6660" width="3.33203125" style="109" customWidth="1"/>
    <col min="6661" max="6663" width="15.33203125" style="109" customWidth="1"/>
    <col min="6664" max="6664" width="14" style="109" customWidth="1"/>
    <col min="6665" max="6665" width="14.33203125" style="109" customWidth="1"/>
    <col min="6666" max="6666" width="11.88671875" style="109" customWidth="1"/>
    <col min="6667" max="6667" width="14.44140625" style="109" customWidth="1"/>
    <col min="6668" max="6668" width="12.5546875" style="109" customWidth="1"/>
    <col min="6669" max="6671" width="15.33203125" style="109" customWidth="1"/>
    <col min="6672" max="6672" width="12.44140625" style="109" customWidth="1"/>
    <col min="6673" max="6673" width="15.33203125" style="109" customWidth="1"/>
    <col min="6674" max="6912" width="9.109375" style="109"/>
    <col min="6913" max="6913" width="5.33203125" style="109" customWidth="1"/>
    <col min="6914" max="6914" width="37.33203125" style="109" bestFit="1" customWidth="1"/>
    <col min="6915" max="6915" width="15.33203125" style="109" customWidth="1"/>
    <col min="6916" max="6916" width="3.33203125" style="109" customWidth="1"/>
    <col min="6917" max="6919" width="15.33203125" style="109" customWidth="1"/>
    <col min="6920" max="6920" width="14" style="109" customWidth="1"/>
    <col min="6921" max="6921" width="14.33203125" style="109" customWidth="1"/>
    <col min="6922" max="6922" width="11.88671875" style="109" customWidth="1"/>
    <col min="6923" max="6923" width="14.44140625" style="109" customWidth="1"/>
    <col min="6924" max="6924" width="12.5546875" style="109" customWidth="1"/>
    <col min="6925" max="6927" width="15.33203125" style="109" customWidth="1"/>
    <col min="6928" max="6928" width="12.44140625" style="109" customWidth="1"/>
    <col min="6929" max="6929" width="15.33203125" style="109" customWidth="1"/>
    <col min="6930" max="7168" width="9.109375" style="109"/>
    <col min="7169" max="7169" width="5.33203125" style="109" customWidth="1"/>
    <col min="7170" max="7170" width="37.33203125" style="109" bestFit="1" customWidth="1"/>
    <col min="7171" max="7171" width="15.33203125" style="109" customWidth="1"/>
    <col min="7172" max="7172" width="3.33203125" style="109" customWidth="1"/>
    <col min="7173" max="7175" width="15.33203125" style="109" customWidth="1"/>
    <col min="7176" max="7176" width="14" style="109" customWidth="1"/>
    <col min="7177" max="7177" width="14.33203125" style="109" customWidth="1"/>
    <col min="7178" max="7178" width="11.88671875" style="109" customWidth="1"/>
    <col min="7179" max="7179" width="14.44140625" style="109" customWidth="1"/>
    <col min="7180" max="7180" width="12.5546875" style="109" customWidth="1"/>
    <col min="7181" max="7183" width="15.33203125" style="109" customWidth="1"/>
    <col min="7184" max="7184" width="12.44140625" style="109" customWidth="1"/>
    <col min="7185" max="7185" width="15.33203125" style="109" customWidth="1"/>
    <col min="7186" max="7424" width="9.109375" style="109"/>
    <col min="7425" max="7425" width="5.33203125" style="109" customWidth="1"/>
    <col min="7426" max="7426" width="37.33203125" style="109" bestFit="1" customWidth="1"/>
    <col min="7427" max="7427" width="15.33203125" style="109" customWidth="1"/>
    <col min="7428" max="7428" width="3.33203125" style="109" customWidth="1"/>
    <col min="7429" max="7431" width="15.33203125" style="109" customWidth="1"/>
    <col min="7432" max="7432" width="14" style="109" customWidth="1"/>
    <col min="7433" max="7433" width="14.33203125" style="109" customWidth="1"/>
    <col min="7434" max="7434" width="11.88671875" style="109" customWidth="1"/>
    <col min="7435" max="7435" width="14.44140625" style="109" customWidth="1"/>
    <col min="7436" max="7436" width="12.5546875" style="109" customWidth="1"/>
    <col min="7437" max="7439" width="15.33203125" style="109" customWidth="1"/>
    <col min="7440" max="7440" width="12.44140625" style="109" customWidth="1"/>
    <col min="7441" max="7441" width="15.33203125" style="109" customWidth="1"/>
    <col min="7442" max="7680" width="9.109375" style="109"/>
    <col min="7681" max="7681" width="5.33203125" style="109" customWidth="1"/>
    <col min="7682" max="7682" width="37.33203125" style="109" bestFit="1" customWidth="1"/>
    <col min="7683" max="7683" width="15.33203125" style="109" customWidth="1"/>
    <col min="7684" max="7684" width="3.33203125" style="109" customWidth="1"/>
    <col min="7685" max="7687" width="15.33203125" style="109" customWidth="1"/>
    <col min="7688" max="7688" width="14" style="109" customWidth="1"/>
    <col min="7689" max="7689" width="14.33203125" style="109" customWidth="1"/>
    <col min="7690" max="7690" width="11.88671875" style="109" customWidth="1"/>
    <col min="7691" max="7691" width="14.44140625" style="109" customWidth="1"/>
    <col min="7692" max="7692" width="12.5546875" style="109" customWidth="1"/>
    <col min="7693" max="7695" width="15.33203125" style="109" customWidth="1"/>
    <col min="7696" max="7696" width="12.44140625" style="109" customWidth="1"/>
    <col min="7697" max="7697" width="15.33203125" style="109" customWidth="1"/>
    <col min="7698" max="7936" width="9.109375" style="109"/>
    <col min="7937" max="7937" width="5.33203125" style="109" customWidth="1"/>
    <col min="7938" max="7938" width="37.33203125" style="109" bestFit="1" customWidth="1"/>
    <col min="7939" max="7939" width="15.33203125" style="109" customWidth="1"/>
    <col min="7940" max="7940" width="3.33203125" style="109" customWidth="1"/>
    <col min="7941" max="7943" width="15.33203125" style="109" customWidth="1"/>
    <col min="7944" max="7944" width="14" style="109" customWidth="1"/>
    <col min="7945" max="7945" width="14.33203125" style="109" customWidth="1"/>
    <col min="7946" max="7946" width="11.88671875" style="109" customWidth="1"/>
    <col min="7947" max="7947" width="14.44140625" style="109" customWidth="1"/>
    <col min="7948" max="7948" width="12.5546875" style="109" customWidth="1"/>
    <col min="7949" max="7951" width="15.33203125" style="109" customWidth="1"/>
    <col min="7952" max="7952" width="12.44140625" style="109" customWidth="1"/>
    <col min="7953" max="7953" width="15.33203125" style="109" customWidth="1"/>
    <col min="7954" max="8192" width="9.109375" style="109"/>
    <col min="8193" max="8193" width="5.33203125" style="109" customWidth="1"/>
    <col min="8194" max="8194" width="37.33203125" style="109" bestFit="1" customWidth="1"/>
    <col min="8195" max="8195" width="15.33203125" style="109" customWidth="1"/>
    <col min="8196" max="8196" width="3.33203125" style="109" customWidth="1"/>
    <col min="8197" max="8199" width="15.33203125" style="109" customWidth="1"/>
    <col min="8200" max="8200" width="14" style="109" customWidth="1"/>
    <col min="8201" max="8201" width="14.33203125" style="109" customWidth="1"/>
    <col min="8202" max="8202" width="11.88671875" style="109" customWidth="1"/>
    <col min="8203" max="8203" width="14.44140625" style="109" customWidth="1"/>
    <col min="8204" max="8204" width="12.5546875" style="109" customWidth="1"/>
    <col min="8205" max="8207" width="15.33203125" style="109" customWidth="1"/>
    <col min="8208" max="8208" width="12.44140625" style="109" customWidth="1"/>
    <col min="8209" max="8209" width="15.33203125" style="109" customWidth="1"/>
    <col min="8210" max="8448" width="9.109375" style="109"/>
    <col min="8449" max="8449" width="5.33203125" style="109" customWidth="1"/>
    <col min="8450" max="8450" width="37.33203125" style="109" bestFit="1" customWidth="1"/>
    <col min="8451" max="8451" width="15.33203125" style="109" customWidth="1"/>
    <col min="8452" max="8452" width="3.33203125" style="109" customWidth="1"/>
    <col min="8453" max="8455" width="15.33203125" style="109" customWidth="1"/>
    <col min="8456" max="8456" width="14" style="109" customWidth="1"/>
    <col min="8457" max="8457" width="14.33203125" style="109" customWidth="1"/>
    <col min="8458" max="8458" width="11.88671875" style="109" customWidth="1"/>
    <col min="8459" max="8459" width="14.44140625" style="109" customWidth="1"/>
    <col min="8460" max="8460" width="12.5546875" style="109" customWidth="1"/>
    <col min="8461" max="8463" width="15.33203125" style="109" customWidth="1"/>
    <col min="8464" max="8464" width="12.44140625" style="109" customWidth="1"/>
    <col min="8465" max="8465" width="15.33203125" style="109" customWidth="1"/>
    <col min="8466" max="8704" width="9.109375" style="109"/>
    <col min="8705" max="8705" width="5.33203125" style="109" customWidth="1"/>
    <col min="8706" max="8706" width="37.33203125" style="109" bestFit="1" customWidth="1"/>
    <col min="8707" max="8707" width="15.33203125" style="109" customWidth="1"/>
    <col min="8708" max="8708" width="3.33203125" style="109" customWidth="1"/>
    <col min="8709" max="8711" width="15.33203125" style="109" customWidth="1"/>
    <col min="8712" max="8712" width="14" style="109" customWidth="1"/>
    <col min="8713" max="8713" width="14.33203125" style="109" customWidth="1"/>
    <col min="8714" max="8714" width="11.88671875" style="109" customWidth="1"/>
    <col min="8715" max="8715" width="14.44140625" style="109" customWidth="1"/>
    <col min="8716" max="8716" width="12.5546875" style="109" customWidth="1"/>
    <col min="8717" max="8719" width="15.33203125" style="109" customWidth="1"/>
    <col min="8720" max="8720" width="12.44140625" style="109" customWidth="1"/>
    <col min="8721" max="8721" width="15.33203125" style="109" customWidth="1"/>
    <col min="8722" max="8960" width="9.109375" style="109"/>
    <col min="8961" max="8961" width="5.33203125" style="109" customWidth="1"/>
    <col min="8962" max="8962" width="37.33203125" style="109" bestFit="1" customWidth="1"/>
    <col min="8963" max="8963" width="15.33203125" style="109" customWidth="1"/>
    <col min="8964" max="8964" width="3.33203125" style="109" customWidth="1"/>
    <col min="8965" max="8967" width="15.33203125" style="109" customWidth="1"/>
    <col min="8968" max="8968" width="14" style="109" customWidth="1"/>
    <col min="8969" max="8969" width="14.33203125" style="109" customWidth="1"/>
    <col min="8970" max="8970" width="11.88671875" style="109" customWidth="1"/>
    <col min="8971" max="8971" width="14.44140625" style="109" customWidth="1"/>
    <col min="8972" max="8972" width="12.5546875" style="109" customWidth="1"/>
    <col min="8973" max="8975" width="15.33203125" style="109" customWidth="1"/>
    <col min="8976" max="8976" width="12.44140625" style="109" customWidth="1"/>
    <col min="8977" max="8977" width="15.33203125" style="109" customWidth="1"/>
    <col min="8978" max="9216" width="9.109375" style="109"/>
    <col min="9217" max="9217" width="5.33203125" style="109" customWidth="1"/>
    <col min="9218" max="9218" width="37.33203125" style="109" bestFit="1" customWidth="1"/>
    <col min="9219" max="9219" width="15.33203125" style="109" customWidth="1"/>
    <col min="9220" max="9220" width="3.33203125" style="109" customWidth="1"/>
    <col min="9221" max="9223" width="15.33203125" style="109" customWidth="1"/>
    <col min="9224" max="9224" width="14" style="109" customWidth="1"/>
    <col min="9225" max="9225" width="14.33203125" style="109" customWidth="1"/>
    <col min="9226" max="9226" width="11.88671875" style="109" customWidth="1"/>
    <col min="9227" max="9227" width="14.44140625" style="109" customWidth="1"/>
    <col min="9228" max="9228" width="12.5546875" style="109" customWidth="1"/>
    <col min="9229" max="9231" width="15.33203125" style="109" customWidth="1"/>
    <col min="9232" max="9232" width="12.44140625" style="109" customWidth="1"/>
    <col min="9233" max="9233" width="15.33203125" style="109" customWidth="1"/>
    <col min="9234" max="9472" width="9.109375" style="109"/>
    <col min="9473" max="9473" width="5.33203125" style="109" customWidth="1"/>
    <col min="9474" max="9474" width="37.33203125" style="109" bestFit="1" customWidth="1"/>
    <col min="9475" max="9475" width="15.33203125" style="109" customWidth="1"/>
    <col min="9476" max="9476" width="3.33203125" style="109" customWidth="1"/>
    <col min="9477" max="9479" width="15.33203125" style="109" customWidth="1"/>
    <col min="9480" max="9480" width="14" style="109" customWidth="1"/>
    <col min="9481" max="9481" width="14.33203125" style="109" customWidth="1"/>
    <col min="9482" max="9482" width="11.88671875" style="109" customWidth="1"/>
    <col min="9483" max="9483" width="14.44140625" style="109" customWidth="1"/>
    <col min="9484" max="9484" width="12.5546875" style="109" customWidth="1"/>
    <col min="9485" max="9487" width="15.33203125" style="109" customWidth="1"/>
    <col min="9488" max="9488" width="12.44140625" style="109" customWidth="1"/>
    <col min="9489" max="9489" width="15.33203125" style="109" customWidth="1"/>
    <col min="9490" max="9728" width="9.109375" style="109"/>
    <col min="9729" max="9729" width="5.33203125" style="109" customWidth="1"/>
    <col min="9730" max="9730" width="37.33203125" style="109" bestFit="1" customWidth="1"/>
    <col min="9731" max="9731" width="15.33203125" style="109" customWidth="1"/>
    <col min="9732" max="9732" width="3.33203125" style="109" customWidth="1"/>
    <col min="9733" max="9735" width="15.33203125" style="109" customWidth="1"/>
    <col min="9736" max="9736" width="14" style="109" customWidth="1"/>
    <col min="9737" max="9737" width="14.33203125" style="109" customWidth="1"/>
    <col min="9738" max="9738" width="11.88671875" style="109" customWidth="1"/>
    <col min="9739" max="9739" width="14.44140625" style="109" customWidth="1"/>
    <col min="9740" max="9740" width="12.5546875" style="109" customWidth="1"/>
    <col min="9741" max="9743" width="15.33203125" style="109" customWidth="1"/>
    <col min="9744" max="9744" width="12.44140625" style="109" customWidth="1"/>
    <col min="9745" max="9745" width="15.33203125" style="109" customWidth="1"/>
    <col min="9746" max="9984" width="9.109375" style="109"/>
    <col min="9985" max="9985" width="5.33203125" style="109" customWidth="1"/>
    <col min="9986" max="9986" width="37.33203125" style="109" bestFit="1" customWidth="1"/>
    <col min="9987" max="9987" width="15.33203125" style="109" customWidth="1"/>
    <col min="9988" max="9988" width="3.33203125" style="109" customWidth="1"/>
    <col min="9989" max="9991" width="15.33203125" style="109" customWidth="1"/>
    <col min="9992" max="9992" width="14" style="109" customWidth="1"/>
    <col min="9993" max="9993" width="14.33203125" style="109" customWidth="1"/>
    <col min="9994" max="9994" width="11.88671875" style="109" customWidth="1"/>
    <col min="9995" max="9995" width="14.44140625" style="109" customWidth="1"/>
    <col min="9996" max="9996" width="12.5546875" style="109" customWidth="1"/>
    <col min="9997" max="9999" width="15.33203125" style="109" customWidth="1"/>
    <col min="10000" max="10000" width="12.44140625" style="109" customWidth="1"/>
    <col min="10001" max="10001" width="15.33203125" style="109" customWidth="1"/>
    <col min="10002" max="10240" width="9.109375" style="109"/>
    <col min="10241" max="10241" width="5.33203125" style="109" customWidth="1"/>
    <col min="10242" max="10242" width="37.33203125" style="109" bestFit="1" customWidth="1"/>
    <col min="10243" max="10243" width="15.33203125" style="109" customWidth="1"/>
    <col min="10244" max="10244" width="3.33203125" style="109" customWidth="1"/>
    <col min="10245" max="10247" width="15.33203125" style="109" customWidth="1"/>
    <col min="10248" max="10248" width="14" style="109" customWidth="1"/>
    <col min="10249" max="10249" width="14.33203125" style="109" customWidth="1"/>
    <col min="10250" max="10250" width="11.88671875" style="109" customWidth="1"/>
    <col min="10251" max="10251" width="14.44140625" style="109" customWidth="1"/>
    <col min="10252" max="10252" width="12.5546875" style="109" customWidth="1"/>
    <col min="10253" max="10255" width="15.33203125" style="109" customWidth="1"/>
    <col min="10256" max="10256" width="12.44140625" style="109" customWidth="1"/>
    <col min="10257" max="10257" width="15.33203125" style="109" customWidth="1"/>
    <col min="10258" max="10496" width="9.109375" style="109"/>
    <col min="10497" max="10497" width="5.33203125" style="109" customWidth="1"/>
    <col min="10498" max="10498" width="37.33203125" style="109" bestFit="1" customWidth="1"/>
    <col min="10499" max="10499" width="15.33203125" style="109" customWidth="1"/>
    <col min="10500" max="10500" width="3.33203125" style="109" customWidth="1"/>
    <col min="10501" max="10503" width="15.33203125" style="109" customWidth="1"/>
    <col min="10504" max="10504" width="14" style="109" customWidth="1"/>
    <col min="10505" max="10505" width="14.33203125" style="109" customWidth="1"/>
    <col min="10506" max="10506" width="11.88671875" style="109" customWidth="1"/>
    <col min="10507" max="10507" width="14.44140625" style="109" customWidth="1"/>
    <col min="10508" max="10508" width="12.5546875" style="109" customWidth="1"/>
    <col min="10509" max="10511" width="15.33203125" style="109" customWidth="1"/>
    <col min="10512" max="10512" width="12.44140625" style="109" customWidth="1"/>
    <col min="10513" max="10513" width="15.33203125" style="109" customWidth="1"/>
    <col min="10514" max="10752" width="9.109375" style="109"/>
    <col min="10753" max="10753" width="5.33203125" style="109" customWidth="1"/>
    <col min="10754" max="10754" width="37.33203125" style="109" bestFit="1" customWidth="1"/>
    <col min="10755" max="10755" width="15.33203125" style="109" customWidth="1"/>
    <col min="10756" max="10756" width="3.33203125" style="109" customWidth="1"/>
    <col min="10757" max="10759" width="15.33203125" style="109" customWidth="1"/>
    <col min="10760" max="10760" width="14" style="109" customWidth="1"/>
    <col min="10761" max="10761" width="14.33203125" style="109" customWidth="1"/>
    <col min="10762" max="10762" width="11.88671875" style="109" customWidth="1"/>
    <col min="10763" max="10763" width="14.44140625" style="109" customWidth="1"/>
    <col min="10764" max="10764" width="12.5546875" style="109" customWidth="1"/>
    <col min="10765" max="10767" width="15.33203125" style="109" customWidth="1"/>
    <col min="10768" max="10768" width="12.44140625" style="109" customWidth="1"/>
    <col min="10769" max="10769" width="15.33203125" style="109" customWidth="1"/>
    <col min="10770" max="11008" width="9.109375" style="109"/>
    <col min="11009" max="11009" width="5.33203125" style="109" customWidth="1"/>
    <col min="11010" max="11010" width="37.33203125" style="109" bestFit="1" customWidth="1"/>
    <col min="11011" max="11011" width="15.33203125" style="109" customWidth="1"/>
    <col min="11012" max="11012" width="3.33203125" style="109" customWidth="1"/>
    <col min="11013" max="11015" width="15.33203125" style="109" customWidth="1"/>
    <col min="11016" max="11016" width="14" style="109" customWidth="1"/>
    <col min="11017" max="11017" width="14.33203125" style="109" customWidth="1"/>
    <col min="11018" max="11018" width="11.88671875" style="109" customWidth="1"/>
    <col min="11019" max="11019" width="14.44140625" style="109" customWidth="1"/>
    <col min="11020" max="11020" width="12.5546875" style="109" customWidth="1"/>
    <col min="11021" max="11023" width="15.33203125" style="109" customWidth="1"/>
    <col min="11024" max="11024" width="12.44140625" style="109" customWidth="1"/>
    <col min="11025" max="11025" width="15.33203125" style="109" customWidth="1"/>
    <col min="11026" max="11264" width="9.109375" style="109"/>
    <col min="11265" max="11265" width="5.33203125" style="109" customWidth="1"/>
    <col min="11266" max="11266" width="37.33203125" style="109" bestFit="1" customWidth="1"/>
    <col min="11267" max="11267" width="15.33203125" style="109" customWidth="1"/>
    <col min="11268" max="11268" width="3.33203125" style="109" customWidth="1"/>
    <col min="11269" max="11271" width="15.33203125" style="109" customWidth="1"/>
    <col min="11272" max="11272" width="14" style="109" customWidth="1"/>
    <col min="11273" max="11273" width="14.33203125" style="109" customWidth="1"/>
    <col min="11274" max="11274" width="11.88671875" style="109" customWidth="1"/>
    <col min="11275" max="11275" width="14.44140625" style="109" customWidth="1"/>
    <col min="11276" max="11276" width="12.5546875" style="109" customWidth="1"/>
    <col min="11277" max="11279" width="15.33203125" style="109" customWidth="1"/>
    <col min="11280" max="11280" width="12.44140625" style="109" customWidth="1"/>
    <col min="11281" max="11281" width="15.33203125" style="109" customWidth="1"/>
    <col min="11282" max="11520" width="9.109375" style="109"/>
    <col min="11521" max="11521" width="5.33203125" style="109" customWidth="1"/>
    <col min="11522" max="11522" width="37.33203125" style="109" bestFit="1" customWidth="1"/>
    <col min="11523" max="11523" width="15.33203125" style="109" customWidth="1"/>
    <col min="11524" max="11524" width="3.33203125" style="109" customWidth="1"/>
    <col min="11525" max="11527" width="15.33203125" style="109" customWidth="1"/>
    <col min="11528" max="11528" width="14" style="109" customWidth="1"/>
    <col min="11529" max="11529" width="14.33203125" style="109" customWidth="1"/>
    <col min="11530" max="11530" width="11.88671875" style="109" customWidth="1"/>
    <col min="11531" max="11531" width="14.44140625" style="109" customWidth="1"/>
    <col min="11532" max="11532" width="12.5546875" style="109" customWidth="1"/>
    <col min="11533" max="11535" width="15.33203125" style="109" customWidth="1"/>
    <col min="11536" max="11536" width="12.44140625" style="109" customWidth="1"/>
    <col min="11537" max="11537" width="15.33203125" style="109" customWidth="1"/>
    <col min="11538" max="11776" width="9.109375" style="109"/>
    <col min="11777" max="11777" width="5.33203125" style="109" customWidth="1"/>
    <col min="11778" max="11778" width="37.33203125" style="109" bestFit="1" customWidth="1"/>
    <col min="11779" max="11779" width="15.33203125" style="109" customWidth="1"/>
    <col min="11780" max="11780" width="3.33203125" style="109" customWidth="1"/>
    <col min="11781" max="11783" width="15.33203125" style="109" customWidth="1"/>
    <col min="11784" max="11784" width="14" style="109" customWidth="1"/>
    <col min="11785" max="11785" width="14.33203125" style="109" customWidth="1"/>
    <col min="11786" max="11786" width="11.88671875" style="109" customWidth="1"/>
    <col min="11787" max="11787" width="14.44140625" style="109" customWidth="1"/>
    <col min="11788" max="11788" width="12.5546875" style="109" customWidth="1"/>
    <col min="11789" max="11791" width="15.33203125" style="109" customWidth="1"/>
    <col min="11792" max="11792" width="12.44140625" style="109" customWidth="1"/>
    <col min="11793" max="11793" width="15.33203125" style="109" customWidth="1"/>
    <col min="11794" max="12032" width="9.109375" style="109"/>
    <col min="12033" max="12033" width="5.33203125" style="109" customWidth="1"/>
    <col min="12034" max="12034" width="37.33203125" style="109" bestFit="1" customWidth="1"/>
    <col min="12035" max="12035" width="15.33203125" style="109" customWidth="1"/>
    <col min="12036" max="12036" width="3.33203125" style="109" customWidth="1"/>
    <col min="12037" max="12039" width="15.33203125" style="109" customWidth="1"/>
    <col min="12040" max="12040" width="14" style="109" customWidth="1"/>
    <col min="12041" max="12041" width="14.33203125" style="109" customWidth="1"/>
    <col min="12042" max="12042" width="11.88671875" style="109" customWidth="1"/>
    <col min="12043" max="12043" width="14.44140625" style="109" customWidth="1"/>
    <col min="12044" max="12044" width="12.5546875" style="109" customWidth="1"/>
    <col min="12045" max="12047" width="15.33203125" style="109" customWidth="1"/>
    <col min="12048" max="12048" width="12.44140625" style="109" customWidth="1"/>
    <col min="12049" max="12049" width="15.33203125" style="109" customWidth="1"/>
    <col min="12050" max="12288" width="9.109375" style="109"/>
    <col min="12289" max="12289" width="5.33203125" style="109" customWidth="1"/>
    <col min="12290" max="12290" width="37.33203125" style="109" bestFit="1" customWidth="1"/>
    <col min="12291" max="12291" width="15.33203125" style="109" customWidth="1"/>
    <col min="12292" max="12292" width="3.33203125" style="109" customWidth="1"/>
    <col min="12293" max="12295" width="15.33203125" style="109" customWidth="1"/>
    <col min="12296" max="12296" width="14" style="109" customWidth="1"/>
    <col min="12297" max="12297" width="14.33203125" style="109" customWidth="1"/>
    <col min="12298" max="12298" width="11.88671875" style="109" customWidth="1"/>
    <col min="12299" max="12299" width="14.44140625" style="109" customWidth="1"/>
    <col min="12300" max="12300" width="12.5546875" style="109" customWidth="1"/>
    <col min="12301" max="12303" width="15.33203125" style="109" customWidth="1"/>
    <col min="12304" max="12304" width="12.44140625" style="109" customWidth="1"/>
    <col min="12305" max="12305" width="15.33203125" style="109" customWidth="1"/>
    <col min="12306" max="12544" width="9.109375" style="109"/>
    <col min="12545" max="12545" width="5.33203125" style="109" customWidth="1"/>
    <col min="12546" max="12546" width="37.33203125" style="109" bestFit="1" customWidth="1"/>
    <col min="12547" max="12547" width="15.33203125" style="109" customWidth="1"/>
    <col min="12548" max="12548" width="3.33203125" style="109" customWidth="1"/>
    <col min="12549" max="12551" width="15.33203125" style="109" customWidth="1"/>
    <col min="12552" max="12552" width="14" style="109" customWidth="1"/>
    <col min="12553" max="12553" width="14.33203125" style="109" customWidth="1"/>
    <col min="12554" max="12554" width="11.88671875" style="109" customWidth="1"/>
    <col min="12555" max="12555" width="14.44140625" style="109" customWidth="1"/>
    <col min="12556" max="12556" width="12.5546875" style="109" customWidth="1"/>
    <col min="12557" max="12559" width="15.33203125" style="109" customWidth="1"/>
    <col min="12560" max="12560" width="12.44140625" style="109" customWidth="1"/>
    <col min="12561" max="12561" width="15.33203125" style="109" customWidth="1"/>
    <col min="12562" max="12800" width="9.109375" style="109"/>
    <col min="12801" max="12801" width="5.33203125" style="109" customWidth="1"/>
    <col min="12802" max="12802" width="37.33203125" style="109" bestFit="1" customWidth="1"/>
    <col min="12803" max="12803" width="15.33203125" style="109" customWidth="1"/>
    <col min="12804" max="12804" width="3.33203125" style="109" customWidth="1"/>
    <col min="12805" max="12807" width="15.33203125" style="109" customWidth="1"/>
    <col min="12808" max="12808" width="14" style="109" customWidth="1"/>
    <col min="12809" max="12809" width="14.33203125" style="109" customWidth="1"/>
    <col min="12810" max="12810" width="11.88671875" style="109" customWidth="1"/>
    <col min="12811" max="12811" width="14.44140625" style="109" customWidth="1"/>
    <col min="12812" max="12812" width="12.5546875" style="109" customWidth="1"/>
    <col min="12813" max="12815" width="15.33203125" style="109" customWidth="1"/>
    <col min="12816" max="12816" width="12.44140625" style="109" customWidth="1"/>
    <col min="12817" max="12817" width="15.33203125" style="109" customWidth="1"/>
    <col min="12818" max="13056" width="9.109375" style="109"/>
    <col min="13057" max="13057" width="5.33203125" style="109" customWidth="1"/>
    <col min="13058" max="13058" width="37.33203125" style="109" bestFit="1" customWidth="1"/>
    <col min="13059" max="13059" width="15.33203125" style="109" customWidth="1"/>
    <col min="13060" max="13060" width="3.33203125" style="109" customWidth="1"/>
    <col min="13061" max="13063" width="15.33203125" style="109" customWidth="1"/>
    <col min="13064" max="13064" width="14" style="109" customWidth="1"/>
    <col min="13065" max="13065" width="14.33203125" style="109" customWidth="1"/>
    <col min="13066" max="13066" width="11.88671875" style="109" customWidth="1"/>
    <col min="13067" max="13067" width="14.44140625" style="109" customWidth="1"/>
    <col min="13068" max="13068" width="12.5546875" style="109" customWidth="1"/>
    <col min="13069" max="13071" width="15.33203125" style="109" customWidth="1"/>
    <col min="13072" max="13072" width="12.44140625" style="109" customWidth="1"/>
    <col min="13073" max="13073" width="15.33203125" style="109" customWidth="1"/>
    <col min="13074" max="13312" width="9.109375" style="109"/>
    <col min="13313" max="13313" width="5.33203125" style="109" customWidth="1"/>
    <col min="13314" max="13314" width="37.33203125" style="109" bestFit="1" customWidth="1"/>
    <col min="13315" max="13315" width="15.33203125" style="109" customWidth="1"/>
    <col min="13316" max="13316" width="3.33203125" style="109" customWidth="1"/>
    <col min="13317" max="13319" width="15.33203125" style="109" customWidth="1"/>
    <col min="13320" max="13320" width="14" style="109" customWidth="1"/>
    <col min="13321" max="13321" width="14.33203125" style="109" customWidth="1"/>
    <col min="13322" max="13322" width="11.88671875" style="109" customWidth="1"/>
    <col min="13323" max="13323" width="14.44140625" style="109" customWidth="1"/>
    <col min="13324" max="13324" width="12.5546875" style="109" customWidth="1"/>
    <col min="13325" max="13327" width="15.33203125" style="109" customWidth="1"/>
    <col min="13328" max="13328" width="12.44140625" style="109" customWidth="1"/>
    <col min="13329" max="13329" width="15.33203125" style="109" customWidth="1"/>
    <col min="13330" max="13568" width="9.109375" style="109"/>
    <col min="13569" max="13569" width="5.33203125" style="109" customWidth="1"/>
    <col min="13570" max="13570" width="37.33203125" style="109" bestFit="1" customWidth="1"/>
    <col min="13571" max="13571" width="15.33203125" style="109" customWidth="1"/>
    <col min="13572" max="13572" width="3.33203125" style="109" customWidth="1"/>
    <col min="13573" max="13575" width="15.33203125" style="109" customWidth="1"/>
    <col min="13576" max="13576" width="14" style="109" customWidth="1"/>
    <col min="13577" max="13577" width="14.33203125" style="109" customWidth="1"/>
    <col min="13578" max="13578" width="11.88671875" style="109" customWidth="1"/>
    <col min="13579" max="13579" width="14.44140625" style="109" customWidth="1"/>
    <col min="13580" max="13580" width="12.5546875" style="109" customWidth="1"/>
    <col min="13581" max="13583" width="15.33203125" style="109" customWidth="1"/>
    <col min="13584" max="13584" width="12.44140625" style="109" customWidth="1"/>
    <col min="13585" max="13585" width="15.33203125" style="109" customWidth="1"/>
    <col min="13586" max="13824" width="9.109375" style="109"/>
    <col min="13825" max="13825" width="5.33203125" style="109" customWidth="1"/>
    <col min="13826" max="13826" width="37.33203125" style="109" bestFit="1" customWidth="1"/>
    <col min="13827" max="13827" width="15.33203125" style="109" customWidth="1"/>
    <col min="13828" max="13828" width="3.33203125" style="109" customWidth="1"/>
    <col min="13829" max="13831" width="15.33203125" style="109" customWidth="1"/>
    <col min="13832" max="13832" width="14" style="109" customWidth="1"/>
    <col min="13833" max="13833" width="14.33203125" style="109" customWidth="1"/>
    <col min="13834" max="13834" width="11.88671875" style="109" customWidth="1"/>
    <col min="13835" max="13835" width="14.44140625" style="109" customWidth="1"/>
    <col min="13836" max="13836" width="12.5546875" style="109" customWidth="1"/>
    <col min="13837" max="13839" width="15.33203125" style="109" customWidth="1"/>
    <col min="13840" max="13840" width="12.44140625" style="109" customWidth="1"/>
    <col min="13841" max="13841" width="15.33203125" style="109" customWidth="1"/>
    <col min="13842" max="14080" width="9.109375" style="109"/>
    <col min="14081" max="14081" width="5.33203125" style="109" customWidth="1"/>
    <col min="14082" max="14082" width="37.33203125" style="109" bestFit="1" customWidth="1"/>
    <col min="14083" max="14083" width="15.33203125" style="109" customWidth="1"/>
    <col min="14084" max="14084" width="3.33203125" style="109" customWidth="1"/>
    <col min="14085" max="14087" width="15.33203125" style="109" customWidth="1"/>
    <col min="14088" max="14088" width="14" style="109" customWidth="1"/>
    <col min="14089" max="14089" width="14.33203125" style="109" customWidth="1"/>
    <col min="14090" max="14090" width="11.88671875" style="109" customWidth="1"/>
    <col min="14091" max="14091" width="14.44140625" style="109" customWidth="1"/>
    <col min="14092" max="14092" width="12.5546875" style="109" customWidth="1"/>
    <col min="14093" max="14095" width="15.33203125" style="109" customWidth="1"/>
    <col min="14096" max="14096" width="12.44140625" style="109" customWidth="1"/>
    <col min="14097" max="14097" width="15.33203125" style="109" customWidth="1"/>
    <col min="14098" max="14336" width="9.109375" style="109"/>
    <col min="14337" max="14337" width="5.33203125" style="109" customWidth="1"/>
    <col min="14338" max="14338" width="37.33203125" style="109" bestFit="1" customWidth="1"/>
    <col min="14339" max="14339" width="15.33203125" style="109" customWidth="1"/>
    <col min="14340" max="14340" width="3.33203125" style="109" customWidth="1"/>
    <col min="14341" max="14343" width="15.33203125" style="109" customWidth="1"/>
    <col min="14344" max="14344" width="14" style="109" customWidth="1"/>
    <col min="14345" max="14345" width="14.33203125" style="109" customWidth="1"/>
    <col min="14346" max="14346" width="11.88671875" style="109" customWidth="1"/>
    <col min="14347" max="14347" width="14.44140625" style="109" customWidth="1"/>
    <col min="14348" max="14348" width="12.5546875" style="109" customWidth="1"/>
    <col min="14349" max="14351" width="15.33203125" style="109" customWidth="1"/>
    <col min="14352" max="14352" width="12.44140625" style="109" customWidth="1"/>
    <col min="14353" max="14353" width="15.33203125" style="109" customWidth="1"/>
    <col min="14354" max="14592" width="9.109375" style="109"/>
    <col min="14593" max="14593" width="5.33203125" style="109" customWidth="1"/>
    <col min="14594" max="14594" width="37.33203125" style="109" bestFit="1" customWidth="1"/>
    <col min="14595" max="14595" width="15.33203125" style="109" customWidth="1"/>
    <col min="14596" max="14596" width="3.33203125" style="109" customWidth="1"/>
    <col min="14597" max="14599" width="15.33203125" style="109" customWidth="1"/>
    <col min="14600" max="14600" width="14" style="109" customWidth="1"/>
    <col min="14601" max="14601" width="14.33203125" style="109" customWidth="1"/>
    <col min="14602" max="14602" width="11.88671875" style="109" customWidth="1"/>
    <col min="14603" max="14603" width="14.44140625" style="109" customWidth="1"/>
    <col min="14604" max="14604" width="12.5546875" style="109" customWidth="1"/>
    <col min="14605" max="14607" width="15.33203125" style="109" customWidth="1"/>
    <col min="14608" max="14608" width="12.44140625" style="109" customWidth="1"/>
    <col min="14609" max="14609" width="15.33203125" style="109" customWidth="1"/>
    <col min="14610" max="14848" width="9.109375" style="109"/>
    <col min="14849" max="14849" width="5.33203125" style="109" customWidth="1"/>
    <col min="14850" max="14850" width="37.33203125" style="109" bestFit="1" customWidth="1"/>
    <col min="14851" max="14851" width="15.33203125" style="109" customWidth="1"/>
    <col min="14852" max="14852" width="3.33203125" style="109" customWidth="1"/>
    <col min="14853" max="14855" width="15.33203125" style="109" customWidth="1"/>
    <col min="14856" max="14856" width="14" style="109" customWidth="1"/>
    <col min="14857" max="14857" width="14.33203125" style="109" customWidth="1"/>
    <col min="14858" max="14858" width="11.88671875" style="109" customWidth="1"/>
    <col min="14859" max="14859" width="14.44140625" style="109" customWidth="1"/>
    <col min="14860" max="14860" width="12.5546875" style="109" customWidth="1"/>
    <col min="14861" max="14863" width="15.33203125" style="109" customWidth="1"/>
    <col min="14864" max="14864" width="12.44140625" style="109" customWidth="1"/>
    <col min="14865" max="14865" width="15.33203125" style="109" customWidth="1"/>
    <col min="14866" max="15104" width="9.109375" style="109"/>
    <col min="15105" max="15105" width="5.33203125" style="109" customWidth="1"/>
    <col min="15106" max="15106" width="37.33203125" style="109" bestFit="1" customWidth="1"/>
    <col min="15107" max="15107" width="15.33203125" style="109" customWidth="1"/>
    <col min="15108" max="15108" width="3.33203125" style="109" customWidth="1"/>
    <col min="15109" max="15111" width="15.33203125" style="109" customWidth="1"/>
    <col min="15112" max="15112" width="14" style="109" customWidth="1"/>
    <col min="15113" max="15113" width="14.33203125" style="109" customWidth="1"/>
    <col min="15114" max="15114" width="11.88671875" style="109" customWidth="1"/>
    <col min="15115" max="15115" width="14.44140625" style="109" customWidth="1"/>
    <col min="15116" max="15116" width="12.5546875" style="109" customWidth="1"/>
    <col min="15117" max="15119" width="15.33203125" style="109" customWidth="1"/>
    <col min="15120" max="15120" width="12.44140625" style="109" customWidth="1"/>
    <col min="15121" max="15121" width="15.33203125" style="109" customWidth="1"/>
    <col min="15122" max="15360" width="9.109375" style="109"/>
    <col min="15361" max="15361" width="5.33203125" style="109" customWidth="1"/>
    <col min="15362" max="15362" width="37.33203125" style="109" bestFit="1" customWidth="1"/>
    <col min="15363" max="15363" width="15.33203125" style="109" customWidth="1"/>
    <col min="15364" max="15364" width="3.33203125" style="109" customWidth="1"/>
    <col min="15365" max="15367" width="15.33203125" style="109" customWidth="1"/>
    <col min="15368" max="15368" width="14" style="109" customWidth="1"/>
    <col min="15369" max="15369" width="14.33203125" style="109" customWidth="1"/>
    <col min="15370" max="15370" width="11.88671875" style="109" customWidth="1"/>
    <col min="15371" max="15371" width="14.44140625" style="109" customWidth="1"/>
    <col min="15372" max="15372" width="12.5546875" style="109" customWidth="1"/>
    <col min="15373" max="15375" width="15.33203125" style="109" customWidth="1"/>
    <col min="15376" max="15376" width="12.44140625" style="109" customWidth="1"/>
    <col min="15377" max="15377" width="15.33203125" style="109" customWidth="1"/>
    <col min="15378" max="15616" width="9.109375" style="109"/>
    <col min="15617" max="15617" width="5.33203125" style="109" customWidth="1"/>
    <col min="15618" max="15618" width="37.33203125" style="109" bestFit="1" customWidth="1"/>
    <col min="15619" max="15619" width="15.33203125" style="109" customWidth="1"/>
    <col min="15620" max="15620" width="3.33203125" style="109" customWidth="1"/>
    <col min="15621" max="15623" width="15.33203125" style="109" customWidth="1"/>
    <col min="15624" max="15624" width="14" style="109" customWidth="1"/>
    <col min="15625" max="15625" width="14.33203125" style="109" customWidth="1"/>
    <col min="15626" max="15626" width="11.88671875" style="109" customWidth="1"/>
    <col min="15627" max="15627" width="14.44140625" style="109" customWidth="1"/>
    <col min="15628" max="15628" width="12.5546875" style="109" customWidth="1"/>
    <col min="15629" max="15631" width="15.33203125" style="109" customWidth="1"/>
    <col min="15632" max="15632" width="12.44140625" style="109" customWidth="1"/>
    <col min="15633" max="15633" width="15.33203125" style="109" customWidth="1"/>
    <col min="15634" max="15872" width="9.109375" style="109"/>
    <col min="15873" max="15873" width="5.33203125" style="109" customWidth="1"/>
    <col min="15874" max="15874" width="37.33203125" style="109" bestFit="1" customWidth="1"/>
    <col min="15875" max="15875" width="15.33203125" style="109" customWidth="1"/>
    <col min="15876" max="15876" width="3.33203125" style="109" customWidth="1"/>
    <col min="15877" max="15879" width="15.33203125" style="109" customWidth="1"/>
    <col min="15880" max="15880" width="14" style="109" customWidth="1"/>
    <col min="15881" max="15881" width="14.33203125" style="109" customWidth="1"/>
    <col min="15882" max="15882" width="11.88671875" style="109" customWidth="1"/>
    <col min="15883" max="15883" width="14.44140625" style="109" customWidth="1"/>
    <col min="15884" max="15884" width="12.5546875" style="109" customWidth="1"/>
    <col min="15885" max="15887" width="15.33203125" style="109" customWidth="1"/>
    <col min="15888" max="15888" width="12.44140625" style="109" customWidth="1"/>
    <col min="15889" max="15889" width="15.33203125" style="109" customWidth="1"/>
    <col min="15890" max="16128" width="9.109375" style="109"/>
    <col min="16129" max="16129" width="5.33203125" style="109" customWidth="1"/>
    <col min="16130" max="16130" width="37.33203125" style="109" bestFit="1" customWidth="1"/>
    <col min="16131" max="16131" width="15.33203125" style="109" customWidth="1"/>
    <col min="16132" max="16132" width="3.33203125" style="109" customWidth="1"/>
    <col min="16133" max="16135" width="15.33203125" style="109" customWidth="1"/>
    <col min="16136" max="16136" width="14" style="109" customWidth="1"/>
    <col min="16137" max="16137" width="14.33203125" style="109" customWidth="1"/>
    <col min="16138" max="16138" width="11.88671875" style="109" customWidth="1"/>
    <col min="16139" max="16139" width="14.44140625" style="109" customWidth="1"/>
    <col min="16140" max="16140" width="12.5546875" style="109" customWidth="1"/>
    <col min="16141" max="16143" width="15.33203125" style="109" customWidth="1"/>
    <col min="16144" max="16144" width="12.44140625" style="109" customWidth="1"/>
    <col min="16145" max="16145" width="15.33203125" style="109" customWidth="1"/>
    <col min="16146" max="16384" width="9.109375" style="109"/>
  </cols>
  <sheetData>
    <row r="1" spans="1:21" ht="12.75" x14ac:dyDescent="0.2">
      <c r="A1" s="491" t="s">
        <v>17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21" ht="12.75" x14ac:dyDescent="0.2">
      <c r="A2" s="491" t="s">
        <v>211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</row>
    <row r="3" spans="1:21" ht="12.75" x14ac:dyDescent="0.2">
      <c r="A3" s="491" t="s">
        <v>321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</row>
    <row r="4" spans="1:21" ht="12.75" x14ac:dyDescent="0.2">
      <c r="A4" s="491" t="s">
        <v>212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</row>
    <row r="6" spans="1:21" ht="38.25" x14ac:dyDescent="0.2">
      <c r="A6" s="110" t="s">
        <v>16</v>
      </c>
      <c r="B6" s="110" t="s">
        <v>20</v>
      </c>
      <c r="C6" s="110" t="s">
        <v>213</v>
      </c>
      <c r="D6" s="110"/>
      <c r="E6" s="110" t="s">
        <v>214</v>
      </c>
      <c r="F6" s="110" t="s">
        <v>215</v>
      </c>
      <c r="G6" s="110" t="s">
        <v>216</v>
      </c>
      <c r="H6" s="110" t="s">
        <v>217</v>
      </c>
      <c r="I6" s="110" t="s">
        <v>218</v>
      </c>
      <c r="J6" s="110" t="s">
        <v>219</v>
      </c>
      <c r="K6" s="110" t="s">
        <v>220</v>
      </c>
      <c r="L6" s="110" t="s">
        <v>221</v>
      </c>
      <c r="M6" s="110" t="s">
        <v>222</v>
      </c>
      <c r="N6" s="110" t="s">
        <v>223</v>
      </c>
      <c r="O6" s="110" t="s">
        <v>224</v>
      </c>
      <c r="P6" s="110" t="s">
        <v>225</v>
      </c>
      <c r="Q6" s="110" t="s">
        <v>226</v>
      </c>
    </row>
    <row r="7" spans="1:21" ht="12.75" x14ac:dyDescent="0.2">
      <c r="A7" s="111"/>
      <c r="B7" s="112" t="s">
        <v>14</v>
      </c>
      <c r="C7" s="112" t="s">
        <v>13</v>
      </c>
      <c r="D7" s="112"/>
      <c r="E7" s="112" t="s">
        <v>12</v>
      </c>
      <c r="F7" s="112" t="s">
        <v>11</v>
      </c>
      <c r="G7" s="112" t="s">
        <v>10</v>
      </c>
      <c r="H7" s="112" t="s">
        <v>8</v>
      </c>
      <c r="I7" s="112" t="s">
        <v>7</v>
      </c>
      <c r="J7" s="112" t="s">
        <v>6</v>
      </c>
      <c r="K7" s="112" t="s">
        <v>5</v>
      </c>
      <c r="L7" s="112" t="s">
        <v>4</v>
      </c>
      <c r="M7" s="112" t="s">
        <v>3</v>
      </c>
      <c r="N7" s="112" t="s">
        <v>2</v>
      </c>
      <c r="O7" s="112" t="s">
        <v>1</v>
      </c>
      <c r="P7" s="112" t="s">
        <v>25</v>
      </c>
      <c r="Q7" s="112" t="s">
        <v>227</v>
      </c>
    </row>
    <row r="8" spans="1:21" ht="12.75" x14ac:dyDescent="0.2">
      <c r="C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21" ht="12.75" x14ac:dyDescent="0.2">
      <c r="A9" s="114">
        <v>1</v>
      </c>
      <c r="B9" s="115" t="s">
        <v>183</v>
      </c>
      <c r="C9" s="116">
        <f ca="1">'[55]PCA Costs'!C9</f>
        <v>22311829039.999996</v>
      </c>
      <c r="D9" s="116"/>
      <c r="E9" s="116">
        <f ca="1">'[55]PCA Costs'!E9</f>
        <v>11362694034.5944</v>
      </c>
      <c r="F9" s="116">
        <f ca="1">'[55]PCA Costs'!F9</f>
        <v>2983833723.3713889</v>
      </c>
      <c r="G9" s="116">
        <f ca="1">'[55]PCA Costs'!G9</f>
        <v>3080584885.4856691</v>
      </c>
      <c r="H9" s="116">
        <f ca="1">'[55]PCA Costs'!H9</f>
        <v>2051022389.543107</v>
      </c>
      <c r="I9" s="116">
        <f ca="1">'[55]PCA Costs'!I9</f>
        <v>1342870567.1184549</v>
      </c>
      <c r="J9" s="116">
        <f ca="1">'[55]PCA Costs'!J9</f>
        <v>4594563.3633324662</v>
      </c>
      <c r="K9" s="116">
        <f ca="1">'[55]PCA Costs'!K9</f>
        <v>124979540.86316925</v>
      </c>
      <c r="L9" s="116">
        <f ca="1">'[55]PCA Costs'!L9</f>
        <v>639599439.09802258</v>
      </c>
      <c r="M9" s="116">
        <f ca="1">'[55]PCA Costs'!M9</f>
        <v>632887813.72208166</v>
      </c>
      <c r="N9" s="116">
        <f ca="1">'[55]PCA Costs'!N9</f>
        <v>0</v>
      </c>
      <c r="O9" s="116">
        <f ca="1">'[55]PCA Costs'!O9</f>
        <v>0</v>
      </c>
      <c r="P9" s="116">
        <f ca="1">'[55]PCA Costs'!P9</f>
        <v>81534389.017231286</v>
      </c>
      <c r="Q9" s="116">
        <f ca="1">'[55]PCA Costs'!Q9</f>
        <v>7227693.8231415441</v>
      </c>
      <c r="R9" s="117"/>
      <c r="S9" s="118"/>
      <c r="T9" s="118"/>
      <c r="U9" s="118"/>
    </row>
    <row r="10" spans="1:21" ht="12.75" x14ac:dyDescent="0.2">
      <c r="A10" s="114">
        <f>+A9+1</f>
        <v>2</v>
      </c>
      <c r="B10" s="115" t="s">
        <v>228</v>
      </c>
      <c r="C10" s="116">
        <f ca="1">'[55]PCA Costs'!C10</f>
        <v>3941657.8585261339</v>
      </c>
      <c r="D10" s="116"/>
      <c r="E10" s="116">
        <f ca="1">'[55]PCA Costs'!E10</f>
        <v>2401760.8159533199</v>
      </c>
      <c r="F10" s="116">
        <f ca="1">'[55]PCA Costs'!F10</f>
        <v>483797.35950569448</v>
      </c>
      <c r="G10" s="116">
        <f ca="1">'[55]PCA Costs'!G10</f>
        <v>452472.55815379717</v>
      </c>
      <c r="H10" s="116">
        <f ca="1">'[55]PCA Costs'!H10</f>
        <v>261562.891393383</v>
      </c>
      <c r="I10" s="116">
        <f ca="1">'[55]PCA Costs'!I10</f>
        <v>179157.07260351363</v>
      </c>
      <c r="J10" s="116">
        <f ca="1">'[55]PCA Costs'!J10</f>
        <v>4.0419526549894496</v>
      </c>
      <c r="K10" s="116">
        <f ca="1">'[55]PCA Costs'!K10</f>
        <v>0</v>
      </c>
      <c r="L10" s="116">
        <f ca="1">'[55]PCA Costs'!L10</f>
        <v>80420.565981487191</v>
      </c>
      <c r="M10" s="116">
        <f ca="1">'[55]PCA Costs'!M10</f>
        <v>67179.705291231017</v>
      </c>
      <c r="N10" s="116">
        <f ca="1">'[55]PCA Costs'!N10</f>
        <v>0</v>
      </c>
      <c r="O10" s="116">
        <f ca="1">'[55]PCA Costs'!O10</f>
        <v>0</v>
      </c>
      <c r="P10" s="116">
        <f ca="1">'[55]PCA Costs'!P10</f>
        <v>13772.381425311305</v>
      </c>
      <c r="Q10" s="116">
        <f ca="1">'[55]PCA Costs'!Q10</f>
        <v>1530.4662657410647</v>
      </c>
      <c r="R10" s="118"/>
      <c r="S10" s="118"/>
      <c r="T10" s="118"/>
      <c r="U10" s="118"/>
    </row>
    <row r="11" spans="1:21" ht="12.75" x14ac:dyDescent="0.2">
      <c r="A11" s="114">
        <f t="shared" ref="A11:A30" si="0">+A10+1</f>
        <v>3</v>
      </c>
      <c r="B11" s="119" t="s">
        <v>229</v>
      </c>
      <c r="C11" s="120">
        <f ca="1">SUM(E11:Q11)</f>
        <v>1.0000000000000002</v>
      </c>
      <c r="D11" s="121"/>
      <c r="E11" s="120">
        <f t="shared" ref="E11:Q11" ca="1" si="1">(E9/$C$9*$C$12+E10/$C$10*$C$13)</f>
        <v>0.53428267414961672</v>
      </c>
      <c r="F11" s="120">
        <f t="shared" ca="1" si="1"/>
        <v>0.13098483852655646</v>
      </c>
      <c r="G11" s="120">
        <f t="shared" ca="1" si="1"/>
        <v>0.13225029791791532</v>
      </c>
      <c r="H11" s="120">
        <f t="shared" ca="1" si="1"/>
        <v>8.5533651911442882E-2</v>
      </c>
      <c r="I11" s="120">
        <f t="shared" ca="1" si="1"/>
        <v>5.6502917113085652E-2</v>
      </c>
      <c r="J11" s="120">
        <f t="shared" ca="1" si="1"/>
        <v>1.5470011013980859E-4</v>
      </c>
      <c r="K11" s="120">
        <f t="shared" ca="1" si="1"/>
        <v>4.2011193022020825E-3</v>
      </c>
      <c r="L11" s="120">
        <f t="shared" ca="1" si="1"/>
        <v>2.6600468875824963E-2</v>
      </c>
      <c r="M11" s="120">
        <f t="shared" ca="1" si="1"/>
        <v>2.5535058472508355E-2</v>
      </c>
      <c r="N11" s="120">
        <f t="shared" ca="1" si="1"/>
        <v>0</v>
      </c>
      <c r="O11" s="120">
        <f t="shared" ca="1" si="1"/>
        <v>0</v>
      </c>
      <c r="P11" s="120">
        <f t="shared" ca="1" si="1"/>
        <v>3.614248664337222E-3</v>
      </c>
      <c r="Q11" s="120">
        <f t="shared" ca="1" si="1"/>
        <v>3.4002495637072092E-4</v>
      </c>
      <c r="R11" s="118"/>
      <c r="S11" s="118"/>
      <c r="T11" s="118"/>
      <c r="U11" s="118"/>
    </row>
    <row r="12" spans="1:21" ht="12.75" x14ac:dyDescent="0.2">
      <c r="A12" s="114">
        <f t="shared" si="0"/>
        <v>4</v>
      </c>
      <c r="B12" s="122" t="s">
        <v>230</v>
      </c>
      <c r="C12" s="123">
        <v>0.75</v>
      </c>
      <c r="D12" s="118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18"/>
      <c r="S12" s="118"/>
      <c r="T12" s="118"/>
      <c r="U12" s="118"/>
    </row>
    <row r="13" spans="1:21" ht="12.75" x14ac:dyDescent="0.2">
      <c r="A13" s="114">
        <f t="shared" si="0"/>
        <v>5</v>
      </c>
      <c r="B13" s="122" t="s">
        <v>231</v>
      </c>
      <c r="C13" s="123">
        <v>0.25</v>
      </c>
      <c r="D13" s="118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18"/>
      <c r="S13" s="118"/>
      <c r="T13" s="118"/>
      <c r="U13" s="118"/>
    </row>
    <row r="14" spans="1:21" ht="12.75" x14ac:dyDescent="0.2">
      <c r="A14" s="114">
        <f t="shared" si="0"/>
        <v>6</v>
      </c>
      <c r="C14" s="124"/>
      <c r="D14" s="118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18"/>
      <c r="S14" s="118"/>
      <c r="T14" s="118"/>
      <c r="U14" s="118"/>
    </row>
    <row r="15" spans="1:21" ht="12.75" x14ac:dyDescent="0.2">
      <c r="A15" s="114">
        <f t="shared" si="0"/>
        <v>7</v>
      </c>
      <c r="B15" s="119" t="s">
        <v>232</v>
      </c>
      <c r="C15" s="124">
        <f ca="1">SUM(E15:Q15)</f>
        <v>2108200587.7086906</v>
      </c>
      <c r="D15" s="118"/>
      <c r="E15" s="124">
        <f ca="1">'[55]PCA Costs'!E15</f>
        <v>1199530845.961303</v>
      </c>
      <c r="F15" s="124">
        <f ca="1">'[55]PCA Costs'!F15</f>
        <v>267214405.57393074</v>
      </c>
      <c r="G15" s="124">
        <f ca="1">'[55]PCA Costs'!G15</f>
        <v>251912322.65464625</v>
      </c>
      <c r="H15" s="124">
        <f ca="1">'[55]PCA Costs'!H15</f>
        <v>153008096.02665669</v>
      </c>
      <c r="I15" s="124">
        <f ca="1">'[55]PCA Costs'!I15</f>
        <v>104103146.19852759</v>
      </c>
      <c r="J15" s="124">
        <f ca="1">'[55]PCA Costs'!J15</f>
        <v>429180.35752772924</v>
      </c>
      <c r="K15" s="124">
        <f ca="1">'[55]PCA Costs'!K15</f>
        <v>10935459.949142268</v>
      </c>
      <c r="L15" s="124">
        <f ca="1">'[55]PCA Costs'!L15</f>
        <v>46953616.608873129</v>
      </c>
      <c r="M15" s="124">
        <f ca="1">'[55]PCA Costs'!M15</f>
        <v>42557366.967938654</v>
      </c>
      <c r="N15" s="124">
        <f ca="1">'[55]PCA Costs'!N15</f>
        <v>1121279.5765295029</v>
      </c>
      <c r="O15" s="124">
        <f ca="1">'[55]PCA Costs'!O15</f>
        <v>11216018.725058943</v>
      </c>
      <c r="P15" s="124">
        <f ca="1">'[55]PCA Costs'!P15</f>
        <v>18495472.952828079</v>
      </c>
      <c r="Q15" s="124">
        <f ca="1">'[55]PCA Costs'!Q15</f>
        <v>723376.15572802676</v>
      </c>
      <c r="R15" s="118"/>
      <c r="S15" s="118"/>
      <c r="T15" s="118"/>
      <c r="U15" s="118"/>
    </row>
    <row r="16" spans="1:21" ht="10.199999999999999" customHeight="1" x14ac:dyDescent="0.2">
      <c r="A16" s="114">
        <f t="shared" si="0"/>
        <v>8</v>
      </c>
      <c r="B16" s="115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ht="10.95" customHeight="1" x14ac:dyDescent="0.2">
      <c r="A17" s="114">
        <f t="shared" si="0"/>
        <v>9</v>
      </c>
      <c r="B17" s="115" t="s">
        <v>233</v>
      </c>
      <c r="C17" s="124">
        <f ca="1">SUM(E17:Q17)</f>
        <v>111225825.98513673</v>
      </c>
      <c r="D17" s="118"/>
      <c r="E17" s="124">
        <f ca="1">'[55]PCA Costs'!E17</f>
        <v>60792526.492355719</v>
      </c>
      <c r="F17" s="124">
        <f ca="1">'[55]PCA Costs'!F17</f>
        <v>16929189.203066148</v>
      </c>
      <c r="G17" s="124">
        <f ca="1">'[55]PCA Costs'!G17</f>
        <v>11900165.035182636</v>
      </c>
      <c r="H17" s="124">
        <f ca="1">'[55]PCA Costs'!H17</f>
        <v>7202400.4051362295</v>
      </c>
      <c r="I17" s="124">
        <f ca="1">'[55]PCA Costs'!I17</f>
        <v>5549720.1749180267</v>
      </c>
      <c r="J17" s="124">
        <f ca="1">'[55]PCA Costs'!J17</f>
        <v>22319.875382678936</v>
      </c>
      <c r="K17" s="124">
        <f ca="1">'[55]PCA Costs'!K17</f>
        <v>479441.21714901226</v>
      </c>
      <c r="L17" s="124">
        <f ca="1">'[55]PCA Costs'!L17</f>
        <v>2170923.4248753381</v>
      </c>
      <c r="M17" s="124">
        <f ca="1">'[55]PCA Costs'!M17</f>
        <v>4835975.8716102857</v>
      </c>
      <c r="N17" s="124">
        <f ca="1">'[55]PCA Costs'!N17</f>
        <v>2850.6248341625537</v>
      </c>
      <c r="O17" s="124">
        <f ca="1">'[55]PCA Costs'!O17</f>
        <v>875638.69411477575</v>
      </c>
      <c r="P17" s="124">
        <f ca="1">'[55]PCA Costs'!P17</f>
        <v>425733.74896333064</v>
      </c>
      <c r="Q17" s="124">
        <f ca="1">'[55]PCA Costs'!Q17</f>
        <v>38941.217548381959</v>
      </c>
      <c r="R17" s="118"/>
      <c r="S17" s="118"/>
      <c r="T17" s="118"/>
      <c r="U17" s="118"/>
    </row>
    <row r="18" spans="1:21" ht="12.75" x14ac:dyDescent="0.2">
      <c r="A18" s="114">
        <f t="shared" si="0"/>
        <v>10</v>
      </c>
      <c r="C18" s="124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ht="12.75" x14ac:dyDescent="0.2">
      <c r="A19" s="114">
        <f t="shared" si="0"/>
        <v>11</v>
      </c>
      <c r="B19" s="115" t="s">
        <v>326</v>
      </c>
      <c r="C19" s="132">
        <f ca="1">'Exhibit A-1'!F38</f>
        <v>556740939.36561978</v>
      </c>
      <c r="D19" s="118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18"/>
      <c r="S19" s="118"/>
      <c r="T19" s="118"/>
      <c r="U19" s="118"/>
    </row>
    <row r="20" spans="1:21" ht="12.75" x14ac:dyDescent="0.2">
      <c r="A20" s="131">
        <f t="shared" si="0"/>
        <v>12</v>
      </c>
      <c r="B20" s="115"/>
      <c r="C20" s="124"/>
      <c r="D20" s="118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18"/>
      <c r="S20" s="118"/>
      <c r="T20" s="118"/>
      <c r="U20" s="118"/>
    </row>
    <row r="21" spans="1:21" ht="12.75" x14ac:dyDescent="0.2">
      <c r="A21" s="131">
        <f t="shared" si="0"/>
        <v>13</v>
      </c>
      <c r="B21" s="115" t="s">
        <v>327</v>
      </c>
      <c r="C21" s="132">
        <f ca="1">'Exhibit A-1'!G38</f>
        <v>715775660.02487493</v>
      </c>
      <c r="D21" s="118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18"/>
      <c r="S21" s="118"/>
      <c r="T21" s="118"/>
      <c r="U21" s="118"/>
    </row>
    <row r="22" spans="1:21" ht="12.75" x14ac:dyDescent="0.2">
      <c r="A22" s="131">
        <f t="shared" si="0"/>
        <v>14</v>
      </c>
      <c r="B22" s="115"/>
      <c r="C22" s="124"/>
      <c r="D22" s="118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18"/>
      <c r="S22" s="118"/>
      <c r="T22" s="118"/>
      <c r="U22" s="118"/>
    </row>
    <row r="23" spans="1:21" ht="12.75" x14ac:dyDescent="0.2">
      <c r="A23" s="131">
        <f t="shared" si="0"/>
        <v>15</v>
      </c>
      <c r="B23" s="119" t="s">
        <v>328</v>
      </c>
      <c r="C23" s="124">
        <f ca="1">SUM(E23:Q23)</f>
        <v>556740939.3656199</v>
      </c>
      <c r="D23" s="118"/>
      <c r="E23" s="124">
        <f ca="1">+$C$19*E$11</f>
        <v>297457037.89283293</v>
      </c>
      <c r="F23" s="124">
        <f t="shared" ref="F23:Q23" ca="1" si="2">+$C$19*F$11</f>
        <v>72924622.04392907</v>
      </c>
      <c r="G23" s="124">
        <f t="shared" ca="1" si="2"/>
        <v>73629155.094203249</v>
      </c>
      <c r="H23" s="124">
        <f t="shared" ca="1" si="2"/>
        <v>47620085.712548651</v>
      </c>
      <c r="I23" s="124">
        <f t="shared" ca="1" si="2"/>
        <v>31457487.150437061</v>
      </c>
      <c r="J23" s="124">
        <f t="shared" ca="1" si="2"/>
        <v>86127.884639201875</v>
      </c>
      <c r="K23" s="124">
        <f t="shared" ca="1" si="2"/>
        <v>2338935.1066950243</v>
      </c>
      <c r="L23" s="124">
        <f t="shared" ca="1" si="2"/>
        <v>14809570.029492723</v>
      </c>
      <c r="M23" s="124">
        <f t="shared" ca="1" si="2"/>
        <v>14216412.44074033</v>
      </c>
      <c r="N23" s="124">
        <f ca="1">+$C$19*N$11</f>
        <v>0</v>
      </c>
      <c r="O23" s="124">
        <f t="shared" ca="1" si="2"/>
        <v>0</v>
      </c>
      <c r="P23" s="124">
        <f t="shared" ca="1" si="2"/>
        <v>2012200.1964840416</v>
      </c>
      <c r="Q23" s="124">
        <f t="shared" ca="1" si="2"/>
        <v>189305.81361758904</v>
      </c>
      <c r="R23" s="118"/>
      <c r="S23" s="118"/>
      <c r="T23" s="118"/>
      <c r="U23" s="118"/>
    </row>
    <row r="24" spans="1:21" ht="12.75" x14ac:dyDescent="0.2">
      <c r="A24" s="131">
        <f t="shared" si="0"/>
        <v>16</v>
      </c>
      <c r="B24" s="119" t="s">
        <v>329</v>
      </c>
      <c r="C24" s="124">
        <f ca="1">SUM(E24:Q24)</f>
        <v>715775660.02487504</v>
      </c>
      <c r="D24" s="118"/>
      <c r="E24" s="124">
        <f t="shared" ref="E24:Q24" ca="1" si="3">+$C$21*E$11</f>
        <v>382426533.7292971</v>
      </c>
      <c r="F24" s="124">
        <f t="shared" ca="1" si="3"/>
        <v>93755759.249597609</v>
      </c>
      <c r="G24" s="124">
        <f t="shared" ca="1" si="3"/>
        <v>94661544.280682176</v>
      </c>
      <c r="H24" s="124">
        <f t="shared" ca="1" si="3"/>
        <v>61222906.151250936</v>
      </c>
      <c r="I24" s="124">
        <f t="shared" ca="1" si="3"/>
        <v>40443412.789949685</v>
      </c>
      <c r="J24" s="124">
        <f t="shared" ca="1" si="3"/>
        <v>110730.57344124233</v>
      </c>
      <c r="K24" s="124">
        <f t="shared" ca="1" si="3"/>
        <v>3007058.9413769376</v>
      </c>
      <c r="L24" s="124">
        <f t="shared" ca="1" si="3"/>
        <v>19039968.166564755</v>
      </c>
      <c r="M24" s="124">
        <f t="shared" ca="1" si="3"/>
        <v>18277373.331933443</v>
      </c>
      <c r="N24" s="124">
        <f t="shared" ca="1" si="3"/>
        <v>0</v>
      </c>
      <c r="O24" s="124">
        <f t="shared" ca="1" si="3"/>
        <v>0</v>
      </c>
      <c r="P24" s="124">
        <f t="shared" ca="1" si="3"/>
        <v>2586991.2232099976</v>
      </c>
      <c r="Q24" s="124">
        <f t="shared" ca="1" si="3"/>
        <v>243381.58757118206</v>
      </c>
      <c r="R24" s="118"/>
      <c r="S24" s="118"/>
      <c r="T24" s="118"/>
      <c r="U24" s="118"/>
    </row>
    <row r="25" spans="1:21" ht="12.75" x14ac:dyDescent="0.2">
      <c r="A25" s="131">
        <f t="shared" si="0"/>
        <v>17</v>
      </c>
      <c r="B25" s="122" t="s">
        <v>550</v>
      </c>
      <c r="C25" s="124">
        <f ca="1">SUM(E25:Q25)</f>
        <v>1272516599.3904951</v>
      </c>
      <c r="D25" s="118"/>
      <c r="E25" s="124">
        <f ca="1">SUM(E23:E24)</f>
        <v>679883571.62213004</v>
      </c>
      <c r="F25" s="124">
        <f t="shared" ref="F25:Q25" ca="1" si="4">SUM(F23:F24)</f>
        <v>166680381.29352668</v>
      </c>
      <c r="G25" s="124">
        <f t="shared" ca="1" si="4"/>
        <v>168290699.37488544</v>
      </c>
      <c r="H25" s="124">
        <f t="shared" ca="1" si="4"/>
        <v>108842991.86379959</v>
      </c>
      <c r="I25" s="124">
        <f t="shared" ca="1" si="4"/>
        <v>71900899.940386742</v>
      </c>
      <c r="J25" s="124">
        <f t="shared" ca="1" si="4"/>
        <v>196858.45808044419</v>
      </c>
      <c r="K25" s="124">
        <f t="shared" ca="1" si="4"/>
        <v>5345994.0480719618</v>
      </c>
      <c r="L25" s="124">
        <f t="shared" ca="1" si="4"/>
        <v>33849538.196057476</v>
      </c>
      <c r="M25" s="124">
        <f t="shared" ca="1" si="4"/>
        <v>32493785.772673771</v>
      </c>
      <c r="N25" s="124">
        <f t="shared" ca="1" si="4"/>
        <v>0</v>
      </c>
      <c r="O25" s="124">
        <f t="shared" ca="1" si="4"/>
        <v>0</v>
      </c>
      <c r="P25" s="124">
        <f t="shared" ca="1" si="4"/>
        <v>4599191.419694039</v>
      </c>
      <c r="Q25" s="124">
        <f t="shared" ca="1" si="4"/>
        <v>432687.40118877112</v>
      </c>
      <c r="R25" s="118"/>
      <c r="S25" s="118"/>
      <c r="T25" s="118"/>
      <c r="U25" s="118"/>
    </row>
    <row r="26" spans="1:21" ht="12.75" x14ac:dyDescent="0.2">
      <c r="A26" s="131">
        <f t="shared" si="0"/>
        <v>18</v>
      </c>
      <c r="B26" s="115"/>
      <c r="C26" s="124"/>
      <c r="D26" s="118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18"/>
      <c r="S26" s="118"/>
      <c r="T26" s="118"/>
      <c r="U26" s="118"/>
    </row>
    <row r="27" spans="1:21" s="127" customFormat="1" ht="12.75" x14ac:dyDescent="0.2">
      <c r="A27" s="131">
        <f t="shared" si="0"/>
        <v>19</v>
      </c>
      <c r="B27" s="125" t="s">
        <v>322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1" s="127" customFormat="1" ht="12.75" x14ac:dyDescent="0.2">
      <c r="A28" s="131">
        <f t="shared" si="0"/>
        <v>20</v>
      </c>
      <c r="B28" s="125" t="s">
        <v>323</v>
      </c>
      <c r="C28" s="128">
        <f ca="1">SUM(E28:Q28)</f>
        <v>0.74999999999999989</v>
      </c>
      <c r="D28" s="128"/>
      <c r="E28" s="128">
        <f t="shared" ref="E28:Q28" ca="1" si="5">ROUND(+$C$12*E9/$C$9,6)</f>
        <v>0.38195099999999998</v>
      </c>
      <c r="F28" s="128">
        <f t="shared" ca="1" si="5"/>
        <v>0.1003</v>
      </c>
      <c r="G28" s="128">
        <f t="shared" ca="1" si="5"/>
        <v>0.10355200000000001</v>
      </c>
      <c r="H28" s="128">
        <f t="shared" ca="1" si="5"/>
        <v>6.8944000000000005E-2</v>
      </c>
      <c r="I28" s="128">
        <f t="shared" ca="1" si="5"/>
        <v>4.514E-2</v>
      </c>
      <c r="J28" s="128">
        <f t="shared" ca="1" si="5"/>
        <v>1.54E-4</v>
      </c>
      <c r="K28" s="128">
        <f t="shared" ca="1" si="5"/>
        <v>4.2009999999999999E-3</v>
      </c>
      <c r="L28" s="128">
        <f t="shared" ca="1" si="5"/>
        <v>2.1499999999999998E-2</v>
      </c>
      <c r="M28" s="128">
        <f t="shared" ca="1" si="5"/>
        <v>2.1274000000000001E-2</v>
      </c>
      <c r="N28" s="128">
        <f t="shared" ca="1" si="5"/>
        <v>0</v>
      </c>
      <c r="O28" s="128">
        <f t="shared" ca="1" si="5"/>
        <v>0</v>
      </c>
      <c r="P28" s="128">
        <f t="shared" ca="1" si="5"/>
        <v>2.7409999999999999E-3</v>
      </c>
      <c r="Q28" s="128">
        <f t="shared" ca="1" si="5"/>
        <v>2.43E-4</v>
      </c>
      <c r="R28" s="126"/>
      <c r="S28" s="126"/>
      <c r="T28" s="126"/>
      <c r="U28" s="126"/>
    </row>
    <row r="29" spans="1:21" s="127" customFormat="1" ht="12.75" x14ac:dyDescent="0.2">
      <c r="A29" s="131">
        <f t="shared" si="0"/>
        <v>21</v>
      </c>
      <c r="B29" s="125" t="s">
        <v>324</v>
      </c>
      <c r="C29" s="128">
        <f ca="1">SUM(E29:Q29)</f>
        <v>0.25</v>
      </c>
      <c r="D29" s="128"/>
      <c r="E29" s="128">
        <f ca="1">ROUND(+$C$13*E10/$C$10,6)-0.000001</f>
        <v>0.15233099999999999</v>
      </c>
      <c r="F29" s="128">
        <f t="shared" ref="F29:Q29" ca="1" si="6">ROUND(+$C$13*F10/$C$10,6)</f>
        <v>3.0685E-2</v>
      </c>
      <c r="G29" s="128">
        <f t="shared" ca="1" si="6"/>
        <v>2.8698000000000001E-2</v>
      </c>
      <c r="H29" s="128">
        <f t="shared" ca="1" si="6"/>
        <v>1.6590000000000001E-2</v>
      </c>
      <c r="I29" s="128">
        <f t="shared" ca="1" si="6"/>
        <v>1.1363E-2</v>
      </c>
      <c r="J29" s="128">
        <f t="shared" ca="1" si="6"/>
        <v>0</v>
      </c>
      <c r="K29" s="128">
        <f t="shared" ca="1" si="6"/>
        <v>0</v>
      </c>
      <c r="L29" s="128">
        <f t="shared" ca="1" si="6"/>
        <v>5.1009999999999996E-3</v>
      </c>
      <c r="M29" s="128">
        <f t="shared" ca="1" si="6"/>
        <v>4.261E-3</v>
      </c>
      <c r="N29" s="128">
        <f t="shared" ca="1" si="6"/>
        <v>0</v>
      </c>
      <c r="O29" s="128">
        <f t="shared" ca="1" si="6"/>
        <v>0</v>
      </c>
      <c r="P29" s="128">
        <f t="shared" ca="1" si="6"/>
        <v>8.7399999999999999E-4</v>
      </c>
      <c r="Q29" s="128">
        <f t="shared" ca="1" si="6"/>
        <v>9.7E-5</v>
      </c>
      <c r="R29" s="126"/>
      <c r="S29" s="126"/>
      <c r="T29" s="126"/>
      <c r="U29" s="126"/>
    </row>
    <row r="30" spans="1:21" s="127" customFormat="1" ht="12.75" x14ac:dyDescent="0.2">
      <c r="A30" s="131">
        <f t="shared" si="0"/>
        <v>22</v>
      </c>
      <c r="B30" s="125" t="s">
        <v>325</v>
      </c>
      <c r="C30" s="128">
        <f ca="1">SUM(E30:Q30)</f>
        <v>0.99999999999999989</v>
      </c>
      <c r="D30" s="126"/>
      <c r="E30" s="129">
        <f ca="1">SUM(E28:E29)</f>
        <v>0.53428199999999992</v>
      </c>
      <c r="F30" s="129">
        <f t="shared" ref="F30:Q30" ca="1" si="7">SUM(F28:F29)</f>
        <v>0.13098499999999999</v>
      </c>
      <c r="G30" s="129">
        <f t="shared" ca="1" si="7"/>
        <v>0.13225000000000001</v>
      </c>
      <c r="H30" s="129">
        <f t="shared" ca="1" si="7"/>
        <v>8.5533999999999999E-2</v>
      </c>
      <c r="I30" s="129">
        <f t="shared" ca="1" si="7"/>
        <v>5.6502999999999998E-2</v>
      </c>
      <c r="J30" s="129">
        <f t="shared" ca="1" si="7"/>
        <v>1.54E-4</v>
      </c>
      <c r="K30" s="129">
        <f t="shared" ca="1" si="7"/>
        <v>4.2009999999999999E-3</v>
      </c>
      <c r="L30" s="129">
        <f t="shared" ca="1" si="7"/>
        <v>2.6601E-2</v>
      </c>
      <c r="M30" s="129">
        <f t="shared" ca="1" si="7"/>
        <v>2.5535000000000002E-2</v>
      </c>
      <c r="N30" s="129">
        <f t="shared" ca="1" si="7"/>
        <v>0</v>
      </c>
      <c r="O30" s="129">
        <f t="shared" ca="1" si="7"/>
        <v>0</v>
      </c>
      <c r="P30" s="129">
        <f t="shared" ca="1" si="7"/>
        <v>3.6150000000000002E-3</v>
      </c>
      <c r="Q30" s="129">
        <f t="shared" ca="1" si="7"/>
        <v>3.4000000000000002E-4</v>
      </c>
      <c r="R30" s="126"/>
      <c r="S30" s="126"/>
      <c r="T30" s="126"/>
      <c r="U30" s="126"/>
    </row>
    <row r="31" spans="1:21" s="127" customFormat="1" ht="12.75" x14ac:dyDescent="0.2">
      <c r="A31" s="114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x14ac:dyDescent="0.25">
      <c r="A32" s="130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x14ac:dyDescent="0.25">
      <c r="A33" s="130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x14ac:dyDescent="0.25">
      <c r="A34" s="130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x14ac:dyDescent="0.25">
      <c r="A35" s="130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x14ac:dyDescent="0.25">
      <c r="A36" s="130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x14ac:dyDescent="0.25">
      <c r="A37" s="130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x14ac:dyDescent="0.25">
      <c r="A38" s="130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x14ac:dyDescent="0.25">
      <c r="A39" s="130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x14ac:dyDescent="0.25">
      <c r="A40" s="130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x14ac:dyDescent="0.25">
      <c r="A41" s="130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  <row r="42" spans="1:21" x14ac:dyDescent="0.25">
      <c r="A42" s="130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3" spans="1:21" x14ac:dyDescent="0.25">
      <c r="A43" s="13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1:21" x14ac:dyDescent="0.25">
      <c r="A44" s="130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 x14ac:dyDescent="0.25">
      <c r="A45" s="130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x14ac:dyDescent="0.25">
      <c r="A46" s="130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1" x14ac:dyDescent="0.25">
      <c r="A47" s="130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r:id="rId1"/>
  <headerFooter alignWithMargins="0">
    <oddFooter>&amp;R&amp;F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>
      <selection activeCell="C16" sqref="C16"/>
    </sheetView>
  </sheetViews>
  <sheetFormatPr defaultRowHeight="14.4" x14ac:dyDescent="0.3"/>
  <cols>
    <col min="1" max="1" width="6.5546875" customWidth="1"/>
    <col min="2" max="2" width="41.88671875" customWidth="1"/>
    <col min="3" max="3" width="17.33203125" customWidth="1"/>
    <col min="4" max="4" width="12.5546875" customWidth="1"/>
    <col min="5" max="5" width="5.6640625" customWidth="1"/>
    <col min="6" max="7" width="15.88671875" customWidth="1"/>
  </cols>
  <sheetData>
    <row r="1" spans="1:7" ht="18" x14ac:dyDescent="0.25">
      <c r="A1" s="389" t="s">
        <v>662</v>
      </c>
      <c r="B1" s="126"/>
      <c r="C1" s="390"/>
      <c r="D1" s="390"/>
      <c r="E1" s="390"/>
      <c r="F1" s="390"/>
      <c r="G1" s="285" t="s">
        <v>663</v>
      </c>
    </row>
    <row r="2" spans="1:7" ht="18" x14ac:dyDescent="0.25">
      <c r="A2" s="391" t="s">
        <v>664</v>
      </c>
      <c r="B2" s="392"/>
      <c r="C2" s="390"/>
      <c r="D2" s="390"/>
      <c r="E2" s="390"/>
      <c r="F2" s="390"/>
      <c r="G2" s="285"/>
    </row>
    <row r="3" spans="1:7" ht="15.75" x14ac:dyDescent="0.25">
      <c r="A3" s="393"/>
      <c r="B3" s="392"/>
      <c r="C3" s="390"/>
      <c r="D3" s="394"/>
      <c r="E3" s="390"/>
      <c r="F3" s="390"/>
      <c r="G3" s="395"/>
    </row>
    <row r="4" spans="1:7" ht="15" x14ac:dyDescent="0.25">
      <c r="A4" s="396" t="s">
        <v>234</v>
      </c>
      <c r="B4" s="397"/>
      <c r="C4" s="398" t="s">
        <v>558</v>
      </c>
      <c r="D4" s="399"/>
      <c r="E4" s="399"/>
      <c r="F4" s="399"/>
      <c r="G4" s="399"/>
    </row>
    <row r="5" spans="1:7" ht="15" x14ac:dyDescent="0.25">
      <c r="A5" s="396">
        <v>3</v>
      </c>
      <c r="B5" s="400" t="s">
        <v>559</v>
      </c>
      <c r="C5" s="401">
        <f ca="1">+'[56]KJB-7,14 El Adj'!BN94</f>
        <v>199079031.3739852</v>
      </c>
      <c r="D5" s="390"/>
      <c r="E5" s="402"/>
      <c r="F5" s="402"/>
      <c r="G5" s="402"/>
    </row>
    <row r="6" spans="1:7" ht="15" x14ac:dyDescent="0.25">
      <c r="A6" s="396">
        <v>4</v>
      </c>
      <c r="B6" s="400" t="s">
        <v>560</v>
      </c>
      <c r="C6" s="403">
        <f ca="1">+'[56]Trans Ratebase'!C62</f>
        <v>85738601.034227908</v>
      </c>
      <c r="D6" s="390"/>
      <c r="E6" s="402"/>
      <c r="F6" s="402"/>
      <c r="G6" s="402"/>
    </row>
    <row r="7" spans="1:7" ht="15" x14ac:dyDescent="0.25">
      <c r="A7" s="396">
        <v>5</v>
      </c>
      <c r="B7" s="400" t="s">
        <v>561</v>
      </c>
      <c r="C7" s="404">
        <f ca="1">+'[56]KJB-7,14 El Adj'!BN73</f>
        <v>1961447671.7378278</v>
      </c>
      <c r="D7" s="390"/>
      <c r="E7" s="402"/>
      <c r="F7" s="405"/>
      <c r="G7" s="406"/>
    </row>
    <row r="8" spans="1:7" ht="15" x14ac:dyDescent="0.25">
      <c r="A8" s="396">
        <v>6</v>
      </c>
      <c r="B8" s="407"/>
      <c r="C8" s="408">
        <f ca="1">SUM(C5:C7)</f>
        <v>2246265304.1460409</v>
      </c>
      <c r="D8" s="390"/>
      <c r="E8" s="396"/>
      <c r="F8" s="396"/>
      <c r="G8" s="399"/>
    </row>
    <row r="9" spans="1:7" ht="15" x14ac:dyDescent="0.25">
      <c r="A9" s="396">
        <v>7</v>
      </c>
      <c r="B9" s="400" t="s">
        <v>562</v>
      </c>
      <c r="C9" s="409">
        <f ca="1">+'[56]KJB-3,11 Def'!H19</f>
        <v>6.9699999999999998E-2</v>
      </c>
      <c r="D9" s="410"/>
      <c r="E9" s="396"/>
      <c r="F9" s="396" t="s">
        <v>563</v>
      </c>
      <c r="G9" s="396" t="s">
        <v>564</v>
      </c>
    </row>
    <row r="10" spans="1:7" ht="15" x14ac:dyDescent="0.25">
      <c r="A10" s="396">
        <v>8</v>
      </c>
      <c r="B10" s="411"/>
      <c r="C10" s="402"/>
      <c r="D10" s="396" t="s">
        <v>565</v>
      </c>
      <c r="E10" s="396"/>
      <c r="F10" s="396" t="s">
        <v>566</v>
      </c>
      <c r="G10" s="396" t="s">
        <v>566</v>
      </c>
    </row>
    <row r="11" spans="1:7" ht="15" x14ac:dyDescent="0.25">
      <c r="A11" s="396">
        <v>9</v>
      </c>
      <c r="B11" s="412"/>
      <c r="C11" s="402"/>
      <c r="D11" s="413" t="s">
        <v>567</v>
      </c>
      <c r="E11" s="414" t="s">
        <v>568</v>
      </c>
      <c r="F11" s="414" t="s">
        <v>569</v>
      </c>
      <c r="G11" s="414" t="s">
        <v>570</v>
      </c>
    </row>
    <row r="12" spans="1:7" ht="15" x14ac:dyDescent="0.25">
      <c r="A12" s="396" t="s">
        <v>571</v>
      </c>
      <c r="B12" s="400"/>
      <c r="C12" s="413" t="s">
        <v>572</v>
      </c>
      <c r="D12" s="413" t="s">
        <v>573</v>
      </c>
      <c r="E12" s="413" t="s">
        <v>574</v>
      </c>
      <c r="F12" s="414" t="s">
        <v>575</v>
      </c>
      <c r="G12" s="414" t="s">
        <v>576</v>
      </c>
    </row>
    <row r="13" spans="1:7" ht="15" x14ac:dyDescent="0.25">
      <c r="A13" s="396">
        <v>10</v>
      </c>
      <c r="B13" s="400" t="s">
        <v>577</v>
      </c>
      <c r="C13" s="401">
        <f ca="1">'[56]Exh.A-1'!$C$13</f>
        <v>17564314.5402111</v>
      </c>
      <c r="D13" s="415">
        <f t="shared" ref="D13:D34" ca="1" si="0">+C13/$C$39</f>
        <v>0.8475674343154771</v>
      </c>
      <c r="E13" s="416" t="s">
        <v>578</v>
      </c>
      <c r="F13" s="401">
        <f ca="1">+C13</f>
        <v>17564314.5402111</v>
      </c>
      <c r="G13" s="417">
        <v>0</v>
      </c>
    </row>
    <row r="14" spans="1:7" ht="15" x14ac:dyDescent="0.25">
      <c r="A14" s="396" t="s">
        <v>579</v>
      </c>
      <c r="B14" s="400" t="s">
        <v>580</v>
      </c>
      <c r="C14" s="403">
        <f ca="1">+'[56]Power Cost Bridge to A-1'!N28</f>
        <v>4769481.1386719989</v>
      </c>
      <c r="D14" s="415">
        <f t="shared" ca="1" si="0"/>
        <v>0.23015170233177235</v>
      </c>
      <c r="E14" s="416" t="s">
        <v>581</v>
      </c>
      <c r="F14" s="402"/>
      <c r="G14" s="405">
        <f ca="1">+C14</f>
        <v>4769481.1386719989</v>
      </c>
    </row>
    <row r="15" spans="1:7" ht="15" x14ac:dyDescent="0.25">
      <c r="A15" s="396">
        <v>11</v>
      </c>
      <c r="B15" s="407" t="s">
        <v>582</v>
      </c>
      <c r="C15" s="418">
        <f ca="1">'[56]Exh.A-1'!$C$15</f>
        <v>7564532.2684628917</v>
      </c>
      <c r="D15" s="415">
        <f t="shared" ca="1" si="0"/>
        <v>0.36502712314218622</v>
      </c>
      <c r="E15" s="416" t="s">
        <v>578</v>
      </c>
      <c r="F15" s="405">
        <f ca="1">+C15</f>
        <v>7564532.2684628917</v>
      </c>
      <c r="G15" s="402"/>
    </row>
    <row r="16" spans="1:7" ht="15" x14ac:dyDescent="0.25">
      <c r="A16" s="396">
        <v>12</v>
      </c>
      <c r="B16" s="407" t="s">
        <v>583</v>
      </c>
      <c r="C16" s="403">
        <f ca="1">'[56]Exh.A-1'!$C$16</f>
        <v>173054307.24066657</v>
      </c>
      <c r="D16" s="415">
        <f t="shared" ca="1" si="0"/>
        <v>8.3507497459932871</v>
      </c>
      <c r="E16" s="416" t="s">
        <v>578</v>
      </c>
      <c r="F16" s="403">
        <f ca="1">+C16</f>
        <v>173054307.24066657</v>
      </c>
      <c r="G16" s="402"/>
    </row>
    <row r="17" spans="1:7" ht="15" x14ac:dyDescent="0.25">
      <c r="A17" s="396">
        <v>13</v>
      </c>
      <c r="B17" s="407" t="s">
        <v>584</v>
      </c>
      <c r="C17" s="403">
        <f ca="1">+'[56]Power Cost Bridge to A-1'!N15</f>
        <v>69962949.456452519</v>
      </c>
      <c r="D17" s="415">
        <f t="shared" ca="1" si="0"/>
        <v>3.3760678466668006</v>
      </c>
      <c r="E17" s="416" t="s">
        <v>581</v>
      </c>
      <c r="F17" s="403"/>
      <c r="G17" s="403">
        <f ca="1">+C17</f>
        <v>69962949.456452519</v>
      </c>
    </row>
    <row r="18" spans="1:7" ht="15" x14ac:dyDescent="0.25">
      <c r="A18" s="396">
        <v>14</v>
      </c>
      <c r="B18" s="407" t="s">
        <v>585</v>
      </c>
      <c r="C18" s="403">
        <f ca="1">+'[56]Power Cost Bridge to A-1'!N17</f>
        <v>378349379.60972166</v>
      </c>
      <c r="D18" s="415">
        <f t="shared" ca="1" si="0"/>
        <v>18.257280249480782</v>
      </c>
      <c r="E18" s="416" t="s">
        <v>581</v>
      </c>
      <c r="F18" s="403"/>
      <c r="G18" s="403">
        <f ca="1">+C18</f>
        <v>378349379.60972166</v>
      </c>
    </row>
    <row r="19" spans="1:7" ht="15" x14ac:dyDescent="0.25">
      <c r="A19" s="396">
        <v>15</v>
      </c>
      <c r="B19" s="407" t="s">
        <v>586</v>
      </c>
      <c r="C19" s="403">
        <f ca="1">+'[56]Power Cost Bridge to A-1'!N18+'[56]KJB-6,13 Cmn Adj'!AW14+'[56]KJB-6,13 Cmn Adj'!CC14+'[56]KJB-7,14 El Adj'!BM17</f>
        <v>7238267.1874165451</v>
      </c>
      <c r="D19" s="415">
        <f t="shared" ca="1" si="0"/>
        <v>0.34928317497864692</v>
      </c>
      <c r="E19" s="416" t="s">
        <v>578</v>
      </c>
      <c r="F19" s="403">
        <f ca="1">+C19</f>
        <v>7238267.1874165451</v>
      </c>
      <c r="G19" s="402"/>
    </row>
    <row r="20" spans="1:7" ht="15" x14ac:dyDescent="0.25">
      <c r="A20" s="396" t="s">
        <v>587</v>
      </c>
      <c r="B20" s="419" t="s">
        <v>588</v>
      </c>
      <c r="C20" s="403">
        <f ca="1">SUM('[56]KJB-7,14 El Adj'!BL19:BM19)</f>
        <v>8206061.1260157973</v>
      </c>
      <c r="D20" s="415">
        <f t="shared" ca="1" si="0"/>
        <v>0.39598415061915598</v>
      </c>
      <c r="E20" s="416" t="s">
        <v>578</v>
      </c>
      <c r="F20" s="403">
        <f ca="1">+C20</f>
        <v>8206061.1260157973</v>
      </c>
      <c r="G20" s="402"/>
    </row>
    <row r="21" spans="1:7" ht="15" x14ac:dyDescent="0.25">
      <c r="A21" s="396" t="s">
        <v>589</v>
      </c>
      <c r="B21" s="419" t="s">
        <v>590</v>
      </c>
      <c r="C21" s="403">
        <f ca="1">SUM('[56]KJB-7,14 El Adj'!BL21:BM21)</f>
        <v>2763777.09</v>
      </c>
      <c r="D21" s="415">
        <f t="shared" ca="1" si="0"/>
        <v>0.13336628946312651</v>
      </c>
      <c r="E21" s="416" t="s">
        <v>578</v>
      </c>
      <c r="F21" s="403">
        <f ca="1">+C21</f>
        <v>2763777.09</v>
      </c>
      <c r="G21" s="402"/>
    </row>
    <row r="22" spans="1:7" ht="15" x14ac:dyDescent="0.25">
      <c r="A22" s="396" t="s">
        <v>591</v>
      </c>
      <c r="B22" s="419" t="s">
        <v>592</v>
      </c>
      <c r="C22" s="403">
        <f ca="1">SUM('[56]KJB-7,14 El Adj'!BL31:BM31)</f>
        <v>1262663.2680056884</v>
      </c>
      <c r="D22" s="415">
        <f t="shared" ca="1" si="0"/>
        <v>6.092991924153475E-2</v>
      </c>
      <c r="E22" s="416" t="s">
        <v>581</v>
      </c>
      <c r="F22" s="403"/>
      <c r="G22" s="403">
        <f ca="1">+C22</f>
        <v>1262663.2680056884</v>
      </c>
    </row>
    <row r="23" spans="1:7" ht="15" x14ac:dyDescent="0.25">
      <c r="A23" s="396" t="s">
        <v>593</v>
      </c>
      <c r="B23" s="419" t="s">
        <v>594</v>
      </c>
      <c r="C23" s="403">
        <f ca="1">SUM('[56]KJB-7,14 El Adj'!BL32:BM32)</f>
        <v>2119540.3036357597</v>
      </c>
      <c r="D23" s="415">
        <f t="shared" ca="1" si="0"/>
        <v>0.1022785906599471</v>
      </c>
      <c r="E23" s="416" t="s">
        <v>578</v>
      </c>
      <c r="F23" s="403">
        <f ca="1">+C23</f>
        <v>2119540.3036357597</v>
      </c>
      <c r="G23" s="403"/>
    </row>
    <row r="24" spans="1:7" ht="15" x14ac:dyDescent="0.25">
      <c r="A24" s="396" t="s">
        <v>595</v>
      </c>
      <c r="B24" s="419" t="s">
        <v>596</v>
      </c>
      <c r="C24" s="403">
        <f ca="1">+'[56]Power Cost Bridge to A-1'!N19</f>
        <v>313332.07420681993</v>
      </c>
      <c r="D24" s="415">
        <f t="shared" ca="1" si="0"/>
        <v>1.5119864861007507E-2</v>
      </c>
      <c r="E24" s="416" t="s">
        <v>581</v>
      </c>
      <c r="F24" s="402"/>
      <c r="G24" s="405">
        <f ca="1">+C24</f>
        <v>313332.07420681993</v>
      </c>
    </row>
    <row r="25" spans="1:7" ht="15" x14ac:dyDescent="0.25">
      <c r="A25" s="396">
        <v>16</v>
      </c>
      <c r="B25" s="407" t="s">
        <v>597</v>
      </c>
      <c r="C25" s="403">
        <f ca="1">+'[56]Power Cost Bridge to A-1'!N16</f>
        <v>171115373.90212974</v>
      </c>
      <c r="D25" s="415">
        <f t="shared" ca="1" si="0"/>
        <v>8.2571863592018406</v>
      </c>
      <c r="E25" s="416" t="s">
        <v>581</v>
      </c>
      <c r="F25" s="402"/>
      <c r="G25" s="403">
        <f ca="1">+C25</f>
        <v>171115373.90212974</v>
      </c>
    </row>
    <row r="26" spans="1:7" ht="15" x14ac:dyDescent="0.25">
      <c r="A26" s="396">
        <v>17</v>
      </c>
      <c r="B26" s="407" t="s">
        <v>598</v>
      </c>
      <c r="C26" s="403">
        <f ca="1">+'[56]Power Cost Bridge to A-1'!N20</f>
        <v>108374278.4084733</v>
      </c>
      <c r="D26" s="415">
        <f t="shared" ca="1" si="0"/>
        <v>5.2296096660175699</v>
      </c>
      <c r="E26" s="416" t="s">
        <v>581</v>
      </c>
      <c r="F26" s="402"/>
      <c r="G26" s="403">
        <f ca="1">+C26</f>
        <v>108374278.4084733</v>
      </c>
    </row>
    <row r="27" spans="1:7" ht="15" x14ac:dyDescent="0.25">
      <c r="A27" s="396">
        <v>18</v>
      </c>
      <c r="B27" s="407" t="s">
        <v>599</v>
      </c>
      <c r="C27" s="403">
        <f ca="1">+'[56]Power Cost Bridge to A-1'!N27</f>
        <v>-11639833.365925668</v>
      </c>
      <c r="D27" s="415">
        <f t="shared" ca="1" si="0"/>
        <v>-0.56168111082453498</v>
      </c>
      <c r="E27" s="416" t="s">
        <v>578</v>
      </c>
      <c r="F27" s="403">
        <f ca="1">+C27</f>
        <v>-11639833.365925668</v>
      </c>
      <c r="G27" s="403"/>
    </row>
    <row r="28" spans="1:7" ht="15" x14ac:dyDescent="0.25">
      <c r="A28" s="396">
        <v>19</v>
      </c>
      <c r="B28" s="407" t="s">
        <v>600</v>
      </c>
      <c r="C28" s="403">
        <f ca="1">+[56]Summary!AT32</f>
        <v>138209148.65181684</v>
      </c>
      <c r="D28" s="415">
        <f t="shared" ca="1" si="0"/>
        <v>6.6692937691116345</v>
      </c>
      <c r="E28" s="416" t="s">
        <v>578</v>
      </c>
      <c r="F28" s="403">
        <f ca="1">+C28</f>
        <v>138209148.65181684</v>
      </c>
      <c r="G28" s="403"/>
    </row>
    <row r="29" spans="1:7" x14ac:dyDescent="0.3">
      <c r="A29" s="396">
        <v>20</v>
      </c>
      <c r="B29" s="407" t="s">
        <v>601</v>
      </c>
      <c r="C29" s="403">
        <f ca="1">-[56]Summary!AT19</f>
        <v>-36228866.83523047</v>
      </c>
      <c r="D29" s="415">
        <f t="shared" ca="1" si="0"/>
        <v>-1.7482269314521348</v>
      </c>
      <c r="E29" s="416" t="s">
        <v>581</v>
      </c>
      <c r="F29" s="403"/>
      <c r="G29" s="403">
        <f ca="1">+C29</f>
        <v>-36228866.83523047</v>
      </c>
    </row>
    <row r="30" spans="1:7" x14ac:dyDescent="0.3">
      <c r="A30" s="420">
        <v>21</v>
      </c>
      <c r="B30" s="421" t="s">
        <v>602</v>
      </c>
      <c r="C30" s="403">
        <f ca="1">+'[56]Power Cost Bridge to A-1'!N22</f>
        <v>-16223873.273980575</v>
      </c>
      <c r="D30" s="415">
        <f t="shared" ca="1" si="0"/>
        <v>-0.78288433140994562</v>
      </c>
      <c r="E30" s="416" t="s">
        <v>581</v>
      </c>
      <c r="F30" s="403"/>
      <c r="G30" s="403">
        <f ca="1">+C30</f>
        <v>-16223873.273980575</v>
      </c>
    </row>
    <row r="31" spans="1:7" x14ac:dyDescent="0.3">
      <c r="A31" s="396">
        <v>22</v>
      </c>
      <c r="B31" s="407" t="s">
        <v>603</v>
      </c>
      <c r="C31" s="403">
        <f ca="1">+'[56]Power Cost Bridge to A-1'!N26</f>
        <v>662134.87</v>
      </c>
      <c r="D31" s="415">
        <f t="shared" ca="1" si="0"/>
        <v>3.1951372292491807E-2</v>
      </c>
      <c r="E31" s="416" t="s">
        <v>578</v>
      </c>
      <c r="F31" s="403">
        <f ca="1">+C31</f>
        <v>662134.87</v>
      </c>
      <c r="G31" s="402"/>
    </row>
    <row r="32" spans="1:7" x14ac:dyDescent="0.3">
      <c r="A32" s="396">
        <v>23</v>
      </c>
      <c r="B32" s="422" t="s">
        <v>604</v>
      </c>
      <c r="C32" s="403">
        <f ca="1">SUM('[56]KJB-7,14 El Adj'!BL28:BM28)</f>
        <v>161583689.16694248</v>
      </c>
      <c r="D32" s="415">
        <f t="shared" ca="1" si="0"/>
        <v>7.7972341329301305</v>
      </c>
      <c r="E32" s="416" t="s">
        <v>578</v>
      </c>
      <c r="F32" s="403">
        <f ca="1">+C32</f>
        <v>161583689.16694248</v>
      </c>
      <c r="G32" s="402"/>
    </row>
    <row r="33" spans="1:7" x14ac:dyDescent="0.3">
      <c r="A33" s="396">
        <v>24</v>
      </c>
      <c r="B33" s="397" t="s">
        <v>605</v>
      </c>
      <c r="C33" s="403">
        <f ca="1">+'[56]Trans Ratebase'!F62</f>
        <v>3490805.0455442886</v>
      </c>
      <c r="D33" s="415">
        <f t="shared" ca="1" si="0"/>
        <v>0.16844908290465715</v>
      </c>
      <c r="E33" s="416" t="s">
        <v>578</v>
      </c>
      <c r="F33" s="405">
        <f ca="1">+C33</f>
        <v>3490805.0455442886</v>
      </c>
      <c r="G33" s="402"/>
    </row>
    <row r="34" spans="1:7" x14ac:dyDescent="0.3">
      <c r="A34" s="396">
        <f t="shared" ref="A34:A45" si="1">+A33+1</f>
        <v>25</v>
      </c>
      <c r="B34" s="397" t="s">
        <v>606</v>
      </c>
      <c r="C34" s="403">
        <f ca="1">+F57</f>
        <v>19415532.153878614</v>
      </c>
      <c r="D34" s="415">
        <f t="shared" ca="1" si="0"/>
        <v>0.93689809163112181</v>
      </c>
      <c r="E34" s="416" t="s">
        <v>578</v>
      </c>
      <c r="F34" s="403">
        <f ca="1">+C34</f>
        <v>19415532.153878614</v>
      </c>
      <c r="G34" s="402"/>
    </row>
    <row r="35" spans="1:7" x14ac:dyDescent="0.3">
      <c r="A35" s="396">
        <f t="shared" si="1"/>
        <v>26</v>
      </c>
      <c r="B35" s="423" t="s">
        <v>607</v>
      </c>
      <c r="C35" s="424"/>
      <c r="D35" s="424"/>
      <c r="E35" s="416"/>
      <c r="F35" s="424"/>
      <c r="G35" s="424"/>
    </row>
    <row r="36" spans="1:7" x14ac:dyDescent="0.3">
      <c r="A36" s="396">
        <f t="shared" si="1"/>
        <v>27</v>
      </c>
      <c r="B36" s="425" t="s">
        <v>608</v>
      </c>
      <c r="C36" s="426">
        <f ca="1">SUM(C13:C35)</f>
        <v>1211926994.0271161</v>
      </c>
      <c r="D36" s="427">
        <f ca="1">SUM(D13:D35)</f>
        <v>58.48163619215655</v>
      </c>
      <c r="E36" s="427"/>
      <c r="F36" s="426">
        <f ca="1">SUM(F13:F35)</f>
        <v>530232276.27866518</v>
      </c>
      <c r="G36" s="426">
        <f ca="1">SUM(G13:G35)</f>
        <v>681694717.74845052</v>
      </c>
    </row>
    <row r="37" spans="1:7" x14ac:dyDescent="0.3">
      <c r="A37" s="396">
        <f t="shared" si="1"/>
        <v>28</v>
      </c>
      <c r="B37" s="407" t="s">
        <v>609</v>
      </c>
      <c r="C37" s="428">
        <f ca="1">+'[56]KJB-3,11 Def'!M19</f>
        <v>0.95238599999999995</v>
      </c>
      <c r="D37" s="428">
        <f ca="1">+C37</f>
        <v>0.95238599999999995</v>
      </c>
      <c r="E37" s="428"/>
      <c r="F37" s="429">
        <f ca="1">+D37</f>
        <v>0.95238599999999995</v>
      </c>
      <c r="G37" s="429">
        <f ca="1">+F37</f>
        <v>0.95238599999999995</v>
      </c>
    </row>
    <row r="38" spans="1:7" x14ac:dyDescent="0.3">
      <c r="A38" s="396">
        <f t="shared" si="1"/>
        <v>29</v>
      </c>
      <c r="B38" s="407" t="s">
        <v>610</v>
      </c>
      <c r="C38" s="426">
        <f ca="1">+C36/C37</f>
        <v>1272516599.3904951</v>
      </c>
      <c r="D38" s="427">
        <f ca="1">+D36/C37</f>
        <v>61.405392553183852</v>
      </c>
      <c r="E38" s="427"/>
      <c r="F38" s="426">
        <f ca="1">+F36/F37</f>
        <v>556740939.36561978</v>
      </c>
      <c r="G38" s="426">
        <f ca="1">+G36/G37</f>
        <v>715775660.02487493</v>
      </c>
    </row>
    <row r="39" spans="1:7" x14ac:dyDescent="0.3">
      <c r="A39" s="396">
        <f t="shared" si="1"/>
        <v>30</v>
      </c>
      <c r="B39" s="407" t="s">
        <v>611</v>
      </c>
      <c r="C39" s="418">
        <f ca="1">+'[57]Variable Cost Production Factor'!$F$26</f>
        <v>20723206</v>
      </c>
      <c r="D39" s="430" t="s">
        <v>612</v>
      </c>
      <c r="E39" s="430"/>
      <c r="F39" s="402"/>
      <c r="G39" s="402"/>
    </row>
    <row r="40" spans="1:7" x14ac:dyDescent="0.3">
      <c r="A40" s="396">
        <f t="shared" si="1"/>
        <v>31</v>
      </c>
      <c r="B40" s="400"/>
      <c r="C40" s="417"/>
      <c r="D40" s="431" t="s">
        <v>22</v>
      </c>
      <c r="E40" s="431"/>
      <c r="F40" s="431" t="s">
        <v>563</v>
      </c>
      <c r="G40" s="431" t="s">
        <v>613</v>
      </c>
    </row>
    <row r="41" spans="1:7" x14ac:dyDescent="0.3">
      <c r="A41" s="396">
        <f t="shared" si="1"/>
        <v>32</v>
      </c>
      <c r="B41" s="407" t="s">
        <v>614</v>
      </c>
      <c r="C41" s="399"/>
      <c r="D41" s="399"/>
      <c r="E41" s="399"/>
      <c r="F41" s="399"/>
      <c r="G41" s="399"/>
    </row>
    <row r="42" spans="1:7" x14ac:dyDescent="0.3">
      <c r="A42" s="396">
        <f t="shared" si="1"/>
        <v>33</v>
      </c>
      <c r="B42" s="407" t="s">
        <v>615</v>
      </c>
      <c r="C42" s="432"/>
      <c r="D42" s="433">
        <f ca="1">+F42+G42</f>
        <v>58.481636192156543</v>
      </c>
      <c r="E42" s="433"/>
      <c r="F42" s="433">
        <f ca="1">+F36/$C$39</f>
        <v>25.586401847217328</v>
      </c>
      <c r="G42" s="433">
        <f ca="1">+G36/$C$39</f>
        <v>32.895234344939219</v>
      </c>
    </row>
    <row r="43" spans="1:7" x14ac:dyDescent="0.3">
      <c r="A43" s="396">
        <f t="shared" si="1"/>
        <v>34</v>
      </c>
      <c r="B43" s="407" t="s">
        <v>610</v>
      </c>
      <c r="C43" s="399"/>
      <c r="D43" s="433">
        <f ca="1">+F43+G43</f>
        <v>61.405392553183837</v>
      </c>
      <c r="E43" s="433"/>
      <c r="F43" s="433">
        <f ca="1">+F38/$C$39</f>
        <v>26.865579552006565</v>
      </c>
      <c r="G43" s="433">
        <f ca="1">+G38/$C$39</f>
        <v>34.539813001177272</v>
      </c>
    </row>
    <row r="44" spans="1:7" x14ac:dyDescent="0.3">
      <c r="A44" s="396">
        <f t="shared" si="1"/>
        <v>35</v>
      </c>
      <c r="B44" s="407"/>
      <c r="C44" s="399"/>
      <c r="D44" s="399"/>
      <c r="E44" s="399"/>
      <c r="F44" s="399"/>
      <c r="G44" s="399"/>
    </row>
    <row r="45" spans="1:7" x14ac:dyDescent="0.3">
      <c r="A45" s="396">
        <f t="shared" si="1"/>
        <v>36</v>
      </c>
      <c r="B45" s="407" t="s">
        <v>616</v>
      </c>
      <c r="C45" s="399"/>
      <c r="D45" s="399"/>
      <c r="E45" s="399"/>
      <c r="F45" s="399"/>
      <c r="G45" s="399"/>
    </row>
    <row r="46" spans="1:7" x14ac:dyDescent="0.3">
      <c r="A46" s="390"/>
      <c r="B46" s="434"/>
      <c r="C46" s="390"/>
      <c r="D46" s="390"/>
      <c r="E46" s="390"/>
      <c r="F46" s="390"/>
      <c r="G46" s="390"/>
    </row>
    <row r="47" spans="1:7" ht="15" thickBot="1" x14ac:dyDescent="0.35">
      <c r="A47" s="390"/>
      <c r="B47" s="435"/>
      <c r="C47" s="436"/>
      <c r="D47" s="437" t="s">
        <v>665</v>
      </c>
      <c r="E47" s="437"/>
      <c r="F47" s="437" t="s">
        <v>666</v>
      </c>
      <c r="G47" s="390"/>
    </row>
    <row r="48" spans="1:7" x14ac:dyDescent="0.3">
      <c r="A48" s="390"/>
      <c r="B48" s="438" t="s">
        <v>667</v>
      </c>
      <c r="C48" s="439"/>
      <c r="D48" s="440" t="s">
        <v>668</v>
      </c>
      <c r="E48" s="440"/>
      <c r="F48" s="441">
        <f ca="1">+'[56]Power Cost Bridge to A-1'!N9</f>
        <v>1</v>
      </c>
      <c r="G48" s="390"/>
    </row>
    <row r="49" spans="1:7" x14ac:dyDescent="0.3">
      <c r="A49" s="390"/>
      <c r="B49" s="442" t="s">
        <v>669</v>
      </c>
      <c r="C49" s="443">
        <v>407</v>
      </c>
      <c r="D49" s="444">
        <f ca="1">+'[56]KJB-7,14 El Adj'!BB23</f>
        <v>6553640.5497812936</v>
      </c>
      <c r="E49" s="444"/>
      <c r="F49" s="445">
        <f t="shared" ref="F49:F56" ca="1" si="2">+D49*$F$48</f>
        <v>6553640.5497812936</v>
      </c>
      <c r="G49" s="394"/>
    </row>
    <row r="50" spans="1:7" x14ac:dyDescent="0.3">
      <c r="A50" s="390"/>
      <c r="B50" s="446" t="s">
        <v>670</v>
      </c>
      <c r="C50" s="437">
        <v>407.3</v>
      </c>
      <c r="D50" s="447">
        <f ca="1">+'[56]KJB-7,14 El Adj'!AC45</f>
        <v>687420</v>
      </c>
      <c r="E50" s="447"/>
      <c r="F50" s="448">
        <f t="shared" ca="1" si="2"/>
        <v>687420</v>
      </c>
      <c r="G50" s="394"/>
    </row>
    <row r="51" spans="1:7" x14ac:dyDescent="0.3">
      <c r="A51" s="390"/>
      <c r="B51" s="446" t="s">
        <v>671</v>
      </c>
      <c r="C51" s="437">
        <v>407.3</v>
      </c>
      <c r="D51" s="447">
        <f ca="1">+'[56]KJB-7,14 El Adj'!AC40</f>
        <v>2885052</v>
      </c>
      <c r="E51" s="447"/>
      <c r="F51" s="448">
        <f t="shared" ca="1" si="2"/>
        <v>2885052</v>
      </c>
      <c r="G51" s="394"/>
    </row>
    <row r="52" spans="1:7" x14ac:dyDescent="0.3">
      <c r="A52" s="390"/>
      <c r="B52" s="449" t="s">
        <v>672</v>
      </c>
      <c r="C52" s="437">
        <v>407.3</v>
      </c>
      <c r="D52" s="447">
        <f ca="1">+'[56]KJB-7,14 El Adj'!AC49</f>
        <v>4520422.508572978</v>
      </c>
      <c r="E52" s="447"/>
      <c r="F52" s="448">
        <f t="shared" ca="1" si="2"/>
        <v>4520422.508572978</v>
      </c>
      <c r="G52" s="394"/>
    </row>
    <row r="53" spans="1:7" x14ac:dyDescent="0.3">
      <c r="A53" s="390"/>
      <c r="B53" s="449" t="s">
        <v>673</v>
      </c>
      <c r="C53" s="437">
        <v>407.3</v>
      </c>
      <c r="D53" s="447">
        <f ca="1">+'[56]KJB-7,14 El Adj'!AC47</f>
        <v>561126.34087998548</v>
      </c>
      <c r="E53" s="447"/>
      <c r="F53" s="448">
        <f t="shared" ca="1" si="2"/>
        <v>561126.34087998548</v>
      </c>
      <c r="G53" s="394"/>
    </row>
    <row r="54" spans="1:7" x14ac:dyDescent="0.3">
      <c r="A54" s="390"/>
      <c r="B54" s="449" t="s">
        <v>674</v>
      </c>
      <c r="C54" s="437">
        <v>407.3</v>
      </c>
      <c r="D54" s="447">
        <f ca="1">+'[56]KJB-7,14 El Adj'!AC48</f>
        <v>2203436.1529896799</v>
      </c>
      <c r="E54" s="447"/>
      <c r="F54" s="448">
        <f t="shared" ca="1" si="2"/>
        <v>2203436.1529896799</v>
      </c>
      <c r="G54" s="394"/>
    </row>
    <row r="55" spans="1:7" x14ac:dyDescent="0.3">
      <c r="A55" s="390"/>
      <c r="B55" s="449" t="s">
        <v>675</v>
      </c>
      <c r="C55" s="437">
        <v>407.4</v>
      </c>
      <c r="D55" s="447">
        <f ca="1">+'[56]KJB-7,14 El Adj'!AC50+'[56]KJB-7,14 El Adj'!AC51</f>
        <v>-1781873.2383453234</v>
      </c>
      <c r="E55" s="447"/>
      <c r="F55" s="448">
        <f t="shared" ca="1" si="2"/>
        <v>-1781873.2383453234</v>
      </c>
      <c r="G55" s="394"/>
    </row>
    <row r="56" spans="1:7" x14ac:dyDescent="0.3">
      <c r="A56" s="390"/>
      <c r="B56" s="449" t="s">
        <v>676</v>
      </c>
      <c r="C56" s="437">
        <v>407</v>
      </c>
      <c r="D56" s="450">
        <f ca="1">+'[56]KJB-7,14 El Adj'!AC52</f>
        <v>3786307.8400000003</v>
      </c>
      <c r="E56" s="450"/>
      <c r="F56" s="451">
        <f t="shared" ca="1" si="2"/>
        <v>3786307.8400000003</v>
      </c>
      <c r="G56" s="394"/>
    </row>
    <row r="57" spans="1:7" x14ac:dyDescent="0.3">
      <c r="A57" s="390"/>
      <c r="B57" s="446" t="s">
        <v>677</v>
      </c>
      <c r="C57" s="452"/>
      <c r="D57" s="450">
        <f ca="1">SUM(D49:D56)</f>
        <v>19415532.153878614</v>
      </c>
      <c r="E57" s="450"/>
      <c r="F57" s="451">
        <f ca="1">SUM(F49:F56)</f>
        <v>19415532.153878614</v>
      </c>
      <c r="G57" s="394">
        <f ca="1">+SUM('[56]KJB-7,14 El Adj'!BL47:BM47)-F57</f>
        <v>0</v>
      </c>
    </row>
    <row r="58" spans="1:7" ht="15" thickBot="1" x14ac:dyDescent="0.35">
      <c r="A58" s="390"/>
      <c r="B58" s="453"/>
      <c r="C58" s="454" t="s">
        <v>678</v>
      </c>
      <c r="D58" s="455">
        <f ca="1">+'[56]KJB-7,14 El Adj'!AC53-D57</f>
        <v>0</v>
      </c>
      <c r="E58" s="455"/>
      <c r="F58" s="456">
        <f ca="1">+F57/D57-F48</f>
        <v>0</v>
      </c>
      <c r="G58" s="390"/>
    </row>
    <row r="59" spans="1:7" x14ac:dyDescent="0.3">
      <c r="A59" s="457"/>
      <c r="B59" s="457"/>
      <c r="C59" s="457"/>
      <c r="D59" s="457"/>
      <c r="E59" s="457"/>
      <c r="F59" s="457"/>
      <c r="G59" s="390"/>
    </row>
  </sheetData>
  <pageMargins left="0.7" right="0.7" top="0.75" bottom="0.75" header="0.3" footer="0.3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G14" sqref="G14:G15"/>
      <selection pane="bottomLeft" activeCell="K31" sqref="K31"/>
    </sheetView>
  </sheetViews>
  <sheetFormatPr defaultColWidth="11.6640625" defaultRowHeight="15.6" x14ac:dyDescent="0.3"/>
  <cols>
    <col min="1" max="1" width="25.5546875" style="135" bestFit="1" customWidth="1"/>
    <col min="2" max="2" width="1.5546875" style="135" bestFit="1" customWidth="1"/>
    <col min="3" max="3" width="16.33203125" style="135" bestFit="1" customWidth="1"/>
    <col min="4" max="4" width="12.33203125" style="135" bestFit="1" customWidth="1"/>
    <col min="5" max="5" width="2.33203125" style="135" bestFit="1" customWidth="1"/>
    <col min="6" max="6" width="16.33203125" style="135" bestFit="1" customWidth="1"/>
    <col min="7" max="7" width="19.44140625" style="135" customWidth="1"/>
    <col min="8" max="8" width="2.33203125" style="135" bestFit="1" customWidth="1"/>
    <col min="9" max="9" width="19.44140625" style="135" customWidth="1"/>
    <col min="10" max="10" width="1.88671875" style="135" customWidth="1"/>
    <col min="11" max="11" width="25.6640625" style="135" bestFit="1" customWidth="1"/>
    <col min="12" max="12" width="18.33203125" style="142" bestFit="1" customWidth="1"/>
    <col min="13" max="13" width="13.6640625" style="142" customWidth="1"/>
    <col min="14" max="14" width="24" style="142" customWidth="1"/>
    <col min="15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31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ht="15.75" x14ac:dyDescent="0.25">
      <c r="A5" s="139" t="s">
        <v>333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1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1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">
        <v>334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1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15.75" x14ac:dyDescent="0.25">
      <c r="A11" s="150" t="s">
        <v>338</v>
      </c>
      <c r="B11" s="151"/>
      <c r="C11" s="151"/>
      <c r="D11" s="152"/>
      <c r="E11" s="151"/>
      <c r="F11" s="151"/>
      <c r="G11" s="152"/>
      <c r="H11" s="151"/>
      <c r="I11" s="151"/>
      <c r="J11" s="151"/>
      <c r="K11" s="287"/>
      <c r="L11" s="288"/>
      <c r="M11" s="288"/>
    </row>
    <row r="12" spans="1:31" ht="15.75" x14ac:dyDescent="0.25">
      <c r="A12" s="153" t="s">
        <v>339</v>
      </c>
      <c r="B12" s="151"/>
      <c r="C12" s="151"/>
      <c r="D12" s="152"/>
      <c r="E12" s="151"/>
      <c r="F12" s="151"/>
      <c r="G12" s="152"/>
      <c r="H12" s="151"/>
      <c r="I12" s="151"/>
      <c r="J12" s="151"/>
      <c r="K12" s="289"/>
      <c r="L12" s="288"/>
      <c r="M12" s="288"/>
    </row>
    <row r="13" spans="1:31" ht="15.75" x14ac:dyDescent="0.25">
      <c r="A13" s="151" t="s">
        <v>21</v>
      </c>
      <c r="B13" s="151"/>
      <c r="C13" s="151"/>
      <c r="D13" s="152"/>
      <c r="E13" s="151"/>
      <c r="F13" s="151"/>
      <c r="G13" s="152"/>
      <c r="H13" s="151"/>
      <c r="I13" s="151"/>
      <c r="J13" s="151"/>
      <c r="K13" s="287"/>
      <c r="L13" s="288"/>
      <c r="M13" s="154"/>
    </row>
    <row r="14" spans="1:31" ht="15.75" x14ac:dyDescent="0.25">
      <c r="A14" s="151" t="s">
        <v>340</v>
      </c>
      <c r="B14" s="151"/>
      <c r="C14" s="152">
        <f ca="1">'[59]Tariff 7'!$D$7</f>
        <v>11996380</v>
      </c>
      <c r="D14" s="155">
        <f ca="1">'[58]Exhibit No.__(JAP-Tariff)'!$E$8</f>
        <v>7.49</v>
      </c>
      <c r="E14" s="151"/>
      <c r="F14" s="156">
        <f ca="1">ROUND(D14*$C14,0)</f>
        <v>89852886</v>
      </c>
      <c r="G14" s="155">
        <f ca="1">D14</f>
        <v>7.49</v>
      </c>
      <c r="H14" s="151"/>
      <c r="I14" s="156">
        <f ca="1">ROUND(G14*$C14,0)</f>
        <v>89852886</v>
      </c>
      <c r="J14" s="156"/>
      <c r="K14" s="500" t="s">
        <v>618</v>
      </c>
      <c r="L14" s="500"/>
      <c r="M14" s="500"/>
    </row>
    <row r="15" spans="1:31" ht="15.6" customHeight="1" x14ac:dyDescent="0.25">
      <c r="A15" s="151" t="s">
        <v>341</v>
      </c>
      <c r="B15" s="151"/>
      <c r="C15" s="152">
        <f ca="1">'[59]Tariff 7'!$D$8</f>
        <v>2918</v>
      </c>
      <c r="D15" s="155">
        <f ca="1">'[58]Exhibit No.__(JAP-Tariff)'!$E$9</f>
        <v>17.989999999999998</v>
      </c>
      <c r="E15" s="151"/>
      <c r="F15" s="156">
        <f ca="1">ROUND(D15*$C15,0)</f>
        <v>52495</v>
      </c>
      <c r="G15" s="155">
        <f ca="1">D15</f>
        <v>17.989999999999998</v>
      </c>
      <c r="H15" s="151"/>
      <c r="I15" s="156">
        <f ca="1">ROUND(G15*$C15,0)</f>
        <v>52495</v>
      </c>
      <c r="J15" s="156"/>
      <c r="K15" s="500" t="s">
        <v>618</v>
      </c>
      <c r="L15" s="500"/>
      <c r="M15" s="500"/>
    </row>
    <row r="16" spans="1:31" ht="15.75" x14ac:dyDescent="0.25">
      <c r="A16" s="157" t="s">
        <v>210</v>
      </c>
      <c r="B16" s="151"/>
      <c r="C16" s="158">
        <f ca="1">SUM(C14:C15)</f>
        <v>11999298</v>
      </c>
      <c r="D16" s="159"/>
      <c r="E16" s="151"/>
      <c r="F16" s="160">
        <f ca="1">SUM(F14:F15)</f>
        <v>89905381</v>
      </c>
      <c r="G16" s="159"/>
      <c r="H16" s="151"/>
      <c r="I16" s="160">
        <f ca="1">SUM(I14:I15)</f>
        <v>89905381</v>
      </c>
      <c r="J16" s="156"/>
      <c r="K16" s="500"/>
      <c r="L16" s="500"/>
      <c r="M16" s="500"/>
    </row>
    <row r="17" spans="1:33" ht="15.75" x14ac:dyDescent="0.25">
      <c r="A17" s="151" t="s">
        <v>319</v>
      </c>
      <c r="B17" s="151"/>
      <c r="C17" s="161"/>
      <c r="D17" s="159"/>
      <c r="E17" s="151"/>
      <c r="F17" s="162"/>
      <c r="G17" s="159"/>
      <c r="H17" s="151"/>
      <c r="I17" s="162"/>
      <c r="J17" s="156"/>
      <c r="K17" s="290"/>
      <c r="L17" s="290"/>
      <c r="M17" s="290"/>
    </row>
    <row r="18" spans="1:33" ht="15.75" x14ac:dyDescent="0.25">
      <c r="A18" s="163" t="s">
        <v>201</v>
      </c>
      <c r="B18" s="151"/>
      <c r="C18" s="152">
        <f ca="1">'[59]Tariff 7'!D12</f>
        <v>5973778123</v>
      </c>
      <c r="D18" s="164">
        <f ca="1">'[58]Exhibit No.__(JAP-Tariff)'!$E$11</f>
        <v>8.5578000000000001E-2</v>
      </c>
      <c r="E18" s="151"/>
      <c r="F18" s="156">
        <f ca="1">ROUND(D18*$C18,0)</f>
        <v>511223984</v>
      </c>
      <c r="G18" s="165">
        <f ca="1">'[58]Exhibit No.__(JAP-Res RD)'!$G$18</f>
        <v>8.7335999999999997E-2</v>
      </c>
      <c r="H18" s="151"/>
      <c r="I18" s="156">
        <f ca="1">ROUND(G18*$C18,0)</f>
        <v>521725886</v>
      </c>
      <c r="J18" s="156"/>
      <c r="K18" s="500" t="s">
        <v>342</v>
      </c>
      <c r="L18" s="500"/>
      <c r="M18" s="500"/>
    </row>
    <row r="19" spans="1:33" ht="15.6" customHeight="1" x14ac:dyDescent="0.25">
      <c r="A19" s="163" t="s">
        <v>343</v>
      </c>
      <c r="B19" s="151"/>
      <c r="C19" s="152">
        <f ca="1">'[59]Tariff 7'!D13</f>
        <v>4254038618</v>
      </c>
      <c r="D19" s="164">
        <f ca="1">'[58]Exhibit No.__(JAP-Tariff)'!$E$12</f>
        <v>0.104157</v>
      </c>
      <c r="E19" s="151"/>
      <c r="F19" s="156">
        <f ca="1">ROUND(D19*$C19,0)</f>
        <v>443087900</v>
      </c>
      <c r="G19" s="164">
        <f ca="1">ROUND(I18/F18*F19/C19,6)</f>
        <v>0.106297</v>
      </c>
      <c r="H19" s="151"/>
      <c r="I19" s="156">
        <f ca="1">ROUND(G19*$C19,0)</f>
        <v>452191543</v>
      </c>
      <c r="J19" s="156"/>
      <c r="K19" s="501" t="s">
        <v>344</v>
      </c>
      <c r="L19" s="501"/>
      <c r="M19" s="501"/>
      <c r="N19" s="166"/>
    </row>
    <row r="20" spans="1:33" ht="15.75" x14ac:dyDescent="0.25">
      <c r="A20" s="157" t="s">
        <v>210</v>
      </c>
      <c r="B20" s="169"/>
      <c r="C20" s="158">
        <f ca="1">SUM(C18:C19)</f>
        <v>10227816741</v>
      </c>
      <c r="D20" s="167"/>
      <c r="E20" s="156"/>
      <c r="F20" s="160">
        <f ca="1">SUM(F18:F19)</f>
        <v>954311884</v>
      </c>
      <c r="G20" s="156"/>
      <c r="H20" s="156"/>
      <c r="I20" s="160">
        <f ca="1">SUM(I18:I19)</f>
        <v>973917429</v>
      </c>
      <c r="J20" s="156"/>
      <c r="K20" s="500"/>
      <c r="L20" s="500"/>
      <c r="M20" s="500"/>
    </row>
    <row r="21" spans="1:33" ht="15.6" customHeight="1" x14ac:dyDescent="0.25">
      <c r="A21" s="168" t="s">
        <v>192</v>
      </c>
      <c r="B21" s="151"/>
      <c r="C21" s="152">
        <f ca="1">'[59]Tariff 7'!$D$15</f>
        <v>242969649</v>
      </c>
      <c r="D21" s="164">
        <f ca="1">D19</f>
        <v>0.104157</v>
      </c>
      <c r="E21" s="151"/>
      <c r="F21" s="156">
        <f ca="1">ROUND(D21*$C21,0)</f>
        <v>25306990</v>
      </c>
      <c r="G21" s="164">
        <f ca="1">G19</f>
        <v>0.106297</v>
      </c>
      <c r="H21" s="151"/>
      <c r="I21" s="156">
        <f ca="1">ROUND(G21*$C21,0)</f>
        <v>25826945</v>
      </c>
      <c r="J21" s="156"/>
      <c r="K21" s="499" t="s">
        <v>619</v>
      </c>
      <c r="L21" s="500"/>
      <c r="M21" s="500"/>
    </row>
    <row r="22" spans="1:33" ht="15.75" x14ac:dyDescent="0.25">
      <c r="A22" s="168" t="s">
        <v>193</v>
      </c>
      <c r="B22" s="291"/>
      <c r="C22" s="152">
        <f ca="1">'[59]Tariff 7'!$D$14</f>
        <v>-28359904.933104038</v>
      </c>
      <c r="D22" s="164">
        <f ca="1">ROUND(SUM($F$16,$F$20,$F$21)/SUM($C$20:$C$21),6)</f>
        <v>0.102144</v>
      </c>
      <c r="E22" s="292"/>
      <c r="F22" s="156">
        <f ca="1">ROUND(D22*$C22,0)</f>
        <v>-2896794</v>
      </c>
      <c r="G22" s="164">
        <f ca="1">D22*(1+M23)</f>
        <v>0.1040658114419887</v>
      </c>
      <c r="H22" s="292"/>
      <c r="I22" s="156">
        <f ca="1">ROUND(G22*$C22,0)</f>
        <v>-2951297</v>
      </c>
      <c r="J22" s="162"/>
      <c r="K22" s="500" t="s">
        <v>202</v>
      </c>
      <c r="L22" s="500"/>
      <c r="M22" s="500"/>
    </row>
    <row r="23" spans="1:33" ht="16.5" thickBot="1" x14ac:dyDescent="0.3">
      <c r="A23" s="151" t="s">
        <v>22</v>
      </c>
      <c r="B23" s="151"/>
      <c r="C23" s="171">
        <f ca="1">SUM(C20:C22)</f>
        <v>10442426485.066896</v>
      </c>
      <c r="D23" s="164"/>
      <c r="E23" s="292"/>
      <c r="F23" s="172">
        <f ca="1">SUM(F20:F22,F16)</f>
        <v>1066627461</v>
      </c>
      <c r="G23" s="292"/>
      <c r="H23" s="292"/>
      <c r="I23" s="172">
        <f ca="1">SUM(I20:I22,I16)</f>
        <v>1086698458</v>
      </c>
      <c r="J23" s="173"/>
      <c r="K23" s="293" t="s">
        <v>345</v>
      </c>
      <c r="L23" s="294">
        <f ca="1">'[58]Exhibit No.__(JAP-Rate Spread)'!K8*1000</f>
        <v>1086695765.1479592</v>
      </c>
      <c r="M23" s="295">
        <f ca="1">L23/F23-1</f>
        <v>1.8814726679870608E-2</v>
      </c>
    </row>
    <row r="24" spans="1:33" ht="16.5" thickTop="1" x14ac:dyDescent="0.25">
      <c r="A24" s="151"/>
      <c r="B24" s="151"/>
      <c r="C24" s="296"/>
      <c r="D24" s="162"/>
      <c r="E24" s="162"/>
      <c r="F24" s="162"/>
      <c r="G24" s="162"/>
      <c r="H24" s="162"/>
      <c r="I24" s="162"/>
      <c r="J24" s="162"/>
      <c r="K24" s="297" t="s">
        <v>46</v>
      </c>
      <c r="L24" s="298">
        <f ca="1">L23-I23</f>
        <v>-2692.8520407676697</v>
      </c>
      <c r="M24" s="299"/>
    </row>
    <row r="25" spans="1:33" ht="15.75" x14ac:dyDescent="0.25">
      <c r="C25" s="175"/>
      <c r="D25" s="170"/>
      <c r="E25" s="175"/>
      <c r="F25" s="176"/>
      <c r="G25" s="151" t="s">
        <v>235</v>
      </c>
      <c r="H25" s="175"/>
      <c r="I25" s="156" t="s">
        <v>235</v>
      </c>
      <c r="J25" s="156"/>
      <c r="K25" s="177"/>
      <c r="L25" s="178"/>
      <c r="M25" s="178"/>
      <c r="N25" s="134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G25" s="179"/>
    </row>
    <row r="26" spans="1:33" ht="15.75" x14ac:dyDescent="0.25">
      <c r="A26" s="151"/>
      <c r="B26" s="151"/>
      <c r="C26" s="174"/>
      <c r="D26" s="164"/>
      <c r="E26" s="162"/>
      <c r="F26" s="176"/>
      <c r="G26" s="162"/>
      <c r="H26" s="162"/>
      <c r="I26" s="162"/>
      <c r="J26" s="162"/>
      <c r="K26" s="133"/>
      <c r="L26" s="165"/>
      <c r="M26" s="134"/>
      <c r="N26" s="180"/>
      <c r="O26" s="181"/>
      <c r="P26" s="181"/>
      <c r="Z26" s="133"/>
      <c r="AA26" s="133"/>
      <c r="AB26" s="133"/>
      <c r="AC26" s="133"/>
      <c r="AD26" s="133"/>
      <c r="AE26" s="133"/>
      <c r="AG26" s="179"/>
    </row>
    <row r="27" spans="1:33" ht="15.75" x14ac:dyDescent="0.25">
      <c r="A27" s="151"/>
      <c r="B27" s="182"/>
      <c r="C27" s="152"/>
      <c r="D27" s="151"/>
      <c r="E27" s="151"/>
      <c r="F27" s="176"/>
      <c r="G27" s="151" t="s">
        <v>235</v>
      </c>
      <c r="H27" s="151"/>
      <c r="I27" s="156" t="s">
        <v>235</v>
      </c>
      <c r="J27" s="156"/>
      <c r="K27" s="133"/>
      <c r="L27" s="134"/>
      <c r="M27" s="134"/>
      <c r="N27" s="13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G27" s="179"/>
    </row>
    <row r="28" spans="1:33" ht="15.75" x14ac:dyDescent="0.25">
      <c r="F28" s="176"/>
    </row>
    <row r="29" spans="1:33" ht="15.75" x14ac:dyDescent="0.25">
      <c r="C29" s="175"/>
      <c r="D29" s="170"/>
      <c r="E29" s="175"/>
      <c r="F29" s="176"/>
      <c r="G29" s="151" t="s">
        <v>235</v>
      </c>
      <c r="H29" s="175"/>
      <c r="I29" s="156" t="s">
        <v>235</v>
      </c>
      <c r="J29" s="156"/>
      <c r="K29" s="133"/>
      <c r="L29" s="134"/>
      <c r="M29" s="134"/>
    </row>
    <row r="30" spans="1:33" ht="15.75" x14ac:dyDescent="0.25">
      <c r="F30" s="176"/>
    </row>
    <row r="31" spans="1:33" ht="15.75" x14ac:dyDescent="0.25">
      <c r="F31" s="176"/>
    </row>
    <row r="32" spans="1:33" ht="15.75" x14ac:dyDescent="0.25">
      <c r="F32" s="176"/>
    </row>
    <row r="33" spans="7:11" ht="15.75" x14ac:dyDescent="0.25">
      <c r="G33" s="183"/>
      <c r="K33" s="184"/>
    </row>
    <row r="34" spans="7:11" ht="15.75" x14ac:dyDescent="0.25">
      <c r="G34" s="183"/>
      <c r="K34" s="184"/>
    </row>
  </sheetData>
  <mergeCells count="14">
    <mergeCell ref="K21:M21"/>
    <mergeCell ref="K22:M22"/>
    <mergeCell ref="K14:M14"/>
    <mergeCell ref="K15:M15"/>
    <mergeCell ref="K16:M16"/>
    <mergeCell ref="K18:M18"/>
    <mergeCell ref="K19:M19"/>
    <mergeCell ref="K20:M20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76" orientation="landscape" r:id="rId1"/>
  <headerFooter alignWithMargins="0">
    <oddFooter>&amp;L&amp;F&amp;C
&amp;A&amp;RElectric Rate Design Workpapers
Docket No. UE-17xxxx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3DD7BA6-1EB2-4DDF-AF95-CFB0303489E8}"/>
</file>

<file path=customXml/itemProps2.xml><?xml version="1.0" encoding="utf-8"?>
<ds:datastoreItem xmlns:ds="http://schemas.openxmlformats.org/officeDocument/2006/customXml" ds:itemID="{CFB85D55-6DCE-477A-9214-4E2019A5E8B9}"/>
</file>

<file path=customXml/itemProps3.xml><?xml version="1.0" encoding="utf-8"?>
<ds:datastoreItem xmlns:ds="http://schemas.openxmlformats.org/officeDocument/2006/customXml" ds:itemID="{E0A28764-7EB2-4383-8FA4-E2B7F134F5E5}"/>
</file>

<file path=customXml/itemProps4.xml><?xml version="1.0" encoding="utf-8"?>
<ds:datastoreItem xmlns:ds="http://schemas.openxmlformats.org/officeDocument/2006/customXml" ds:itemID="{F994ADAE-5B6C-4ED0-BA53-739D7B45F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JAP-41 Page 1</vt:lpstr>
      <vt:lpstr>JAP-41 Page 2</vt:lpstr>
      <vt:lpstr>JAP-41 Page 3</vt:lpstr>
      <vt:lpstr>JAP-41 Page 3a</vt:lpstr>
      <vt:lpstr>JAP-41 Page 4</vt:lpstr>
      <vt:lpstr>Work Papers For Exhibits--&gt;</vt:lpstr>
      <vt:lpstr>2017 GRC PCA Costs</vt:lpstr>
      <vt:lpstr>Exhibit A-1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Tariff 26</vt:lpstr>
      <vt:lpstr>Tariff 26P</vt:lpstr>
      <vt:lpstr>Tariff 31</vt:lpstr>
      <vt:lpstr>12ME Sep16 Cust Data</vt:lpstr>
      <vt:lpstr>Delivered kWh</vt:lpstr>
      <vt:lpstr>'12ME Sep16 Cust Data'!Print_Area</vt:lpstr>
      <vt:lpstr>'2017 GRC PCA Costs'!Print_Area</vt:lpstr>
      <vt:lpstr>'Delivered kWh'!Print_Area</vt:lpstr>
      <vt:lpstr>'Exhibit No.__(JAP-CAMP RD)'!Print_Area</vt:lpstr>
      <vt:lpstr>'Exhibit No.__(JAP-HV RD)'!Print_Area</vt:lpstr>
      <vt:lpstr>'Exhibit No.__(JAP-PV RD)'!Print_Area</vt:lpstr>
      <vt:lpstr>'Exhibit No.__(JAP-Res RD)'!Print_Area</vt:lpstr>
      <vt:lpstr>'Exhibit No.__(JAP-SV RD)'!Print_Area</vt:lpstr>
      <vt:lpstr>'Tariff 26'!Print_Area</vt:lpstr>
      <vt:lpstr>'Tariff 26P'!Print_Area</vt:lpstr>
      <vt:lpstr>'Tariff 31'!Print_Area</vt:lpstr>
      <vt:lpstr>'Exhibit No.__(JAP-CAMP RD)'!Print_Titles</vt:lpstr>
      <vt:lpstr>'Exhibit No.__(JAP-HV RD)'!Print_Titles</vt:lpstr>
      <vt:lpstr>'Exhibit No.__(JAP-PV RD)'!Print_Titles</vt:lpstr>
      <vt:lpstr>'Exhibit No.__(JAP-Res RD)'!Print_Titles</vt:lpstr>
      <vt:lpstr>'Exhibit No.__(JAP-SV RD)'!Print_Titles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kbarnard</cp:lastModifiedBy>
  <cp:lastPrinted>2017-12-08T23:23:03Z</cp:lastPrinted>
  <dcterms:created xsi:type="dcterms:W3CDTF">2012-10-25T22:13:28Z</dcterms:created>
  <dcterms:modified xsi:type="dcterms:W3CDTF">2018-04-05T15:43:58Z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