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6.xml" ContentType="application/vnd.openxmlformats-officedocument.spreadsheetml.worksheet+xml"/>
  <Override PartName="/xl/theme/theme1.xml" ContentType="application/vnd.openxmlformats-officedocument.theme+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customXml/itemProps2.xml" ContentType="application/vnd.openxmlformats-officedocument.customXmlProperties+xml"/>
  <Override PartName="/customXml/itemProps3.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huey\OneDrive - Washington State Executive Branch Agencies\2018\April 2018\30\UE-170033\"/>
    </mc:Choice>
  </mc:AlternateContent>
  <bookViews>
    <workbookView xWindow="0" yWindow="135" windowWidth="19440" windowHeight="10845" tabRatio="464"/>
  </bookViews>
  <sheets>
    <sheet name="One Time Request =&gt;" sheetId="20" r:id="rId1"/>
    <sheet name="2017 GRC Stlmt" sheetId="16" r:id="rId2"/>
    <sheet name="Electric" sheetId="17" r:id="rId3"/>
    <sheet name="Gas" sheetId="18" r:id="rId4"/>
    <sheet name="Future Costs Totals" sheetId="19" r:id="rId5"/>
    <sheet name="Deferred Bal =&gt;" sheetId="1" r:id="rId6"/>
    <sheet name="ELEC Actual Q4 2016 - 2017" sheetId="2" r:id="rId7"/>
    <sheet name="GAS Actual Q4 2016 -2017" sheetId="3" r:id="rId8"/>
    <sheet name="Deferred Activity=&gt;" sheetId="4" r:id="rId9"/>
    <sheet name="ELEC Activity Summary" sheetId="5" r:id="rId10"/>
    <sheet name="ELEC Activity Q4 16 - 2017" sheetId="6" r:id="rId11"/>
    <sheet name="GAS Activity Summary" sheetId="7" r:id="rId12"/>
    <sheet name="GAS Activity Q4 2016 -2017" sheetId="8" r:id="rId13"/>
    <sheet name="Def Transfers &amp; Amort=&gt;" sheetId="9" r:id="rId14"/>
    <sheet name="ELEC Amort " sheetId="10" r:id="rId15"/>
    <sheet name="GAS Amort" sheetId="11" r:id="rId16"/>
  </sheets>
  <externalReferences>
    <externalReference r:id="rId17"/>
    <externalReference r:id="rId18"/>
    <externalReference r:id="rId19"/>
  </externalReferences>
  <definedNames>
    <definedName name="__123Graph_D" localSheetId="10" hidden="1">#REF!</definedName>
    <definedName name="__123Graph_D" localSheetId="9" hidden="1">#REF!</definedName>
    <definedName name="__123Graph_D" localSheetId="14" hidden="1">#REF!</definedName>
    <definedName name="__123Graph_D" localSheetId="12" hidden="1">#REF!</definedName>
    <definedName name="__123Graph_D" localSheetId="11" hidden="1">#REF!</definedName>
    <definedName name="__123Graph_D" localSheetId="7" hidden="1">#REF!</definedName>
    <definedName name="__123Graph_D" localSheetId="15" hidden="1">#REF!</definedName>
    <definedName name="__123Graph_D" hidden="1">#REF!</definedName>
    <definedName name="__123Graph_ECURRENT" localSheetId="10" hidden="1">[1]ConsolidatingPL!#REF!</definedName>
    <definedName name="__123Graph_ECURRENT" localSheetId="9" hidden="1">[1]ConsolidatingPL!#REF!</definedName>
    <definedName name="__123Graph_ECURRENT" localSheetId="14" hidden="1">[1]ConsolidatingPL!#REF!</definedName>
    <definedName name="__123Graph_ECURRENT" localSheetId="12" hidden="1">[1]ConsolidatingPL!#REF!</definedName>
    <definedName name="__123Graph_ECURRENT" localSheetId="11" hidden="1">[1]ConsolidatingPL!#REF!</definedName>
    <definedName name="__123Graph_ECURRENT" localSheetId="7" hidden="1">[1]ConsolidatingPL!#REF!</definedName>
    <definedName name="__123Graph_ECURRENT" localSheetId="15" hidden="1">[1]ConsolidatingPL!#REF!</definedName>
    <definedName name="__123Graph_ECURRENT" hidden="1">[1]ConsolidatingPL!#REF!</definedName>
    <definedName name="_Apr10" localSheetId="10">'[2](DR 118) 182.3'!#REF!</definedName>
    <definedName name="_Apr10" localSheetId="9">'[2](DR 118) 182.3'!#REF!</definedName>
    <definedName name="_Apr10" localSheetId="14">'[2](DR 118) 182.3'!#REF!</definedName>
    <definedName name="_Apr10" localSheetId="12">'[2](DR 118) 182.3'!#REF!</definedName>
    <definedName name="_Apr10" localSheetId="11">'[2](DR 118) 182.3'!#REF!</definedName>
    <definedName name="_Apr10" localSheetId="7">'[2](DR 118) 182.3'!#REF!</definedName>
    <definedName name="_Apr10" localSheetId="15">'[2](DR 118) 182.3'!#REF!</definedName>
    <definedName name="_Apr10">'[2](DR 118) 182.3'!#REF!</definedName>
    <definedName name="_Apr11" localSheetId="10">'[2](DR 118) 182.3'!#REF!</definedName>
    <definedName name="_Apr11" localSheetId="9">'[2](DR 118) 182.3'!#REF!</definedName>
    <definedName name="_Apr11" localSheetId="14">'[2](DR 118) 182.3'!#REF!</definedName>
    <definedName name="_Apr11" localSheetId="12">'[2](DR 118) 182.3'!#REF!</definedName>
    <definedName name="_Apr11" localSheetId="11">'[2](DR 118) 182.3'!#REF!</definedName>
    <definedName name="_Apr11" localSheetId="7">'[2](DR 118) 182.3'!#REF!</definedName>
    <definedName name="_Apr11" localSheetId="15">'[2](DR 118) 182.3'!#REF!</definedName>
    <definedName name="_Apr11">'[2](DR 118) 182.3'!#REF!</definedName>
    <definedName name="_Apr12" localSheetId="10">'[2](DR 118) 182.3'!#REF!</definedName>
    <definedName name="_Apr12" localSheetId="9">'[2](DR 118) 182.3'!#REF!</definedName>
    <definedName name="_Apr12" localSheetId="14">'[2](DR 118) 182.3'!#REF!</definedName>
    <definedName name="_Apr12" localSheetId="12">'[2](DR 118) 182.3'!#REF!</definedName>
    <definedName name="_Apr12" localSheetId="11">'[2](DR 118) 182.3'!#REF!</definedName>
    <definedName name="_Apr12" localSheetId="7">'[2](DR 118) 182.3'!#REF!</definedName>
    <definedName name="_Apr12" localSheetId="15">'[2](DR 118) 182.3'!#REF!</definedName>
    <definedName name="_Apr12">'[2](DR 118) 182.3'!#REF!</definedName>
    <definedName name="_Aug10" localSheetId="10">'[2](DR 118) 182.3'!#REF!</definedName>
    <definedName name="_Aug10" localSheetId="9">'[2](DR 118) 182.3'!#REF!</definedName>
    <definedName name="_Aug10" localSheetId="14">'[2](DR 118) 182.3'!#REF!</definedName>
    <definedName name="_Aug10" localSheetId="12">'[2](DR 118) 182.3'!#REF!</definedName>
    <definedName name="_Aug10" localSheetId="11">'[2](DR 118) 182.3'!#REF!</definedName>
    <definedName name="_Aug10" localSheetId="7">'[2](DR 118) 182.3'!#REF!</definedName>
    <definedName name="_Aug10" localSheetId="15">'[2](DR 118) 182.3'!#REF!</definedName>
    <definedName name="_Aug10">'[2](DR 118) 182.3'!#REF!</definedName>
    <definedName name="_Aug11" localSheetId="10">'[2](DR 118) 182.3'!#REF!</definedName>
    <definedName name="_Aug11" localSheetId="9">'[2](DR 118) 182.3'!#REF!</definedName>
    <definedName name="_Aug11" localSheetId="14">'[2](DR 118) 182.3'!#REF!</definedName>
    <definedName name="_Aug11" localSheetId="12">'[2](DR 118) 182.3'!#REF!</definedName>
    <definedName name="_Aug11" localSheetId="11">'[2](DR 118) 182.3'!#REF!</definedName>
    <definedName name="_Aug11" localSheetId="7">'[2](DR 118) 182.3'!#REF!</definedName>
    <definedName name="_Aug11" localSheetId="15">'[2](DR 118) 182.3'!#REF!</definedName>
    <definedName name="_Aug11">'[2](DR 118) 182.3'!#REF!</definedName>
    <definedName name="_Aug12" localSheetId="10">'[2](DR 118) 182.3'!#REF!</definedName>
    <definedName name="_Aug12" localSheetId="9">'[2](DR 118) 182.3'!#REF!</definedName>
    <definedName name="_Aug12" localSheetId="14">'[2](DR 118) 182.3'!#REF!</definedName>
    <definedName name="_Aug12" localSheetId="12">'[2](DR 118) 182.3'!#REF!</definedName>
    <definedName name="_Aug12" localSheetId="11">'[2](DR 118) 182.3'!#REF!</definedName>
    <definedName name="_Aug12" localSheetId="7">'[2](DR 118) 182.3'!#REF!</definedName>
    <definedName name="_Aug12" localSheetId="15">'[2](DR 118) 182.3'!#REF!</definedName>
    <definedName name="_Aug12">'[2](DR 118) 182.3'!#REF!</definedName>
    <definedName name="_Dec09" localSheetId="10">'[2](DR 118) 182.3'!#REF!</definedName>
    <definedName name="_Dec09" localSheetId="9">'[2](DR 118) 182.3'!#REF!</definedName>
    <definedName name="_Dec09" localSheetId="14">'[2](DR 118) 182.3'!#REF!</definedName>
    <definedName name="_Dec09" localSheetId="12">'[2](DR 118) 182.3'!#REF!</definedName>
    <definedName name="_Dec09" localSheetId="11">'[2](DR 118) 182.3'!#REF!</definedName>
    <definedName name="_Dec09" localSheetId="7">'[2](DR 118) 182.3'!#REF!</definedName>
    <definedName name="_Dec09" localSheetId="15">'[2](DR 118) 182.3'!#REF!</definedName>
    <definedName name="_Dec09">'[2](DR 118) 182.3'!#REF!</definedName>
    <definedName name="_Dec10" localSheetId="10">'[2](DR 118) 182.3'!#REF!</definedName>
    <definedName name="_Dec10" localSheetId="9">'[2](DR 118) 182.3'!#REF!</definedName>
    <definedName name="_Dec10" localSheetId="14">'[2](DR 118) 182.3'!#REF!</definedName>
    <definedName name="_Dec10" localSheetId="12">'[2](DR 118) 182.3'!#REF!</definedName>
    <definedName name="_Dec10" localSheetId="11">'[2](DR 118) 182.3'!#REF!</definedName>
    <definedName name="_Dec10" localSheetId="7">'[2](DR 118) 182.3'!#REF!</definedName>
    <definedName name="_Dec10" localSheetId="15">'[2](DR 118) 182.3'!#REF!</definedName>
    <definedName name="_Dec10">'[2](DR 118) 182.3'!#REF!</definedName>
    <definedName name="_Dec11" localSheetId="10">'[2](DR 118) 182.3'!#REF!</definedName>
    <definedName name="_Dec11" localSheetId="9">'[2](DR 118) 182.3'!#REF!</definedName>
    <definedName name="_Dec11" localSheetId="14">'[2](DR 118) 182.3'!#REF!</definedName>
    <definedName name="_Dec11" localSheetId="12">'[2](DR 118) 182.3'!#REF!</definedName>
    <definedName name="_Dec11" localSheetId="11">'[2](DR 118) 182.3'!#REF!</definedName>
    <definedName name="_Dec11" localSheetId="7">'[2](DR 118) 182.3'!#REF!</definedName>
    <definedName name="_Dec11" localSheetId="15">'[2](DR 118) 182.3'!#REF!</definedName>
    <definedName name="_Dec11">'[2](DR 118) 182.3'!#REF!</definedName>
    <definedName name="_End" localSheetId="10">'[2](DR 118) 182.3'!#REF!</definedName>
    <definedName name="_End" localSheetId="9">'[2](DR 118) 182.3'!#REF!</definedName>
    <definedName name="_End" localSheetId="14">'[2](DR 118) 182.3'!#REF!</definedName>
    <definedName name="_End" localSheetId="12">'[2](DR 118) 182.3'!#REF!</definedName>
    <definedName name="_End" localSheetId="11">'[2](DR 118) 182.3'!#REF!</definedName>
    <definedName name="_End" localSheetId="7">'[2](DR 118) 182.3'!#REF!</definedName>
    <definedName name="_End" localSheetId="15">'[2](DR 118) 182.3'!#REF!</definedName>
    <definedName name="_End">'[2](DR 118) 182.3'!#REF!</definedName>
    <definedName name="_Feb10" localSheetId="10">'[2](DR 118) 182.3'!#REF!</definedName>
    <definedName name="_Feb10" localSheetId="9">'[2](DR 118) 182.3'!#REF!</definedName>
    <definedName name="_Feb10" localSheetId="14">'[2](DR 118) 182.3'!#REF!</definedName>
    <definedName name="_Feb10" localSheetId="12">'[2](DR 118) 182.3'!#REF!</definedName>
    <definedName name="_Feb10" localSheetId="11">'[2](DR 118) 182.3'!#REF!</definedName>
    <definedName name="_Feb10" localSheetId="7">'[2](DR 118) 182.3'!#REF!</definedName>
    <definedName name="_Feb10" localSheetId="15">'[2](DR 118) 182.3'!#REF!</definedName>
    <definedName name="_Feb10">'[2](DR 118) 182.3'!#REF!</definedName>
    <definedName name="_Feb11" localSheetId="10">'[2](DR 118) 182.3'!#REF!</definedName>
    <definedName name="_Feb11" localSheetId="9">'[2](DR 118) 182.3'!#REF!</definedName>
    <definedName name="_Feb11" localSheetId="14">'[2](DR 118) 182.3'!#REF!</definedName>
    <definedName name="_Feb11" localSheetId="12">'[2](DR 118) 182.3'!#REF!</definedName>
    <definedName name="_Feb11" localSheetId="11">'[2](DR 118) 182.3'!#REF!</definedName>
    <definedName name="_Feb11" localSheetId="7">'[2](DR 118) 182.3'!#REF!</definedName>
    <definedName name="_Feb11" localSheetId="15">'[2](DR 118) 182.3'!#REF!</definedName>
    <definedName name="_Feb11">'[2](DR 118) 182.3'!#REF!</definedName>
    <definedName name="_Feb12" localSheetId="10">'[2](DR 118) 182.3'!#REF!</definedName>
    <definedName name="_Feb12" localSheetId="9">'[2](DR 118) 182.3'!#REF!</definedName>
    <definedName name="_Feb12" localSheetId="14">'[2](DR 118) 182.3'!#REF!</definedName>
    <definedName name="_Feb12" localSheetId="12">'[2](DR 118) 182.3'!#REF!</definedName>
    <definedName name="_Feb12" localSheetId="11">'[2](DR 118) 182.3'!#REF!</definedName>
    <definedName name="_Feb12" localSheetId="7">'[2](DR 118) 182.3'!#REF!</definedName>
    <definedName name="_Feb12" localSheetId="15">'[2](DR 118) 182.3'!#REF!</definedName>
    <definedName name="_Feb12">'[2](DR 118) 182.3'!#REF!</definedName>
    <definedName name="_Fill" localSheetId="10" hidden="1">#REF!</definedName>
    <definedName name="_Fill" localSheetId="9" hidden="1">#REF!</definedName>
    <definedName name="_Fill" localSheetId="14" hidden="1">#REF!</definedName>
    <definedName name="_Fill" localSheetId="12" hidden="1">#REF!</definedName>
    <definedName name="_Fill" localSheetId="11" hidden="1">#REF!</definedName>
    <definedName name="_Fill" localSheetId="7" hidden="1">#REF!</definedName>
    <definedName name="_Fill" localSheetId="15" hidden="1">#REF!</definedName>
    <definedName name="_Fill" hidden="1">#REF!</definedName>
    <definedName name="_Jan10" localSheetId="10">'[2](DR 118) 182.3'!#REF!</definedName>
    <definedName name="_Jan10" localSheetId="9">'[2](DR 118) 182.3'!#REF!</definedName>
    <definedName name="_Jan10" localSheetId="14">'[2](DR 118) 182.3'!#REF!</definedName>
    <definedName name="_Jan10" localSheetId="12">'[2](DR 118) 182.3'!#REF!</definedName>
    <definedName name="_Jan10" localSheetId="11">'[2](DR 118) 182.3'!#REF!</definedName>
    <definedName name="_Jan10" localSheetId="7">'[2](DR 118) 182.3'!#REF!</definedName>
    <definedName name="_Jan10" localSheetId="15">'[2](DR 118) 182.3'!#REF!</definedName>
    <definedName name="_Jan10">'[2](DR 118) 182.3'!#REF!</definedName>
    <definedName name="_Jan11" localSheetId="10">'[2](DR 118) 182.3'!#REF!</definedName>
    <definedName name="_Jan11" localSheetId="9">'[2](DR 118) 182.3'!#REF!</definedName>
    <definedName name="_Jan11" localSheetId="14">'[2](DR 118) 182.3'!#REF!</definedName>
    <definedName name="_Jan11" localSheetId="12">'[2](DR 118) 182.3'!#REF!</definedName>
    <definedName name="_Jan11" localSheetId="11">'[2](DR 118) 182.3'!#REF!</definedName>
    <definedName name="_Jan11" localSheetId="7">'[2](DR 118) 182.3'!#REF!</definedName>
    <definedName name="_Jan11" localSheetId="15">'[2](DR 118) 182.3'!#REF!</definedName>
    <definedName name="_Jan11">'[2](DR 118) 182.3'!#REF!</definedName>
    <definedName name="_Jan12" localSheetId="10">'[2](DR 118) 182.3'!#REF!</definedName>
    <definedName name="_Jan12" localSheetId="9">'[2](DR 118) 182.3'!#REF!</definedName>
    <definedName name="_Jan12" localSheetId="14">'[2](DR 118) 182.3'!#REF!</definedName>
    <definedName name="_Jan12" localSheetId="12">'[2](DR 118) 182.3'!#REF!</definedName>
    <definedName name="_Jan12" localSheetId="11">'[2](DR 118) 182.3'!#REF!</definedName>
    <definedName name="_Jan12" localSheetId="7">'[2](DR 118) 182.3'!#REF!</definedName>
    <definedName name="_Jan12" localSheetId="15">'[2](DR 118) 182.3'!#REF!</definedName>
    <definedName name="_Jan12">'[2](DR 118) 182.3'!#REF!</definedName>
    <definedName name="_Jul10" localSheetId="10">'[2](DR 118) 182.3'!#REF!</definedName>
    <definedName name="_Jul10" localSheetId="9">'[2](DR 118) 182.3'!#REF!</definedName>
    <definedName name="_Jul10" localSheetId="14">'[2](DR 118) 182.3'!#REF!</definedName>
    <definedName name="_Jul10" localSheetId="12">'[2](DR 118) 182.3'!#REF!</definedName>
    <definedName name="_Jul10" localSheetId="11">'[2](DR 118) 182.3'!#REF!</definedName>
    <definedName name="_Jul10" localSheetId="7">'[2](DR 118) 182.3'!#REF!</definedName>
    <definedName name="_Jul10" localSheetId="15">'[2](DR 118) 182.3'!#REF!</definedName>
    <definedName name="_Jul10">'[2](DR 118) 182.3'!#REF!</definedName>
    <definedName name="_Jul11" localSheetId="10" xml:space="preserve"> '[2](DR 118) 182.3'!#REF!</definedName>
    <definedName name="_Jul11" localSheetId="9" xml:space="preserve"> '[2](DR 118) 182.3'!#REF!</definedName>
    <definedName name="_Jul11" localSheetId="14" xml:space="preserve"> '[2](DR 118) 182.3'!#REF!</definedName>
    <definedName name="_Jul11" localSheetId="12" xml:space="preserve"> '[2](DR 118) 182.3'!#REF!</definedName>
    <definedName name="_Jul11" localSheetId="11" xml:space="preserve"> '[2](DR 118) 182.3'!#REF!</definedName>
    <definedName name="_Jul11" localSheetId="7" xml:space="preserve"> '[2](DR 118) 182.3'!#REF!</definedName>
    <definedName name="_Jul11" localSheetId="15" xml:space="preserve"> '[2](DR 118) 182.3'!#REF!</definedName>
    <definedName name="_Jul11" xml:space="preserve"> '[2](DR 118) 182.3'!#REF!</definedName>
    <definedName name="_Jul12" localSheetId="10">'[2](DR 118) 182.3'!#REF!</definedName>
    <definedName name="_Jul12" localSheetId="9">'[2](DR 118) 182.3'!#REF!</definedName>
    <definedName name="_Jul12" localSheetId="14">'[2](DR 118) 182.3'!#REF!</definedName>
    <definedName name="_Jul12" localSheetId="12">'[2](DR 118) 182.3'!#REF!</definedName>
    <definedName name="_Jul12" localSheetId="11">'[2](DR 118) 182.3'!#REF!</definedName>
    <definedName name="_Jul12" localSheetId="7">'[2](DR 118) 182.3'!#REF!</definedName>
    <definedName name="_Jul12" localSheetId="15">'[2](DR 118) 182.3'!#REF!</definedName>
    <definedName name="_Jul12">'[2](DR 118) 182.3'!#REF!</definedName>
    <definedName name="_Jun09">" BS!$AI$7:$AI$1643"</definedName>
    <definedName name="_Jun10" localSheetId="10">'[2](DR 118) 182.3'!#REF!</definedName>
    <definedName name="_Jun10" localSheetId="9">'[2](DR 118) 182.3'!#REF!</definedName>
    <definedName name="_Jun10" localSheetId="14">'[2](DR 118) 182.3'!#REF!</definedName>
    <definedName name="_Jun10" localSheetId="12">'[2](DR 118) 182.3'!#REF!</definedName>
    <definedName name="_Jun10" localSheetId="11">'[2](DR 118) 182.3'!#REF!</definedName>
    <definedName name="_Jun10" localSheetId="7">'[2](DR 118) 182.3'!#REF!</definedName>
    <definedName name="_Jun10" localSheetId="15">'[2](DR 118) 182.3'!#REF!</definedName>
    <definedName name="_Jun10">'[2](DR 118) 182.3'!#REF!</definedName>
    <definedName name="_Jun11" localSheetId="10">'[2](DR 118) 182.3'!#REF!</definedName>
    <definedName name="_Jun11" localSheetId="9">'[2](DR 118) 182.3'!#REF!</definedName>
    <definedName name="_Jun11" localSheetId="14">'[2](DR 118) 182.3'!#REF!</definedName>
    <definedName name="_Jun11" localSheetId="12">'[2](DR 118) 182.3'!#REF!</definedName>
    <definedName name="_Jun11" localSheetId="11">'[2](DR 118) 182.3'!#REF!</definedName>
    <definedName name="_Jun11" localSheetId="7">'[2](DR 118) 182.3'!#REF!</definedName>
    <definedName name="_Jun11" localSheetId="15">'[2](DR 118) 182.3'!#REF!</definedName>
    <definedName name="_Jun11">'[2](DR 118) 182.3'!#REF!</definedName>
    <definedName name="_Jun12" localSheetId="10">'[2](DR 118) 182.3'!#REF!</definedName>
    <definedName name="_Jun12" localSheetId="9">'[2](DR 118) 182.3'!#REF!</definedName>
    <definedName name="_Jun12" localSheetId="14">'[2](DR 118) 182.3'!#REF!</definedName>
    <definedName name="_Jun12" localSheetId="12">'[2](DR 118) 182.3'!#REF!</definedName>
    <definedName name="_Jun12" localSheetId="11">'[2](DR 118) 182.3'!#REF!</definedName>
    <definedName name="_Jun12" localSheetId="7">'[2](DR 118) 182.3'!#REF!</definedName>
    <definedName name="_Jun12" localSheetId="15">'[2](DR 118) 182.3'!#REF!</definedName>
    <definedName name="_Jun12">'[2](DR 118) 182.3'!#REF!</definedName>
    <definedName name="_Key1" localSheetId="10" hidden="1">#REF!</definedName>
    <definedName name="_Key1" localSheetId="9" hidden="1">#REF!</definedName>
    <definedName name="_Key1" localSheetId="14" hidden="1">#REF!</definedName>
    <definedName name="_Key1" localSheetId="12" hidden="1">#REF!</definedName>
    <definedName name="_Key1" localSheetId="11" hidden="1">#REF!</definedName>
    <definedName name="_Key1" localSheetId="7" hidden="1">#REF!</definedName>
    <definedName name="_Key1" localSheetId="15" hidden="1">#REF!</definedName>
    <definedName name="_Key1" hidden="1">#REF!</definedName>
    <definedName name="_Key2" localSheetId="10" hidden="1">#REF!</definedName>
    <definedName name="_Key2" localSheetId="9" hidden="1">#REF!</definedName>
    <definedName name="_Key2" localSheetId="14" hidden="1">#REF!</definedName>
    <definedName name="_Key2" localSheetId="12" hidden="1">#REF!</definedName>
    <definedName name="_Key2" localSheetId="11" hidden="1">#REF!</definedName>
    <definedName name="_Key2" localSheetId="7" hidden="1">#REF!</definedName>
    <definedName name="_Key2" localSheetId="15" hidden="1">#REF!</definedName>
    <definedName name="_Key2" hidden="1">#REF!</definedName>
    <definedName name="_Mar10" localSheetId="10">'[2](DR 118) 182.3'!#REF!</definedName>
    <definedName name="_Mar10" localSheetId="9">'[2](DR 118) 182.3'!#REF!</definedName>
    <definedName name="_Mar10" localSheetId="14">'[2](DR 118) 182.3'!#REF!</definedName>
    <definedName name="_Mar10" localSheetId="12">'[2](DR 118) 182.3'!#REF!</definedName>
    <definedName name="_Mar10" localSheetId="11">'[2](DR 118) 182.3'!#REF!</definedName>
    <definedName name="_Mar10" localSheetId="7">'[2](DR 118) 182.3'!#REF!</definedName>
    <definedName name="_Mar10" localSheetId="15">'[2](DR 118) 182.3'!#REF!</definedName>
    <definedName name="_Mar10">'[2](DR 118) 182.3'!#REF!</definedName>
    <definedName name="_Mar11" localSheetId="10">'[2](DR 118) 182.3'!#REF!</definedName>
    <definedName name="_Mar11" localSheetId="9">'[2](DR 118) 182.3'!#REF!</definedName>
    <definedName name="_Mar11" localSheetId="14">'[2](DR 118) 182.3'!#REF!</definedName>
    <definedName name="_Mar11" localSheetId="12">'[2](DR 118) 182.3'!#REF!</definedName>
    <definedName name="_Mar11" localSheetId="11">'[2](DR 118) 182.3'!#REF!</definedName>
    <definedName name="_Mar11" localSheetId="7">'[2](DR 118) 182.3'!#REF!</definedName>
    <definedName name="_Mar11" localSheetId="15">'[2](DR 118) 182.3'!#REF!</definedName>
    <definedName name="_Mar11">'[2](DR 118) 182.3'!#REF!</definedName>
    <definedName name="_Mar12" localSheetId="10">'[2](DR 118) 182.3'!#REF!</definedName>
    <definedName name="_Mar12" localSheetId="9">'[2](DR 118) 182.3'!#REF!</definedName>
    <definedName name="_Mar12" localSheetId="14">'[2](DR 118) 182.3'!#REF!</definedName>
    <definedName name="_Mar12" localSheetId="12">'[2](DR 118) 182.3'!#REF!</definedName>
    <definedName name="_Mar12" localSheetId="11">'[2](DR 118) 182.3'!#REF!</definedName>
    <definedName name="_Mar12" localSheetId="7">'[2](DR 118) 182.3'!#REF!</definedName>
    <definedName name="_Mar12" localSheetId="15">'[2](DR 118) 182.3'!#REF!</definedName>
    <definedName name="_Mar12">'[2](DR 118) 182.3'!#REF!</definedName>
    <definedName name="_May10" localSheetId="10">'[2](DR 118) 182.3'!#REF!</definedName>
    <definedName name="_May10" localSheetId="9">'[2](DR 118) 182.3'!#REF!</definedName>
    <definedName name="_May10" localSheetId="14">'[2](DR 118) 182.3'!#REF!</definedName>
    <definedName name="_May10" localSheetId="12">'[2](DR 118) 182.3'!#REF!</definedName>
    <definedName name="_May10" localSheetId="11">'[2](DR 118) 182.3'!#REF!</definedName>
    <definedName name="_May10" localSheetId="7">'[2](DR 118) 182.3'!#REF!</definedName>
    <definedName name="_May10" localSheetId="15">'[2](DR 118) 182.3'!#REF!</definedName>
    <definedName name="_May10">'[2](DR 118) 182.3'!#REF!</definedName>
    <definedName name="_May11" localSheetId="10">'[2](DR 118) 182.3'!#REF!</definedName>
    <definedName name="_May11" localSheetId="9">'[2](DR 118) 182.3'!#REF!</definedName>
    <definedName name="_May11" localSheetId="14">'[2](DR 118) 182.3'!#REF!</definedName>
    <definedName name="_May11" localSheetId="12">'[2](DR 118) 182.3'!#REF!</definedName>
    <definedName name="_May11" localSheetId="11">'[2](DR 118) 182.3'!#REF!</definedName>
    <definedName name="_May11" localSheetId="7">'[2](DR 118) 182.3'!#REF!</definedName>
    <definedName name="_May11" localSheetId="15">'[2](DR 118) 182.3'!#REF!</definedName>
    <definedName name="_May11">'[2](DR 118) 182.3'!#REF!</definedName>
    <definedName name="_May12" localSheetId="10">'[2](DR 118) 182.3'!#REF!</definedName>
    <definedName name="_May12" localSheetId="9">'[2](DR 118) 182.3'!#REF!</definedName>
    <definedName name="_May12" localSheetId="14">'[2](DR 118) 182.3'!#REF!</definedName>
    <definedName name="_May12" localSheetId="12">'[2](DR 118) 182.3'!#REF!</definedName>
    <definedName name="_May12" localSheetId="11">'[2](DR 118) 182.3'!#REF!</definedName>
    <definedName name="_May12" localSheetId="7">'[2](DR 118) 182.3'!#REF!</definedName>
    <definedName name="_May12" localSheetId="15">'[2](DR 118) 182.3'!#REF!</definedName>
    <definedName name="_May12">'[2](DR 118) 182.3'!#REF!</definedName>
    <definedName name="_Nov10" localSheetId="10">'[2](DR 118) 182.3'!#REF!</definedName>
    <definedName name="_Nov10" localSheetId="9">'[2](DR 118) 182.3'!#REF!</definedName>
    <definedName name="_Nov10" localSheetId="14">'[2](DR 118) 182.3'!#REF!</definedName>
    <definedName name="_Nov10" localSheetId="12">'[2](DR 118) 182.3'!#REF!</definedName>
    <definedName name="_Nov10" localSheetId="11">'[2](DR 118) 182.3'!#REF!</definedName>
    <definedName name="_Nov10" localSheetId="7">'[2](DR 118) 182.3'!#REF!</definedName>
    <definedName name="_Nov10" localSheetId="15">'[2](DR 118) 182.3'!#REF!</definedName>
    <definedName name="_Nov10">'[2](DR 118) 182.3'!#REF!</definedName>
    <definedName name="_Nov11" localSheetId="10">'[2](DR 118) 182.3'!#REF!</definedName>
    <definedName name="_Nov11" localSheetId="9">'[2](DR 118) 182.3'!#REF!</definedName>
    <definedName name="_Nov11" localSheetId="14">'[2](DR 118) 182.3'!#REF!</definedName>
    <definedName name="_Nov11" localSheetId="12">'[2](DR 118) 182.3'!#REF!</definedName>
    <definedName name="_Nov11" localSheetId="11">'[2](DR 118) 182.3'!#REF!</definedName>
    <definedName name="_Nov11" localSheetId="7">'[2](DR 118) 182.3'!#REF!</definedName>
    <definedName name="_Nov11" localSheetId="15">'[2](DR 118) 182.3'!#REF!</definedName>
    <definedName name="_Nov11">'[2](DR 118) 182.3'!#REF!</definedName>
    <definedName name="_Nov12" localSheetId="10">'[2](DR 118) 182.3'!#REF!</definedName>
    <definedName name="_Nov12" localSheetId="9">'[2](DR 118) 182.3'!#REF!</definedName>
    <definedName name="_Nov12" localSheetId="14">'[2](DR 118) 182.3'!#REF!</definedName>
    <definedName name="_Nov12" localSheetId="12">'[2](DR 118) 182.3'!#REF!</definedName>
    <definedName name="_Nov12" localSheetId="11">'[2](DR 118) 182.3'!#REF!</definedName>
    <definedName name="_Nov12" localSheetId="7">'[2](DR 118) 182.3'!#REF!</definedName>
    <definedName name="_Nov12" localSheetId="15">'[2](DR 118) 182.3'!#REF!</definedName>
    <definedName name="_Nov12">'[2](DR 118) 182.3'!#REF!</definedName>
    <definedName name="_Oct10" localSheetId="10">'[2](DR 118) 182.3'!#REF!</definedName>
    <definedName name="_Oct10" localSheetId="9">'[2](DR 118) 182.3'!#REF!</definedName>
    <definedName name="_Oct10" localSheetId="14">'[2](DR 118) 182.3'!#REF!</definedName>
    <definedName name="_Oct10" localSheetId="12">'[2](DR 118) 182.3'!#REF!</definedName>
    <definedName name="_Oct10" localSheetId="11">'[2](DR 118) 182.3'!#REF!</definedName>
    <definedName name="_Oct10" localSheetId="7">'[2](DR 118) 182.3'!#REF!</definedName>
    <definedName name="_Oct10" localSheetId="15">'[2](DR 118) 182.3'!#REF!</definedName>
    <definedName name="_Oct10">'[2](DR 118) 182.3'!#REF!</definedName>
    <definedName name="_Oct11" localSheetId="10">'[2](DR 118) 182.3'!#REF!</definedName>
    <definedName name="_Oct11" localSheetId="9">'[2](DR 118) 182.3'!#REF!</definedName>
    <definedName name="_Oct11" localSheetId="14">'[2](DR 118) 182.3'!#REF!</definedName>
    <definedName name="_Oct11" localSheetId="12">'[2](DR 118) 182.3'!#REF!</definedName>
    <definedName name="_Oct11" localSheetId="11">'[2](DR 118) 182.3'!#REF!</definedName>
    <definedName name="_Oct11" localSheetId="7">'[2](DR 118) 182.3'!#REF!</definedName>
    <definedName name="_Oct11" localSheetId="15">'[2](DR 118) 182.3'!#REF!</definedName>
    <definedName name="_Oct11">'[2](DR 118) 182.3'!#REF!</definedName>
    <definedName name="_Oct12" localSheetId="10">'[2](DR 118) 182.3'!#REF!</definedName>
    <definedName name="_Oct12" localSheetId="9">'[2](DR 118) 182.3'!#REF!</definedName>
    <definedName name="_Oct12" localSheetId="14">'[2](DR 118) 182.3'!#REF!</definedName>
    <definedName name="_Oct12" localSheetId="12">'[2](DR 118) 182.3'!#REF!</definedName>
    <definedName name="_Oct12" localSheetId="11">'[2](DR 118) 182.3'!#REF!</definedName>
    <definedName name="_Oct12" localSheetId="7">'[2](DR 118) 182.3'!#REF!</definedName>
    <definedName name="_Oct12" localSheetId="15">'[2](DR 118) 182.3'!#REF!</definedName>
    <definedName name="_Oct12">'[2](DR 118) 182.3'!#REF!</definedName>
    <definedName name="_Order1" hidden="1">255</definedName>
    <definedName name="_Order2" hidden="1">255</definedName>
    <definedName name="_Sep10" localSheetId="10">'[2](DR 118) 182.3'!#REF!</definedName>
    <definedName name="_Sep10" localSheetId="9">'[2](DR 118) 182.3'!#REF!</definedName>
    <definedName name="_Sep10" localSheetId="14">'[2](DR 118) 182.3'!#REF!</definedName>
    <definedName name="_Sep10" localSheetId="12">'[2](DR 118) 182.3'!#REF!</definedName>
    <definedName name="_Sep10" localSheetId="11">'[2](DR 118) 182.3'!#REF!</definedName>
    <definedName name="_Sep10" localSheetId="7">'[2](DR 118) 182.3'!#REF!</definedName>
    <definedName name="_Sep10" localSheetId="15">'[2](DR 118) 182.3'!#REF!</definedName>
    <definedName name="_Sep10">'[2](DR 118) 182.3'!#REF!</definedName>
    <definedName name="_Sep11" localSheetId="10">'[2](DR 118) 182.3'!#REF!</definedName>
    <definedName name="_Sep11" localSheetId="9">'[2](DR 118) 182.3'!#REF!</definedName>
    <definedName name="_Sep11" localSheetId="14">'[2](DR 118) 182.3'!#REF!</definedName>
    <definedName name="_Sep11" localSheetId="12">'[2](DR 118) 182.3'!#REF!</definedName>
    <definedName name="_Sep11" localSheetId="11">'[2](DR 118) 182.3'!#REF!</definedName>
    <definedName name="_Sep11" localSheetId="7">'[2](DR 118) 182.3'!#REF!</definedName>
    <definedName name="_Sep11" localSheetId="15">'[2](DR 118) 182.3'!#REF!</definedName>
    <definedName name="_Sep11">'[2](DR 118) 182.3'!#REF!</definedName>
    <definedName name="_Sep12" localSheetId="10">'[2](DR 118) 182.3'!#REF!</definedName>
    <definedName name="_Sep12" localSheetId="9">'[2](DR 118) 182.3'!#REF!</definedName>
    <definedName name="_Sep12" localSheetId="14">'[2](DR 118) 182.3'!#REF!</definedName>
    <definedName name="_Sep12" localSheetId="12">'[2](DR 118) 182.3'!#REF!</definedName>
    <definedName name="_Sep12" localSheetId="11">'[2](DR 118) 182.3'!#REF!</definedName>
    <definedName name="_Sep12" localSheetId="7">'[2](DR 118) 182.3'!#REF!</definedName>
    <definedName name="_Sep12" localSheetId="15">'[2](DR 118) 182.3'!#REF!</definedName>
    <definedName name="_Sep12">'[2](DR 118) 182.3'!#REF!</definedName>
    <definedName name="_six6" hidden="1">{#N/A,#N/A,FALSE,"CRPT";#N/A,#N/A,FALSE,"TREND";#N/A,#N/A,FALSE,"%Curve"}</definedName>
    <definedName name="_Sort" localSheetId="10" hidden="1">#REF!</definedName>
    <definedName name="_Sort" localSheetId="9" hidden="1">#REF!</definedName>
    <definedName name="_Sort" localSheetId="14" hidden="1">#REF!</definedName>
    <definedName name="_Sort" localSheetId="12" hidden="1">#REF!</definedName>
    <definedName name="_Sort" localSheetId="11" hidden="1">#REF!</definedName>
    <definedName name="_Sort" localSheetId="7" hidden="1">#REF!</definedName>
    <definedName name="_Sort" localSheetId="15" hidden="1">#REF!</definedName>
    <definedName name="_Sort" hidden="1">#REF!</definedName>
    <definedName name="_www1" hidden="1">{#N/A,#N/A,FALSE,"schA"}</definedName>
    <definedName name="a" hidden="1">{#N/A,#N/A,FALSE,"Coversheet";#N/A,#N/A,FALSE,"QA"}</definedName>
    <definedName name="AccessDatabase" hidden="1">"I:\COMTREL\FINICLE\TradeSummary.mdb"</definedName>
    <definedName name="Apr11AMA" localSheetId="10">'[2](DR 118) 182.3'!#REF!</definedName>
    <definedName name="Apr11AMA" localSheetId="9">'[2](DR 118) 182.3'!#REF!</definedName>
    <definedName name="Apr11AMA" localSheetId="14">'[2](DR 118) 182.3'!#REF!</definedName>
    <definedName name="Apr11AMA" localSheetId="12">'[2](DR 118) 182.3'!#REF!</definedName>
    <definedName name="Apr11AMA" localSheetId="11">'[2](DR 118) 182.3'!#REF!</definedName>
    <definedName name="Apr11AMA" localSheetId="7">'[2](DR 118) 182.3'!#REF!</definedName>
    <definedName name="Apr11AMA" localSheetId="15">'[2](DR 118) 182.3'!#REF!</definedName>
    <definedName name="Apr11AMA">'[2](DR 118) 182.3'!#REF!</definedName>
    <definedName name="Apr12AMA" localSheetId="10">'[2](DR 118) 182.3'!#REF!</definedName>
    <definedName name="Apr12AMA" localSheetId="9">'[2](DR 118) 182.3'!#REF!</definedName>
    <definedName name="Apr12AMA" localSheetId="14">'[2](DR 118) 182.3'!#REF!</definedName>
    <definedName name="Apr12AMA" localSheetId="12">'[2](DR 118) 182.3'!#REF!</definedName>
    <definedName name="Apr12AMA" localSheetId="11">'[2](DR 118) 182.3'!#REF!</definedName>
    <definedName name="Apr12AMA" localSheetId="7">'[2](DR 118) 182.3'!#REF!</definedName>
    <definedName name="Apr12AMA" localSheetId="15">'[2](DR 118) 182.3'!#REF!</definedName>
    <definedName name="Apr12AMA">'[2](DR 118) 182.3'!#REF!</definedName>
    <definedName name="AS2DocOpenMode" hidden="1">"AS2DocumentEdit"</definedName>
    <definedName name="Aug11AMA" localSheetId="10">'[2](DR 118) 182.3'!#REF!</definedName>
    <definedName name="Aug11AMA" localSheetId="9">'[2](DR 118) 182.3'!#REF!</definedName>
    <definedName name="Aug11AMA" localSheetId="14">'[2](DR 118) 182.3'!#REF!</definedName>
    <definedName name="Aug11AMA" localSheetId="12">'[2](DR 118) 182.3'!#REF!</definedName>
    <definedName name="Aug11AMA" localSheetId="11">'[2](DR 118) 182.3'!#REF!</definedName>
    <definedName name="Aug11AMA" localSheetId="7">'[2](DR 118) 182.3'!#REF!</definedName>
    <definedName name="Aug11AMA" localSheetId="15">'[2](DR 118) 182.3'!#REF!</definedName>
    <definedName name="Aug11AMA">'[2](DR 118) 182.3'!#REF!</definedName>
    <definedName name="Aug12AMA" localSheetId="10">'[2](DR 118) 182.3'!#REF!</definedName>
    <definedName name="Aug12AMA" localSheetId="9">'[2](DR 118) 182.3'!#REF!</definedName>
    <definedName name="Aug12AMA" localSheetId="14">'[2](DR 118) 182.3'!#REF!</definedName>
    <definedName name="Aug12AMA" localSheetId="12">'[2](DR 118) 182.3'!#REF!</definedName>
    <definedName name="Aug12AMA" localSheetId="11">'[2](DR 118) 182.3'!#REF!</definedName>
    <definedName name="Aug12AMA" localSheetId="7">'[2](DR 118) 182.3'!#REF!</definedName>
    <definedName name="Aug12AMA" localSheetId="15">'[2](DR 118) 182.3'!#REF!</definedName>
    <definedName name="Aug12AMA">'[2](DR 118) 182.3'!#REF!</definedName>
    <definedName name="b" hidden="1">{#N/A,#N/A,FALSE,"Coversheet";#N/A,#N/A,FALSE,"QA"}</definedName>
    <definedName name="CBWorkbookPriority" hidden="1">-2060790043</definedName>
    <definedName name="CombWC_LineItem" localSheetId="10">'[2](DR 118) 182.3'!#REF!</definedName>
    <definedName name="CombWC_LineItem" localSheetId="9">'[2](DR 118) 182.3'!#REF!</definedName>
    <definedName name="CombWC_LineItem" localSheetId="14">'[2](DR 118) 182.3'!#REF!</definedName>
    <definedName name="CombWC_LineItem" localSheetId="12">'[2](DR 118) 182.3'!#REF!</definedName>
    <definedName name="CombWC_LineItem" localSheetId="11">'[2](DR 118) 182.3'!#REF!</definedName>
    <definedName name="CombWC_LineItem" localSheetId="7">'[2](DR 118) 182.3'!#REF!</definedName>
    <definedName name="CombWC_LineItem" localSheetId="15">'[2](DR 118) 182.3'!#REF!</definedName>
    <definedName name="CombWC_LineItem">'[2](DR 118) 182.3'!#REF!</definedName>
    <definedName name="Dec10AMA" localSheetId="10">'[2](DR 118) 182.3'!#REF!</definedName>
    <definedName name="Dec10AMA" localSheetId="9">'[2](DR 118) 182.3'!#REF!</definedName>
    <definedName name="Dec10AMA" localSheetId="14">'[2](DR 118) 182.3'!#REF!</definedName>
    <definedName name="Dec10AMA" localSheetId="12">'[2](DR 118) 182.3'!#REF!</definedName>
    <definedName name="Dec10AMA" localSheetId="11">'[2](DR 118) 182.3'!#REF!</definedName>
    <definedName name="Dec10AMA" localSheetId="7">'[2](DR 118) 182.3'!#REF!</definedName>
    <definedName name="Dec10AMA" localSheetId="15">'[2](DR 118) 182.3'!#REF!</definedName>
    <definedName name="Dec10AMA">'[2](DR 118) 182.3'!#REF!</definedName>
    <definedName name="Dec11AMA" localSheetId="10">'[2](DR 118) 182.3'!#REF!</definedName>
    <definedName name="Dec11AMA" localSheetId="9">'[2](DR 118) 182.3'!#REF!</definedName>
    <definedName name="Dec11AMA" localSheetId="14">'[2](DR 118) 182.3'!#REF!</definedName>
    <definedName name="Dec11AMA" localSheetId="12">'[2](DR 118) 182.3'!#REF!</definedName>
    <definedName name="Dec11AMA" localSheetId="11">'[2](DR 118) 182.3'!#REF!</definedName>
    <definedName name="Dec11AMA" localSheetId="7">'[2](DR 118) 182.3'!#REF!</definedName>
    <definedName name="Dec11AMA" localSheetId="15">'[2](DR 118) 182.3'!#REF!</definedName>
    <definedName name="Dec11AMA">'[2](DR 118) 182.3'!#REF!</definedName>
    <definedName name="Dec12AMA" localSheetId="10">'[2](DR 118) 182.3'!#REF!</definedName>
    <definedName name="Dec12AMA" localSheetId="9">'[2](DR 118) 182.3'!#REF!</definedName>
    <definedName name="Dec12AMA" localSheetId="14">'[2](DR 118) 182.3'!#REF!</definedName>
    <definedName name="Dec12AMA" localSheetId="12">'[2](DR 118) 182.3'!#REF!</definedName>
    <definedName name="Dec12AMA" localSheetId="11">'[2](DR 118) 182.3'!#REF!</definedName>
    <definedName name="Dec12AMA" localSheetId="7">'[2](DR 118) 182.3'!#REF!</definedName>
    <definedName name="Dec12AMA" localSheetId="15">'[2](DR 118) 182.3'!#REF!</definedName>
    <definedName name="Dec12AMA">'[2](DR 118) 182.3'!#REF!</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ee" hidden="1">{#N/A,#N/A,FALSE,"Month ";#N/A,#N/A,FALSE,"YTD";#N/A,#N/A,FALSE,"12 mo ended"}</definedName>
    <definedName name="ElRBLine" localSheetId="10">'[2](DR 118) 182.3'!#REF!</definedName>
    <definedName name="ElRBLine" localSheetId="9">'[2](DR 118) 182.3'!#REF!</definedName>
    <definedName name="ElRBLine" localSheetId="14">'[2](DR 118) 182.3'!#REF!</definedName>
    <definedName name="ElRBLine" localSheetId="12">'[2](DR 118) 182.3'!#REF!</definedName>
    <definedName name="ElRBLine" localSheetId="11">'[2](DR 118) 182.3'!#REF!</definedName>
    <definedName name="ElRBLine" localSheetId="7">'[2](DR 118) 182.3'!#REF!</definedName>
    <definedName name="ElRBLine" localSheetId="15">'[2](DR 118) 182.3'!#REF!</definedName>
    <definedName name="ElRBLine">'[2](DR 118) 182.3'!#REF!</definedName>
    <definedName name="Estimate" hidden="1">{#N/A,#N/A,FALSE,"Summ";#N/A,#N/A,FALSE,"General"}</definedName>
    <definedName name="ex" hidden="1">{#N/A,#N/A,FALSE,"Summ";#N/A,#N/A,FALSE,"General"}</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eb11AMA" localSheetId="10">'[2](DR 118) 182.3'!#REF!</definedName>
    <definedName name="Feb11AMA" localSheetId="9">'[2](DR 118) 182.3'!#REF!</definedName>
    <definedName name="Feb11AMA" localSheetId="14">'[2](DR 118) 182.3'!#REF!</definedName>
    <definedName name="Feb11AMA" localSheetId="12">'[2](DR 118) 182.3'!#REF!</definedName>
    <definedName name="Feb11AMA" localSheetId="11">'[2](DR 118) 182.3'!#REF!</definedName>
    <definedName name="Feb11AMA" localSheetId="7">'[2](DR 118) 182.3'!#REF!</definedName>
    <definedName name="Feb11AMA" localSheetId="15">'[2](DR 118) 182.3'!#REF!</definedName>
    <definedName name="Feb11AMA">'[2](DR 118) 182.3'!#REF!</definedName>
    <definedName name="Feb12AMA" localSheetId="10">'[2](DR 118) 182.3'!#REF!</definedName>
    <definedName name="Feb12AMA" localSheetId="9">'[2](DR 118) 182.3'!#REF!</definedName>
    <definedName name="Feb12AMA" localSheetId="14">'[2](DR 118) 182.3'!#REF!</definedName>
    <definedName name="Feb12AMA" localSheetId="12">'[2](DR 118) 182.3'!#REF!</definedName>
    <definedName name="Feb12AMA" localSheetId="11">'[2](DR 118) 182.3'!#REF!</definedName>
    <definedName name="Feb12AMA" localSheetId="7">'[2](DR 118) 182.3'!#REF!</definedName>
    <definedName name="Feb12AMA" localSheetId="15">'[2](DR 118) 182.3'!#REF!</definedName>
    <definedName name="Feb12AMA">'[2](DR 118) 182.3'!#REF!</definedName>
    <definedName name="GasRBLine" localSheetId="10">'[2](DR 118) 182.3'!#REF!</definedName>
    <definedName name="GasRBLine" localSheetId="9">'[2](DR 118) 182.3'!#REF!</definedName>
    <definedName name="GasRBLine" localSheetId="14">'[2](DR 118) 182.3'!#REF!</definedName>
    <definedName name="GasRBLine" localSheetId="12">'[2](DR 118) 182.3'!#REF!</definedName>
    <definedName name="GasRBLine" localSheetId="11">'[2](DR 118) 182.3'!#REF!</definedName>
    <definedName name="GasRBLine" localSheetId="7">'[2](DR 118) 182.3'!#REF!</definedName>
    <definedName name="GasRBLine" localSheetId="15">'[2](DR 118) 182.3'!#REF!</definedName>
    <definedName name="GasRBLine">'[2](DR 118) 182.3'!#REF!</definedName>
    <definedName name="Jan11AMA" localSheetId="10">'[2](DR 118) 182.3'!#REF!</definedName>
    <definedName name="Jan11AMA" localSheetId="9">'[2](DR 118) 182.3'!#REF!</definedName>
    <definedName name="Jan11AMA" localSheetId="14">'[2](DR 118) 182.3'!#REF!</definedName>
    <definedName name="Jan11AMA" localSheetId="12">'[2](DR 118) 182.3'!#REF!</definedName>
    <definedName name="Jan11AMA" localSheetId="11">'[2](DR 118) 182.3'!#REF!</definedName>
    <definedName name="Jan11AMA" localSheetId="7">'[2](DR 118) 182.3'!#REF!</definedName>
    <definedName name="Jan11AMA" localSheetId="15">'[2](DR 118) 182.3'!#REF!</definedName>
    <definedName name="Jan11AMA">'[2](DR 118) 182.3'!#REF!</definedName>
    <definedName name="Jan12AMA" localSheetId="10">'[2](DR 118) 182.3'!#REF!</definedName>
    <definedName name="Jan12AMA" localSheetId="9">'[2](DR 118) 182.3'!#REF!</definedName>
    <definedName name="Jan12AMA" localSheetId="14">'[2](DR 118) 182.3'!#REF!</definedName>
    <definedName name="Jan12AMA" localSheetId="12">'[2](DR 118) 182.3'!#REF!</definedName>
    <definedName name="Jan12AMA" localSheetId="11">'[2](DR 118) 182.3'!#REF!</definedName>
    <definedName name="Jan12AMA" localSheetId="7">'[2](DR 118) 182.3'!#REF!</definedName>
    <definedName name="Jan12AMA" localSheetId="15">'[2](DR 118) 182.3'!#REF!</definedName>
    <definedName name="Jan12AMA">'[2](DR 118) 182.3'!#REF!</definedName>
    <definedName name="Jane" hidden="1">{#N/A,#N/A,FALSE,"Expenditures";#N/A,#N/A,FALSE,"Property Placed In-Service";#N/A,#N/A,FALSE,"Removals";#N/A,#N/A,FALSE,"Retirements";#N/A,#N/A,FALSE,"CWIP Balances";#N/A,#N/A,FALSE,"CWIP_Expend_Ratios";#N/A,#N/A,FALSE,"CWIP_Yr_End"}</definedName>
    <definedName name="Jul11AMA" localSheetId="10">'[2](DR 118) 182.3'!#REF!</definedName>
    <definedName name="Jul11AMA" localSheetId="9">'[2](DR 118) 182.3'!#REF!</definedName>
    <definedName name="Jul11AMA" localSheetId="14">'[2](DR 118) 182.3'!#REF!</definedName>
    <definedName name="Jul11AMA" localSheetId="12">'[2](DR 118) 182.3'!#REF!</definedName>
    <definedName name="Jul11AMA" localSheetId="11">'[2](DR 118) 182.3'!#REF!</definedName>
    <definedName name="Jul11AMA" localSheetId="7">'[2](DR 118) 182.3'!#REF!</definedName>
    <definedName name="Jul11AMA" localSheetId="15">'[2](DR 118) 182.3'!#REF!</definedName>
    <definedName name="Jul11AMA">'[2](DR 118) 182.3'!#REF!</definedName>
    <definedName name="Jul12AMA" localSheetId="10">'[2](DR 118) 182.3'!#REF!</definedName>
    <definedName name="Jul12AMA" localSheetId="9">'[2](DR 118) 182.3'!#REF!</definedName>
    <definedName name="Jul12AMA" localSheetId="14">'[2](DR 118) 182.3'!#REF!</definedName>
    <definedName name="Jul12AMA" localSheetId="12">'[2](DR 118) 182.3'!#REF!</definedName>
    <definedName name="Jul12AMA" localSheetId="11">'[2](DR 118) 182.3'!#REF!</definedName>
    <definedName name="Jul12AMA" localSheetId="7">'[2](DR 118) 182.3'!#REF!</definedName>
    <definedName name="Jul12AMA" localSheetId="15">'[2](DR 118) 182.3'!#REF!</definedName>
    <definedName name="Jul12AMA">'[2](DR 118) 182.3'!#REF!</definedName>
    <definedName name="Jun11AMA" localSheetId="10">'[2](DR 118) 182.3'!#REF!</definedName>
    <definedName name="Jun11AMA" localSheetId="9">'[2](DR 118) 182.3'!#REF!</definedName>
    <definedName name="Jun11AMA" localSheetId="14">'[2](DR 118) 182.3'!#REF!</definedName>
    <definedName name="Jun11AMA" localSheetId="12">'[2](DR 118) 182.3'!#REF!</definedName>
    <definedName name="Jun11AMA" localSheetId="11">'[2](DR 118) 182.3'!#REF!</definedName>
    <definedName name="Jun11AMA" localSheetId="7">'[2](DR 118) 182.3'!#REF!</definedName>
    <definedName name="Jun11AMA" localSheetId="15">'[2](DR 118) 182.3'!#REF!</definedName>
    <definedName name="Jun11AMA">'[2](DR 118) 182.3'!#REF!</definedName>
    <definedName name="Jun12AMA" localSheetId="10">'[2](DR 118) 182.3'!#REF!</definedName>
    <definedName name="Jun12AMA" localSheetId="9">'[2](DR 118) 182.3'!#REF!</definedName>
    <definedName name="Jun12AMA" localSheetId="14">'[2](DR 118) 182.3'!#REF!</definedName>
    <definedName name="Jun12AMA" localSheetId="12">'[2](DR 118) 182.3'!#REF!</definedName>
    <definedName name="Jun12AMA" localSheetId="11">'[2](DR 118) 182.3'!#REF!</definedName>
    <definedName name="Jun12AMA" localSheetId="7">'[2](DR 118) 182.3'!#REF!</definedName>
    <definedName name="Jun12AMA" localSheetId="15">'[2](DR 118) 182.3'!#REF!</definedName>
    <definedName name="Jun12AMA">'[2](DR 118) 182.3'!#REF!</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eep_TESTYEAR">'[3]KJB-6 Cmn Adj'!$B$7</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Mar11AMA" localSheetId="10">'[2](DR 118) 182.3'!#REF!</definedName>
    <definedName name="Mar11AMA" localSheetId="9">'[2](DR 118) 182.3'!#REF!</definedName>
    <definedName name="Mar11AMA" localSheetId="14">'[2](DR 118) 182.3'!#REF!</definedName>
    <definedName name="Mar11AMA" localSheetId="12">'[2](DR 118) 182.3'!#REF!</definedName>
    <definedName name="Mar11AMA" localSheetId="11">'[2](DR 118) 182.3'!#REF!</definedName>
    <definedName name="Mar11AMA" localSheetId="7">'[2](DR 118) 182.3'!#REF!</definedName>
    <definedName name="Mar11AMA" localSheetId="15">'[2](DR 118) 182.3'!#REF!</definedName>
    <definedName name="Mar11AMA">'[2](DR 118) 182.3'!#REF!</definedName>
    <definedName name="Mar12AMA" localSheetId="10">'[2](DR 118) 182.3'!#REF!</definedName>
    <definedName name="Mar12AMA" localSheetId="9">'[2](DR 118) 182.3'!#REF!</definedName>
    <definedName name="Mar12AMA" localSheetId="14">'[2](DR 118) 182.3'!#REF!</definedName>
    <definedName name="Mar12AMA" localSheetId="12">'[2](DR 118) 182.3'!#REF!</definedName>
    <definedName name="Mar12AMA" localSheetId="11">'[2](DR 118) 182.3'!#REF!</definedName>
    <definedName name="Mar12AMA" localSheetId="7">'[2](DR 118) 182.3'!#REF!</definedName>
    <definedName name="Mar12AMA" localSheetId="15">'[2](DR 118) 182.3'!#REF!</definedName>
    <definedName name="Mar12AMA">'[2](DR 118) 182.3'!#REF!</definedName>
    <definedName name="May11AMA" localSheetId="10">'[2](DR 118) 182.3'!#REF!</definedName>
    <definedName name="May11AMA" localSheetId="9">'[2](DR 118) 182.3'!#REF!</definedName>
    <definedName name="May11AMA" localSheetId="14">'[2](DR 118) 182.3'!#REF!</definedName>
    <definedName name="May11AMA" localSheetId="12">'[2](DR 118) 182.3'!#REF!</definedName>
    <definedName name="May11AMA" localSheetId="11">'[2](DR 118) 182.3'!#REF!</definedName>
    <definedName name="May11AMA" localSheetId="7">'[2](DR 118) 182.3'!#REF!</definedName>
    <definedName name="May11AMA" localSheetId="15">'[2](DR 118) 182.3'!#REF!</definedName>
    <definedName name="May11AMA">'[2](DR 118) 182.3'!#REF!</definedName>
    <definedName name="May12AMA" localSheetId="10">'[2](DR 118) 182.3'!#REF!</definedName>
    <definedName name="May12AMA" localSheetId="9">'[2](DR 118) 182.3'!#REF!</definedName>
    <definedName name="May12AMA" localSheetId="14">'[2](DR 118) 182.3'!#REF!</definedName>
    <definedName name="May12AMA" localSheetId="12">'[2](DR 118) 182.3'!#REF!</definedName>
    <definedName name="May12AMA" localSheetId="11">'[2](DR 118) 182.3'!#REF!</definedName>
    <definedName name="May12AMA" localSheetId="7">'[2](DR 118) 182.3'!#REF!</definedName>
    <definedName name="May12AMA" localSheetId="15">'[2](DR 118) 182.3'!#REF!</definedName>
    <definedName name="May12AMA">'[2](DR 118) 182.3'!#REF!</definedName>
    <definedName name="Miller" hidden="1">{#N/A,#N/A,FALSE,"Expenditures";#N/A,#N/A,FALSE,"Property Placed In-Service";#N/A,#N/A,FALSE,"CWIP Balances"}</definedName>
    <definedName name="new" hidden="1">{#N/A,#N/A,FALSE,"Summ";#N/A,#N/A,FALSE,"General"}</definedName>
    <definedName name="Nov11AMA" localSheetId="10">'[2](DR 118) 182.3'!#REF!</definedName>
    <definedName name="Nov11AMA" localSheetId="9">'[2](DR 118) 182.3'!#REF!</definedName>
    <definedName name="Nov11AMA" localSheetId="14">'[2](DR 118) 182.3'!#REF!</definedName>
    <definedName name="Nov11AMA" localSheetId="12">'[2](DR 118) 182.3'!#REF!</definedName>
    <definedName name="Nov11AMA" localSheetId="11">'[2](DR 118) 182.3'!#REF!</definedName>
    <definedName name="Nov11AMA" localSheetId="7">'[2](DR 118) 182.3'!#REF!</definedName>
    <definedName name="Nov11AMA" localSheetId="15">'[2](DR 118) 182.3'!#REF!</definedName>
    <definedName name="Nov11AMA">'[2](DR 118) 182.3'!#REF!</definedName>
    <definedName name="Nov12AMA" localSheetId="10">'[2](DR 118) 182.3'!#REF!</definedName>
    <definedName name="Nov12AMA" localSheetId="9">'[2](DR 118) 182.3'!#REF!</definedName>
    <definedName name="Nov12AMA" localSheetId="14">'[2](DR 118) 182.3'!#REF!</definedName>
    <definedName name="Nov12AMA" localSheetId="12">'[2](DR 118) 182.3'!#REF!</definedName>
    <definedName name="Nov12AMA" localSheetId="11">'[2](DR 118) 182.3'!#REF!</definedName>
    <definedName name="Nov12AMA" localSheetId="7">'[2](DR 118) 182.3'!#REF!</definedName>
    <definedName name="Nov12AMA" localSheetId="15">'[2](DR 118) 182.3'!#REF!</definedName>
    <definedName name="Nov12AMA">'[2](DR 118) 182.3'!#REF!</definedName>
    <definedName name="Oct11AMA" localSheetId="10">'[2](DR 118) 182.3'!#REF!</definedName>
    <definedName name="Oct11AMA" localSheetId="9">'[2](DR 118) 182.3'!#REF!</definedName>
    <definedName name="Oct11AMA" localSheetId="14">'[2](DR 118) 182.3'!#REF!</definedName>
    <definedName name="Oct11AMA" localSheetId="12">'[2](DR 118) 182.3'!#REF!</definedName>
    <definedName name="Oct11AMA" localSheetId="11">'[2](DR 118) 182.3'!#REF!</definedName>
    <definedName name="Oct11AMA" localSheetId="7">'[2](DR 118) 182.3'!#REF!</definedName>
    <definedName name="Oct11AMA" localSheetId="15">'[2](DR 118) 182.3'!#REF!</definedName>
    <definedName name="Oct11AMA">'[2](DR 118) 182.3'!#REF!</definedName>
    <definedName name="OCT12AMA" localSheetId="10">'[2](DR 118) 182.3'!#REF!</definedName>
    <definedName name="OCT12AMA" localSheetId="9">'[2](DR 118) 182.3'!#REF!</definedName>
    <definedName name="OCT12AMA" localSheetId="14">'[2](DR 118) 182.3'!#REF!</definedName>
    <definedName name="OCT12AMA" localSheetId="12">'[2](DR 118) 182.3'!#REF!</definedName>
    <definedName name="OCT12AMA" localSheetId="11">'[2](DR 118) 182.3'!#REF!</definedName>
    <definedName name="OCT12AMA" localSheetId="7">'[2](DR 118) 182.3'!#REF!</definedName>
    <definedName name="OCT12AMA" localSheetId="15">'[2](DR 118) 182.3'!#REF!</definedName>
    <definedName name="OCT12AMA">'[2](DR 118) 182.3'!#REF!</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10">'ELEC Activity Q4 16 - 2017'!$A$1:$W$74</definedName>
    <definedName name="_xlnm.Print_Area" localSheetId="6">'ELEC Actual Q4 2016 - 2017'!$A$1:$V$77</definedName>
    <definedName name="_xlnm.Print_Area" localSheetId="14">'ELEC Amort '!$A$1:$T$39</definedName>
    <definedName name="_xlnm.Print_Area" localSheetId="12">'GAS Activity Q4 2016 -2017'!$A$1:$W$92</definedName>
    <definedName name="_xlnm.Print_Area" localSheetId="7">'GAS Actual Q4 2016 -2017'!$A$1:$V$92</definedName>
    <definedName name="_xlnm.Print_Area" localSheetId="15">'GAS Amort'!$A$1:$S$15</definedName>
    <definedName name="_xlnm.Print_Area" localSheetId="0">'One Time Request =&gt;'!$A$1:$K$30</definedName>
    <definedName name="_xlnm.Print_Titles" localSheetId="10">'ELEC Activity Q4 16 - 2017'!$1:$5</definedName>
    <definedName name="_xlnm.Print_Titles" localSheetId="6">'ELEC Actual Q4 2016 - 2017'!$1:$5</definedName>
    <definedName name="_xlnm.Print_Titles" localSheetId="14">'ELEC Amort '!$1:$5</definedName>
    <definedName name="_xlnm.Print_Titles" localSheetId="12">'GAS Activity Q4 2016 -2017'!$1:$5</definedName>
    <definedName name="_xlnm.Print_Titles" localSheetId="7">'GAS Actual Q4 2016 -2017'!$1:$5</definedName>
    <definedName name="_xlnm.Print_Titles" localSheetId="15">'GAS Amort'!$1:$5</definedName>
    <definedName name="qqq" hidden="1">{#N/A,#N/A,FALSE,"schA"}</definedName>
    <definedName name="re" hidden="1">{#N/A,#N/A,FALSE,"Pg 6b CustCount_Gas";#N/A,#N/A,FALSE,"QA";#N/A,#N/A,FALSE,"Report";#N/A,#N/A,FALSE,"forecast"}</definedName>
    <definedName name="Sep11AMA" localSheetId="10">'[2](DR 118) 182.3'!#REF!</definedName>
    <definedName name="Sep11AMA" localSheetId="9">'[2](DR 118) 182.3'!#REF!</definedName>
    <definedName name="Sep11AMA" localSheetId="14">'[2](DR 118) 182.3'!#REF!</definedName>
    <definedName name="Sep11AMA" localSheetId="12">'[2](DR 118) 182.3'!#REF!</definedName>
    <definedName name="Sep11AMA" localSheetId="11">'[2](DR 118) 182.3'!#REF!</definedName>
    <definedName name="Sep11AMA" localSheetId="7">'[2](DR 118) 182.3'!#REF!</definedName>
    <definedName name="Sep11AMA" localSheetId="15">'[2](DR 118) 182.3'!#REF!</definedName>
    <definedName name="Sep11AMA">'[2](DR 118) 182.3'!#REF!</definedName>
    <definedName name="Sep12AMA" localSheetId="10">'[2](DR 118) 182.3'!#REF!</definedName>
    <definedName name="Sep12AMA" localSheetId="9">'[2](DR 118) 182.3'!#REF!</definedName>
    <definedName name="Sep12AMA" localSheetId="14">'[2](DR 118) 182.3'!#REF!</definedName>
    <definedName name="Sep12AMA" localSheetId="12">'[2](DR 118) 182.3'!#REF!</definedName>
    <definedName name="Sep12AMA" localSheetId="11">'[2](DR 118) 182.3'!#REF!</definedName>
    <definedName name="Sep12AMA" localSheetId="7">'[2](DR 118) 182.3'!#REF!</definedName>
    <definedName name="Sep12AMA" localSheetId="15">'[2](DR 118) 182.3'!#REF!</definedName>
    <definedName name="Sep12AMA">'[2](DR 118) 182.3'!#REF!</definedName>
    <definedName name="six" hidden="1">{#N/A,#N/A,FALSE,"Drill Sites";"WP 212",#N/A,FALSE,"MWAG EOR";"WP 213",#N/A,FALSE,"MWAG EOR";#N/A,#N/A,FALSE,"Misc. Facility";#N/A,#N/A,FALSE,"WWTP"}</definedName>
    <definedName name="t" hidden="1">{#N/A,#N/A,FALSE,"CESTSUM";#N/A,#N/A,FALSE,"est sum A";#N/A,#N/A,FALSE,"est detail A"}</definedName>
    <definedName name="TableName">"Dummy"</definedName>
    <definedName name="TEMP" hidden="1">{#N/A,#N/A,FALSE,"Summ";#N/A,#N/A,FALSE,"General"}</definedName>
    <definedName name="Temp1" hidden="1">{#N/A,#N/A,FALSE,"CESTSUM";#N/A,#N/A,FALSE,"est sum A";#N/A,#N/A,FALSE,"est detail A"}</definedName>
    <definedName name="Therm_upload" localSheetId="10">#REF!</definedName>
    <definedName name="Therm_upload" localSheetId="9">#REF!</definedName>
    <definedName name="Therm_upload" localSheetId="14">#REF!</definedName>
    <definedName name="Therm_upload" localSheetId="12">#REF!</definedName>
    <definedName name="Therm_upload" localSheetId="11">#REF!</definedName>
    <definedName name="Therm_upload" localSheetId="7">#REF!</definedName>
    <definedName name="Therm_upload" localSheetId="15">#REF!</definedName>
    <definedName name="Therm_upload">#REF!</definedName>
    <definedName name="Transfer" localSheetId="10" hidden="1">#REF!</definedName>
    <definedName name="Transfer" localSheetId="9" hidden="1">#REF!</definedName>
    <definedName name="Transfer" localSheetId="14" hidden="1">#REF!</definedName>
    <definedName name="Transfer" localSheetId="12" hidden="1">#REF!</definedName>
    <definedName name="Transfer" localSheetId="11" hidden="1">#REF!</definedName>
    <definedName name="Transfer" localSheetId="7" hidden="1">#REF!</definedName>
    <definedName name="Transfer" localSheetId="15" hidden="1">#REF!</definedName>
    <definedName name="Transfer" hidden="1">#REF!</definedName>
    <definedName name="Transfers" localSheetId="10" hidden="1">#REF!</definedName>
    <definedName name="Transfers" localSheetId="9" hidden="1">#REF!</definedName>
    <definedName name="Transfers" localSheetId="14" hidden="1">#REF!</definedName>
    <definedName name="Transfers" localSheetId="12" hidden="1">#REF!</definedName>
    <definedName name="Transfers" localSheetId="11" hidden="1">#REF!</definedName>
    <definedName name="Transfers" localSheetId="7" hidden="1">#REF!</definedName>
    <definedName name="Transfers" localSheetId="15" hidden="1">#REF!</definedName>
    <definedName name="Transfers" hidden="1">#REF!</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e" hidden="1">{#N/A,#N/A,FALSE,"Pg 6b CustCount_Gas";#N/A,#N/A,FALSE,"QA";#N/A,#N/A,FALSE,"Report";#N/A,#N/A,FALSE,"forecast"}</definedName>
    <definedName name="wrn.1._.Bi._.Monthly._.CR." hidden="1">{#N/A,#N/A,FALSE,"Drill Sites";"WP 212",#N/A,FALSE,"MWAG EOR";"WP 213",#N/A,FALSE,"MWAG EOR";#N/A,#N/A,FALSE,"Misc. Facility";#N/A,#N/A,FALSE,"WWTP"}</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STIMATE." hidden="1">{#N/A,#N/A,FALSE,"CESTSUM";#N/A,#N/A,FALSE,"est sum A";#N/A,#N/A,FALSE,"est detail A"}</definedName>
    <definedName name="wrn.Fundamental."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ww" hidden="1">{#N/A,#N/A,FALSE,"schA"}</definedName>
    <definedName name="XXXX" hidden="1">{#N/A,#N/A,FALSE,"2002 Small Tool OH";#N/A,#N/A,FALSE,"QA"}</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s>
  <calcPr calcId="152511"/>
</workbook>
</file>

<file path=xl/calcChain.xml><?xml version="1.0" encoding="utf-8"?>
<calcChain xmlns="http://schemas.openxmlformats.org/spreadsheetml/2006/main">
  <c r="E34" i="17" l="1"/>
  <c r="D34" i="17"/>
  <c r="V86" i="3"/>
  <c r="H85" i="3"/>
  <c r="I85" i="3" s="1"/>
  <c r="K85" i="3"/>
  <c r="L85" i="3"/>
  <c r="M85" i="3"/>
  <c r="N85" i="3" s="1"/>
  <c r="G23" i="7" l="1"/>
  <c r="W86" i="8"/>
  <c r="D44" i="16" l="1"/>
  <c r="C44" i="16"/>
  <c r="D39" i="16" l="1"/>
  <c r="C38" i="16"/>
  <c r="C37" i="16"/>
  <c r="C36" i="16"/>
  <c r="H5" i="19"/>
  <c r="H6" i="19"/>
  <c r="H7" i="19" s="1"/>
  <c r="F7" i="19"/>
  <c r="G7" i="19"/>
  <c r="D47" i="18"/>
  <c r="D11" i="16"/>
  <c r="E47" i="18"/>
  <c r="D48" i="18"/>
  <c r="C14" i="16"/>
  <c r="D35" i="17"/>
  <c r="D14" i="16" l="1"/>
  <c r="C39" i="16"/>
  <c r="C10" i="16"/>
  <c r="D36" i="17"/>
  <c r="D38" i="17" s="1"/>
  <c r="D40" i="17" s="1"/>
  <c r="D51" i="18"/>
  <c r="D15" i="16" s="1"/>
  <c r="D16" i="16" s="1"/>
  <c r="D10" i="16"/>
  <c r="D12" i="16" s="1"/>
  <c r="D49" i="18"/>
  <c r="G34" i="2"/>
  <c r="J34" i="2"/>
  <c r="D29" i="16" l="1"/>
  <c r="D31" i="16" s="1"/>
  <c r="V87" i="8"/>
  <c r="R10" i="11"/>
  <c r="R12" i="11" s="1"/>
  <c r="R11" i="11"/>
  <c r="S11" i="11" s="1"/>
  <c r="D24" i="16"/>
  <c r="D26" i="16" s="1"/>
  <c r="R6" i="11"/>
  <c r="R7" i="11"/>
  <c r="R8" i="11" s="1"/>
  <c r="D53" i="18"/>
  <c r="C15" i="16"/>
  <c r="C16" i="16" s="1"/>
  <c r="C62" i="16"/>
  <c r="D63" i="16"/>
  <c r="D65" i="16"/>
  <c r="D64" i="16"/>
  <c r="C25" i="16"/>
  <c r="C30" i="16" s="1"/>
  <c r="C67" i="16" s="1"/>
  <c r="D33" i="16"/>
  <c r="C12" i="16"/>
  <c r="C17" i="16" s="1"/>
  <c r="C24" i="16"/>
  <c r="D17" i="16"/>
  <c r="D18" i="16" s="1"/>
  <c r="Q12" i="11"/>
  <c r="P12" i="11"/>
  <c r="P14" i="11" s="1"/>
  <c r="O12" i="11"/>
  <c r="N12" i="11"/>
  <c r="M12" i="11"/>
  <c r="L12" i="11"/>
  <c r="L14" i="11" s="1"/>
  <c r="K12" i="11"/>
  <c r="K14" i="11" s="1"/>
  <c r="J12" i="11"/>
  <c r="I12" i="11"/>
  <c r="H12" i="11"/>
  <c r="H14" i="11" s="1"/>
  <c r="G12" i="11"/>
  <c r="F12" i="11"/>
  <c r="E12" i="11"/>
  <c r="D12" i="11"/>
  <c r="D14" i="11" s="1"/>
  <c r="C12" i="11"/>
  <c r="C14" i="11" s="1"/>
  <c r="Q8" i="11"/>
  <c r="Q14" i="11" s="1"/>
  <c r="P8" i="11"/>
  <c r="O8" i="11"/>
  <c r="N8" i="11"/>
  <c r="M8" i="11"/>
  <c r="M14" i="11" s="1"/>
  <c r="L8" i="11"/>
  <c r="K8" i="11"/>
  <c r="J8" i="11"/>
  <c r="I8" i="11"/>
  <c r="I14" i="11" s="1"/>
  <c r="H8" i="11"/>
  <c r="G8" i="11"/>
  <c r="F8" i="11"/>
  <c r="E8" i="11"/>
  <c r="E14" i="11" s="1"/>
  <c r="D8" i="11"/>
  <c r="C8" i="11"/>
  <c r="S6" i="11"/>
  <c r="R12" i="10"/>
  <c r="Q12" i="10"/>
  <c r="P12" i="10"/>
  <c r="O12" i="10"/>
  <c r="O14" i="10" s="1"/>
  <c r="N12" i="10"/>
  <c r="M12" i="10"/>
  <c r="L12" i="10"/>
  <c r="K12" i="10"/>
  <c r="J12" i="10"/>
  <c r="I12" i="10"/>
  <c r="H12" i="10"/>
  <c r="G12" i="10"/>
  <c r="G14" i="10" s="1"/>
  <c r="F12" i="10"/>
  <c r="E12" i="10"/>
  <c r="D12" i="10"/>
  <c r="T10" i="10"/>
  <c r="R8" i="10"/>
  <c r="Q8" i="10"/>
  <c r="Q14" i="10" s="1"/>
  <c r="P8" i="10"/>
  <c r="O8" i="10"/>
  <c r="N8" i="10"/>
  <c r="M8" i="10"/>
  <c r="M14" i="10" s="1"/>
  <c r="L8" i="10"/>
  <c r="K8" i="10"/>
  <c r="K14" i="10" s="1"/>
  <c r="J8" i="10"/>
  <c r="I8" i="10"/>
  <c r="I14" i="10" s="1"/>
  <c r="H8" i="10"/>
  <c r="G8" i="10"/>
  <c r="F8" i="10"/>
  <c r="E8" i="10"/>
  <c r="E14" i="10" s="1"/>
  <c r="D8" i="10"/>
  <c r="J88" i="8"/>
  <c r="H88" i="8"/>
  <c r="O87" i="8"/>
  <c r="P87" i="8" s="1"/>
  <c r="Q87" i="8" s="1"/>
  <c r="K85" i="8"/>
  <c r="K88" i="8" s="1"/>
  <c r="I85" i="8"/>
  <c r="I88" i="8" s="1"/>
  <c r="G88" i="8"/>
  <c r="J83" i="8"/>
  <c r="H83" i="8"/>
  <c r="G83" i="8"/>
  <c r="W82" i="8"/>
  <c r="I22" i="7" s="1"/>
  <c r="K81" i="8"/>
  <c r="L81" i="8" s="1"/>
  <c r="I81" i="8"/>
  <c r="I83" i="8" s="1"/>
  <c r="J79" i="8"/>
  <c r="H79" i="8"/>
  <c r="G79" i="8"/>
  <c r="W78" i="8"/>
  <c r="K77" i="8"/>
  <c r="L77" i="8" s="1"/>
  <c r="I77" i="8"/>
  <c r="I79" i="8" s="1"/>
  <c r="J75" i="8"/>
  <c r="H75" i="8"/>
  <c r="G75" i="8"/>
  <c r="L74" i="8"/>
  <c r="K73" i="8"/>
  <c r="K75" i="8" s="1"/>
  <c r="I73" i="8"/>
  <c r="I75" i="8" s="1"/>
  <c r="J71" i="8"/>
  <c r="H71" i="8"/>
  <c r="L70" i="8"/>
  <c r="M70" i="8" s="1"/>
  <c r="N70" i="8" s="1"/>
  <c r="O70" i="8" s="1"/>
  <c r="P70" i="8" s="1"/>
  <c r="Q70" i="8" s="1"/>
  <c r="R70" i="8" s="1"/>
  <c r="S70" i="8" s="1"/>
  <c r="T70" i="8" s="1"/>
  <c r="U70" i="8" s="1"/>
  <c r="K69" i="8"/>
  <c r="I69" i="8"/>
  <c r="I71" i="8" s="1"/>
  <c r="G71" i="8"/>
  <c r="K67" i="8"/>
  <c r="J67" i="8"/>
  <c r="L66" i="8"/>
  <c r="M66" i="8" s="1"/>
  <c r="N66" i="8" s="1"/>
  <c r="L65" i="8"/>
  <c r="M65" i="8" s="1"/>
  <c r="I65" i="8"/>
  <c r="I67" i="8" s="1"/>
  <c r="H65" i="8"/>
  <c r="H67" i="8" s="1"/>
  <c r="G67" i="8"/>
  <c r="T63" i="8"/>
  <c r="N63" i="8"/>
  <c r="J63" i="8"/>
  <c r="I63" i="8"/>
  <c r="W62" i="8"/>
  <c r="I17" i="7" s="1"/>
  <c r="V62" i="8"/>
  <c r="V61" i="8"/>
  <c r="V63" i="8" s="1"/>
  <c r="U61" i="8"/>
  <c r="U63" i="8" s="1"/>
  <c r="S61" i="8"/>
  <c r="S63" i="8" s="1"/>
  <c r="R61" i="8"/>
  <c r="R63" i="8" s="1"/>
  <c r="Q61" i="8"/>
  <c r="Q63" i="8" s="1"/>
  <c r="P61" i="8"/>
  <c r="P63" i="8" s="1"/>
  <c r="O61" i="8"/>
  <c r="O63" i="8" s="1"/>
  <c r="M61" i="8"/>
  <c r="M63" i="8" s="1"/>
  <c r="L61" i="8"/>
  <c r="L63" i="8" s="1"/>
  <c r="K61" i="8"/>
  <c r="K63" i="8" s="1"/>
  <c r="H61" i="8"/>
  <c r="W61" i="8" s="1"/>
  <c r="J59" i="8"/>
  <c r="H59" i="8"/>
  <c r="W58" i="8"/>
  <c r="I16" i="7" s="1"/>
  <c r="K57" i="8"/>
  <c r="L57" i="8" s="1"/>
  <c r="M57" i="8" s="1"/>
  <c r="N57" i="8" s="1"/>
  <c r="O57" i="8" s="1"/>
  <c r="P57" i="8" s="1"/>
  <c r="Q57" i="8" s="1"/>
  <c r="R57" i="8" s="1"/>
  <c r="S57" i="8" s="1"/>
  <c r="T57" i="8" s="1"/>
  <c r="U57" i="8" s="1"/>
  <c r="V57" i="8" s="1"/>
  <c r="I57" i="8"/>
  <c r="K56" i="8"/>
  <c r="L56" i="8" s="1"/>
  <c r="I56" i="8"/>
  <c r="J54" i="8"/>
  <c r="H54" i="8"/>
  <c r="G54" i="8"/>
  <c r="W53" i="8"/>
  <c r="K52" i="8"/>
  <c r="L52" i="8" s="1"/>
  <c r="M52" i="8" s="1"/>
  <c r="N52" i="8" s="1"/>
  <c r="O52" i="8" s="1"/>
  <c r="P52" i="8" s="1"/>
  <c r="Q52" i="8" s="1"/>
  <c r="R52" i="8" s="1"/>
  <c r="S52" i="8" s="1"/>
  <c r="T52" i="8" s="1"/>
  <c r="U52" i="8" s="1"/>
  <c r="K51" i="8"/>
  <c r="L51" i="8" s="1"/>
  <c r="M51" i="8" s="1"/>
  <c r="N51" i="8" s="1"/>
  <c r="O51" i="8" s="1"/>
  <c r="P51" i="8" s="1"/>
  <c r="Q51" i="8" s="1"/>
  <c r="R51" i="8" s="1"/>
  <c r="S51" i="8" s="1"/>
  <c r="T51" i="8" s="1"/>
  <c r="U51" i="8" s="1"/>
  <c r="V51" i="8" s="1"/>
  <c r="I51" i="8"/>
  <c r="I54" i="8" s="1"/>
  <c r="L50" i="8"/>
  <c r="M50" i="8" s="1"/>
  <c r="N50" i="8" s="1"/>
  <c r="J48" i="8"/>
  <c r="W47" i="8"/>
  <c r="I14" i="7" s="1"/>
  <c r="V46" i="8"/>
  <c r="V48" i="8" s="1"/>
  <c r="U46" i="8"/>
  <c r="U48" i="8" s="1"/>
  <c r="T46" i="8"/>
  <c r="T48" i="8" s="1"/>
  <c r="S46" i="8"/>
  <c r="S48" i="8" s="1"/>
  <c r="R46" i="8"/>
  <c r="R48" i="8" s="1"/>
  <c r="Q46" i="8"/>
  <c r="Q48" i="8" s="1"/>
  <c r="P46" i="8"/>
  <c r="P48" i="8" s="1"/>
  <c r="O46" i="8"/>
  <c r="O48" i="8" s="1"/>
  <c r="N46" i="8"/>
  <c r="N48" i="8" s="1"/>
  <c r="M46" i="8"/>
  <c r="M48" i="8" s="1"/>
  <c r="L46" i="8"/>
  <c r="L48" i="8" s="1"/>
  <c r="K46" i="8"/>
  <c r="K48" i="8" s="1"/>
  <c r="I46" i="8"/>
  <c r="I48" i="8" s="1"/>
  <c r="H46" i="8"/>
  <c r="H48" i="8" s="1"/>
  <c r="J44" i="8"/>
  <c r="W43" i="8"/>
  <c r="K42" i="8"/>
  <c r="K44" i="8" s="1"/>
  <c r="I42" i="8"/>
  <c r="E13" i="7"/>
  <c r="V41" i="8"/>
  <c r="U41" i="8"/>
  <c r="T41" i="8"/>
  <c r="S41" i="8"/>
  <c r="R41" i="8"/>
  <c r="Q41" i="8"/>
  <c r="P41" i="8"/>
  <c r="N41" i="8"/>
  <c r="M41" i="8"/>
  <c r="I41" i="8"/>
  <c r="I44" i="8" s="1"/>
  <c r="H41" i="8"/>
  <c r="H44" i="8" s="1"/>
  <c r="G44" i="8"/>
  <c r="R39" i="8"/>
  <c r="L39" i="8"/>
  <c r="K39" i="8"/>
  <c r="J39" i="8"/>
  <c r="G39" i="8"/>
  <c r="W38" i="8"/>
  <c r="I12" i="7" s="1"/>
  <c r="S37" i="8"/>
  <c r="T37" i="8" s="1"/>
  <c r="U37" i="8" s="1"/>
  <c r="Q37" i="8"/>
  <c r="Q39" i="8" s="1"/>
  <c r="P37" i="8"/>
  <c r="P39" i="8" s="1"/>
  <c r="M37" i="8"/>
  <c r="N37" i="8" s="1"/>
  <c r="I37" i="8"/>
  <c r="I39" i="8" s="1"/>
  <c r="H37" i="8"/>
  <c r="H39" i="8" s="1"/>
  <c r="W34" i="8"/>
  <c r="W33" i="8"/>
  <c r="W32" i="8"/>
  <c r="V31" i="8"/>
  <c r="U31" i="8"/>
  <c r="S31" i="8"/>
  <c r="R31" i="8"/>
  <c r="P31" i="8"/>
  <c r="O31" i="8"/>
  <c r="J35" i="8"/>
  <c r="K30" i="8"/>
  <c r="I30" i="8"/>
  <c r="K29" i="8"/>
  <c r="L29" i="8" s="1"/>
  <c r="I29" i="8"/>
  <c r="G35" i="8"/>
  <c r="V28" i="8"/>
  <c r="U28" i="8"/>
  <c r="T28" i="8"/>
  <c r="S28" i="8"/>
  <c r="R28" i="8"/>
  <c r="Q28" i="8"/>
  <c r="P28" i="8"/>
  <c r="O28" i="8"/>
  <c r="M28" i="8"/>
  <c r="L28" i="8"/>
  <c r="K28" i="8"/>
  <c r="I28" i="8"/>
  <c r="H28" i="8"/>
  <c r="H35" i="8" s="1"/>
  <c r="U26" i="8"/>
  <c r="O26" i="8"/>
  <c r="L26" i="8"/>
  <c r="J26" i="8"/>
  <c r="H26" i="8"/>
  <c r="G26" i="8"/>
  <c r="W25" i="8"/>
  <c r="I10" i="7" s="1"/>
  <c r="V24" i="8"/>
  <c r="V26" i="8" s="1"/>
  <c r="T24" i="8"/>
  <c r="T26" i="8" s="1"/>
  <c r="S24" i="8"/>
  <c r="S26" i="8" s="1"/>
  <c r="P24" i="8"/>
  <c r="P26" i="8" s="1"/>
  <c r="N24" i="8"/>
  <c r="N26" i="8" s="1"/>
  <c r="M24" i="8"/>
  <c r="M26" i="8" s="1"/>
  <c r="K24" i="8"/>
  <c r="K26" i="8" s="1"/>
  <c r="I24" i="8"/>
  <c r="I26" i="8" s="1"/>
  <c r="J22" i="8"/>
  <c r="W21" i="8"/>
  <c r="W20" i="8"/>
  <c r="I9" i="7" s="1"/>
  <c r="K19" i="8"/>
  <c r="L19" i="8" s="1"/>
  <c r="M19" i="8" s="1"/>
  <c r="N19" i="8" s="1"/>
  <c r="O19" i="8" s="1"/>
  <c r="P19" i="8" s="1"/>
  <c r="Q19" i="8" s="1"/>
  <c r="R19" i="8" s="1"/>
  <c r="S19" i="8" s="1"/>
  <c r="T19" i="8" s="1"/>
  <c r="I19" i="8"/>
  <c r="V18" i="8"/>
  <c r="T18" i="8"/>
  <c r="S18" i="8"/>
  <c r="K18" i="8"/>
  <c r="I18" i="8"/>
  <c r="H18" i="8"/>
  <c r="H22" i="8" s="1"/>
  <c r="G22" i="8"/>
  <c r="J16" i="8"/>
  <c r="H16" i="8"/>
  <c r="G16" i="8"/>
  <c r="W15" i="8"/>
  <c r="W14" i="8"/>
  <c r="W13" i="8"/>
  <c r="K12" i="8"/>
  <c r="L12" i="8" s="1"/>
  <c r="M12" i="8" s="1"/>
  <c r="N12" i="8" s="1"/>
  <c r="O12" i="8" s="1"/>
  <c r="P12" i="8" s="1"/>
  <c r="Q12" i="8" s="1"/>
  <c r="R12" i="8" s="1"/>
  <c r="S12" i="8" s="1"/>
  <c r="T12" i="8" s="1"/>
  <c r="U12" i="8" s="1"/>
  <c r="V12" i="8" s="1"/>
  <c r="I12" i="8"/>
  <c r="L11" i="8"/>
  <c r="M11" i="8" s="1"/>
  <c r="K11" i="8"/>
  <c r="I11" i="8"/>
  <c r="V10" i="8"/>
  <c r="U10" i="8"/>
  <c r="S10" i="8"/>
  <c r="T10" i="8" s="1"/>
  <c r="Q10" i="8"/>
  <c r="P10" i="8"/>
  <c r="L10" i="8"/>
  <c r="I10" i="8"/>
  <c r="N8" i="8"/>
  <c r="L8" i="8"/>
  <c r="J8" i="8"/>
  <c r="I8" i="8"/>
  <c r="G8" i="8"/>
  <c r="W7" i="8"/>
  <c r="I7" i="7" s="1"/>
  <c r="V6" i="8"/>
  <c r="V8" i="8" s="1"/>
  <c r="U6" i="8"/>
  <c r="U8" i="8" s="1"/>
  <c r="T6" i="8"/>
  <c r="T8" i="8" s="1"/>
  <c r="S6" i="8"/>
  <c r="S8" i="8" s="1"/>
  <c r="R6" i="8"/>
  <c r="R8" i="8" s="1"/>
  <c r="Q6" i="8"/>
  <c r="Q8" i="8" s="1"/>
  <c r="P6" i="8"/>
  <c r="P8" i="8" s="1"/>
  <c r="O6" i="8"/>
  <c r="O8" i="8" s="1"/>
  <c r="N6" i="8"/>
  <c r="M6" i="8"/>
  <c r="M8" i="8" s="1"/>
  <c r="K6" i="8"/>
  <c r="K8" i="8" s="1"/>
  <c r="H6" i="8"/>
  <c r="H8" i="8" s="1"/>
  <c r="E23" i="7"/>
  <c r="E22" i="7"/>
  <c r="I21" i="7"/>
  <c r="E21" i="7"/>
  <c r="E20" i="7"/>
  <c r="E19" i="7"/>
  <c r="E18" i="7"/>
  <c r="E17" i="7"/>
  <c r="E16" i="7"/>
  <c r="E15" i="7"/>
  <c r="E14" i="7"/>
  <c r="I13" i="7"/>
  <c r="E12" i="7"/>
  <c r="E11" i="7"/>
  <c r="E10" i="7"/>
  <c r="E9" i="7"/>
  <c r="E8" i="7"/>
  <c r="E7" i="7"/>
  <c r="E25" i="7" s="1"/>
  <c r="J70" i="6"/>
  <c r="H70" i="6"/>
  <c r="O69" i="6"/>
  <c r="P69" i="6" s="1"/>
  <c r="Q69" i="6" s="1"/>
  <c r="R69" i="6" s="1"/>
  <c r="S69" i="6" s="1"/>
  <c r="T69" i="6" s="1"/>
  <c r="U69" i="6" s="1"/>
  <c r="K68" i="6"/>
  <c r="I68" i="6"/>
  <c r="I70" i="6" s="1"/>
  <c r="T66" i="6"/>
  <c r="R66" i="6"/>
  <c r="O66" i="6"/>
  <c r="N66" i="6"/>
  <c r="M66" i="6"/>
  <c r="L66" i="6"/>
  <c r="K66" i="6"/>
  <c r="J66" i="6"/>
  <c r="I66" i="6"/>
  <c r="H66" i="6"/>
  <c r="G66" i="6"/>
  <c r="V65" i="6"/>
  <c r="V66" i="6" s="1"/>
  <c r="U65" i="6"/>
  <c r="U66" i="6" s="1"/>
  <c r="S65" i="6"/>
  <c r="S66" i="6" s="1"/>
  <c r="Q65" i="6"/>
  <c r="Q66" i="6" s="1"/>
  <c r="P65" i="6"/>
  <c r="P66" i="6" s="1"/>
  <c r="J63" i="6"/>
  <c r="G63" i="6"/>
  <c r="V62" i="6"/>
  <c r="H62" i="6"/>
  <c r="K61" i="6"/>
  <c r="L61" i="6" s="1"/>
  <c r="I61" i="6"/>
  <c r="H59" i="6"/>
  <c r="G59" i="6"/>
  <c r="L58" i="6"/>
  <c r="M58" i="6" s="1"/>
  <c r="I57" i="6"/>
  <c r="J55" i="6"/>
  <c r="I55" i="6"/>
  <c r="H55" i="6"/>
  <c r="V54" i="6"/>
  <c r="L54" i="6"/>
  <c r="M54" i="6" s="1"/>
  <c r="N54" i="6" s="1"/>
  <c r="O54" i="6" s="1"/>
  <c r="P54" i="6" s="1"/>
  <c r="Q54" i="6" s="1"/>
  <c r="R54" i="6" s="1"/>
  <c r="S54" i="6" s="1"/>
  <c r="T54" i="6" s="1"/>
  <c r="U54" i="6" s="1"/>
  <c r="K53" i="6"/>
  <c r="K55" i="6" s="1"/>
  <c r="J51" i="6"/>
  <c r="H51" i="6"/>
  <c r="G51" i="6"/>
  <c r="L50" i="6"/>
  <c r="O49" i="6"/>
  <c r="P49" i="6" s="1"/>
  <c r="Q49" i="6" s="1"/>
  <c r="R49" i="6" s="1"/>
  <c r="S49" i="6" s="1"/>
  <c r="T49" i="6" s="1"/>
  <c r="U49" i="6" s="1"/>
  <c r="V48" i="6"/>
  <c r="T48" i="6"/>
  <c r="S48" i="6"/>
  <c r="R48" i="6"/>
  <c r="K48" i="6"/>
  <c r="K51" i="6" s="1"/>
  <c r="I48" i="6"/>
  <c r="I51" i="6" s="1"/>
  <c r="J46" i="6"/>
  <c r="H46" i="6"/>
  <c r="G46" i="6"/>
  <c r="L45" i="6"/>
  <c r="M45" i="6" s="1"/>
  <c r="N45" i="6" s="1"/>
  <c r="O45" i="6" s="1"/>
  <c r="P45" i="6" s="1"/>
  <c r="Q45" i="6" s="1"/>
  <c r="R45" i="6" s="1"/>
  <c r="S45" i="6" s="1"/>
  <c r="T45" i="6" s="1"/>
  <c r="U45" i="6" s="1"/>
  <c r="K44" i="6"/>
  <c r="L44" i="6" s="1"/>
  <c r="I44" i="6"/>
  <c r="T42" i="6"/>
  <c r="S42" i="6"/>
  <c r="R42" i="6"/>
  <c r="J42" i="6"/>
  <c r="H42" i="6"/>
  <c r="V41" i="6"/>
  <c r="W41" i="6" s="1"/>
  <c r="I15" i="5" s="1"/>
  <c r="U40" i="6"/>
  <c r="V40" i="6" s="1"/>
  <c r="Q40" i="6"/>
  <c r="Q42" i="6" s="1"/>
  <c r="K40" i="6"/>
  <c r="L40" i="6" s="1"/>
  <c r="I40" i="6"/>
  <c r="I42" i="6" s="1"/>
  <c r="K38" i="6"/>
  <c r="J38" i="6"/>
  <c r="I38" i="6"/>
  <c r="H38" i="6"/>
  <c r="V37" i="6"/>
  <c r="W37" i="6" s="1"/>
  <c r="I14" i="5" s="1"/>
  <c r="L36" i="6"/>
  <c r="M36" i="6" s="1"/>
  <c r="N36" i="6" s="1"/>
  <c r="N38" i="6" s="1"/>
  <c r="T34" i="6"/>
  <c r="J34" i="6"/>
  <c r="W33" i="6"/>
  <c r="I13" i="5" s="1"/>
  <c r="V32" i="6"/>
  <c r="U32" i="6"/>
  <c r="S32" i="6"/>
  <c r="S34" i="6" s="1"/>
  <c r="K32" i="6"/>
  <c r="L32" i="6" s="1"/>
  <c r="M32" i="6" s="1"/>
  <c r="N32" i="6" s="1"/>
  <c r="O32" i="6" s="1"/>
  <c r="P32" i="6" s="1"/>
  <c r="Q32" i="6" s="1"/>
  <c r="I32" i="6"/>
  <c r="V31" i="6"/>
  <c r="U31" i="6"/>
  <c r="R31" i="6"/>
  <c r="Q31" i="6"/>
  <c r="P31" i="6"/>
  <c r="O31" i="6"/>
  <c r="N31" i="6"/>
  <c r="M31" i="6"/>
  <c r="M34" i="6" s="1"/>
  <c r="L31" i="6"/>
  <c r="K31" i="6"/>
  <c r="I31" i="6"/>
  <c r="H31" i="6"/>
  <c r="H34" i="6" s="1"/>
  <c r="E13" i="5"/>
  <c r="J29" i="6"/>
  <c r="H29" i="6"/>
  <c r="G29" i="6"/>
  <c r="V28" i="6"/>
  <c r="W28" i="6" s="1"/>
  <c r="I12" i="5" s="1"/>
  <c r="K27" i="6"/>
  <c r="L27" i="6" s="1"/>
  <c r="I27" i="6"/>
  <c r="V25" i="6"/>
  <c r="U25" i="6"/>
  <c r="T25" i="6"/>
  <c r="S25" i="6"/>
  <c r="R25" i="6"/>
  <c r="Q25" i="6"/>
  <c r="P25" i="6"/>
  <c r="O25" i="6"/>
  <c r="N25" i="6"/>
  <c r="M25" i="6"/>
  <c r="L25" i="6"/>
  <c r="K25" i="6"/>
  <c r="J25" i="6"/>
  <c r="H25" i="6"/>
  <c r="W24" i="6"/>
  <c r="I11" i="5" s="1"/>
  <c r="I23" i="6"/>
  <c r="I25" i="6" s="1"/>
  <c r="G25" i="6"/>
  <c r="H21" i="6"/>
  <c r="W20" i="6"/>
  <c r="I10" i="5" s="1"/>
  <c r="I19" i="6"/>
  <c r="T17" i="6"/>
  <c r="Q17" i="6"/>
  <c r="J17" i="6"/>
  <c r="W16" i="6"/>
  <c r="V15" i="6"/>
  <c r="U15" i="6"/>
  <c r="S15" i="6"/>
  <c r="I15" i="6"/>
  <c r="V14" i="6"/>
  <c r="U14" i="6"/>
  <c r="U17" i="6" s="1"/>
  <c r="T14" i="6"/>
  <c r="S14" i="6"/>
  <c r="S17" i="6" s="1"/>
  <c r="R14" i="6"/>
  <c r="R17" i="6" s="1"/>
  <c r="P14" i="6"/>
  <c r="P17" i="6" s="1"/>
  <c r="O14" i="6"/>
  <c r="O17" i="6" s="1"/>
  <c r="N14" i="6"/>
  <c r="N17" i="6" s="1"/>
  <c r="M14" i="6"/>
  <c r="M17" i="6" s="1"/>
  <c r="L14" i="6"/>
  <c r="L17" i="6" s="1"/>
  <c r="K14" i="6"/>
  <c r="K17" i="6" s="1"/>
  <c r="I14" i="6"/>
  <c r="I17" i="6" s="1"/>
  <c r="H14" i="6"/>
  <c r="H17" i="6" s="1"/>
  <c r="V12" i="6"/>
  <c r="U12" i="6"/>
  <c r="T12" i="6"/>
  <c r="S12" i="6"/>
  <c r="R12" i="6"/>
  <c r="Q12" i="6"/>
  <c r="P12" i="6"/>
  <c r="O12" i="6"/>
  <c r="N12" i="6"/>
  <c r="M12" i="6"/>
  <c r="L12" i="6"/>
  <c r="K12" i="6"/>
  <c r="J12" i="6"/>
  <c r="I12" i="6"/>
  <c r="H12" i="6"/>
  <c r="W11" i="6"/>
  <c r="I8" i="5" s="1"/>
  <c r="V8" i="6"/>
  <c r="U8" i="6"/>
  <c r="T8" i="6"/>
  <c r="S8" i="6"/>
  <c r="R8" i="6"/>
  <c r="Q8" i="6"/>
  <c r="P8" i="6"/>
  <c r="O8" i="6"/>
  <c r="N8" i="6"/>
  <c r="M8" i="6"/>
  <c r="L8" i="6"/>
  <c r="K8" i="6"/>
  <c r="J8" i="6"/>
  <c r="I8" i="6"/>
  <c r="H8" i="6"/>
  <c r="G8" i="6"/>
  <c r="W7" i="6"/>
  <c r="W6" i="6"/>
  <c r="W8" i="6" s="1"/>
  <c r="E22" i="5"/>
  <c r="E21" i="5"/>
  <c r="E20" i="5"/>
  <c r="E19" i="5"/>
  <c r="E17" i="5"/>
  <c r="E16" i="5"/>
  <c r="E15" i="5"/>
  <c r="E12" i="5"/>
  <c r="E11" i="5"/>
  <c r="I9" i="5"/>
  <c r="I7" i="5"/>
  <c r="E7" i="5"/>
  <c r="O87" i="3"/>
  <c r="P87" i="3" s="1"/>
  <c r="Q87" i="3" s="1"/>
  <c r="R87" i="3" s="1"/>
  <c r="S87" i="3" s="1"/>
  <c r="T87" i="3" s="1"/>
  <c r="U87" i="3" s="1"/>
  <c r="K88" i="3"/>
  <c r="G88" i="3"/>
  <c r="J83" i="3"/>
  <c r="G83" i="3"/>
  <c r="K81" i="3"/>
  <c r="H81" i="3"/>
  <c r="K77" i="3"/>
  <c r="J79" i="3"/>
  <c r="L74" i="3"/>
  <c r="M74" i="3" s="1"/>
  <c r="N74" i="3" s="1"/>
  <c r="O74" i="3" s="1"/>
  <c r="P74" i="3" s="1"/>
  <c r="Q74" i="3" s="1"/>
  <c r="R74" i="3" s="1"/>
  <c r="S74" i="3" s="1"/>
  <c r="T74" i="3" s="1"/>
  <c r="U74" i="3" s="1"/>
  <c r="K73" i="3"/>
  <c r="K75" i="3" s="1"/>
  <c r="J75" i="3"/>
  <c r="H73" i="3"/>
  <c r="I73" i="3" s="1"/>
  <c r="I75" i="3" s="1"/>
  <c r="G75" i="3"/>
  <c r="J71" i="3"/>
  <c r="L70" i="3"/>
  <c r="M70" i="3" s="1"/>
  <c r="N70" i="3" s="1"/>
  <c r="O70" i="3" s="1"/>
  <c r="P70" i="3" s="1"/>
  <c r="Q70" i="3" s="1"/>
  <c r="R70" i="3" s="1"/>
  <c r="S70" i="3" s="1"/>
  <c r="T70" i="3" s="1"/>
  <c r="U70" i="3" s="1"/>
  <c r="K69" i="3"/>
  <c r="K71" i="3" s="1"/>
  <c r="H69" i="3"/>
  <c r="H71" i="3" s="1"/>
  <c r="G71" i="3"/>
  <c r="J67" i="3"/>
  <c r="L66" i="3"/>
  <c r="M66" i="3" s="1"/>
  <c r="N66" i="3" s="1"/>
  <c r="O66" i="3" s="1"/>
  <c r="P66" i="3" s="1"/>
  <c r="Q66" i="3" s="1"/>
  <c r="R66" i="3" s="1"/>
  <c r="S66" i="3" s="1"/>
  <c r="T66" i="3" s="1"/>
  <c r="U66" i="3" s="1"/>
  <c r="K65" i="3"/>
  <c r="J63" i="3"/>
  <c r="G63" i="3"/>
  <c r="V62" i="3"/>
  <c r="K61" i="3"/>
  <c r="K63" i="3" s="1"/>
  <c r="H61" i="3"/>
  <c r="K57" i="3"/>
  <c r="L57" i="3" s="1"/>
  <c r="M57" i="3" s="1"/>
  <c r="N57" i="3" s="1"/>
  <c r="O57" i="3" s="1"/>
  <c r="P57" i="3" s="1"/>
  <c r="Q57" i="3" s="1"/>
  <c r="R57" i="3" s="1"/>
  <c r="S57" i="3" s="1"/>
  <c r="T57" i="3" s="1"/>
  <c r="U57" i="3" s="1"/>
  <c r="V57" i="3" s="1"/>
  <c r="H57" i="3"/>
  <c r="I57" i="3" s="1"/>
  <c r="K52" i="3"/>
  <c r="L52" i="3" s="1"/>
  <c r="M52" i="3" s="1"/>
  <c r="N52" i="3" s="1"/>
  <c r="O52" i="3" s="1"/>
  <c r="P52" i="3" s="1"/>
  <c r="Q52" i="3" s="1"/>
  <c r="R52" i="3" s="1"/>
  <c r="S52" i="3" s="1"/>
  <c r="T52" i="3" s="1"/>
  <c r="U52" i="3" s="1"/>
  <c r="K51" i="3"/>
  <c r="L51" i="3" s="1"/>
  <c r="M51" i="3" s="1"/>
  <c r="N51" i="3" s="1"/>
  <c r="O51" i="3" s="1"/>
  <c r="P51" i="3" s="1"/>
  <c r="Q51" i="3" s="1"/>
  <c r="R51" i="3" s="1"/>
  <c r="S51" i="3" s="1"/>
  <c r="T51" i="3" s="1"/>
  <c r="U51" i="3" s="1"/>
  <c r="V51" i="3" s="1"/>
  <c r="H51" i="3"/>
  <c r="I51" i="3" s="1"/>
  <c r="K50" i="3"/>
  <c r="L50" i="3" s="1"/>
  <c r="J54" i="3"/>
  <c r="G48" i="3"/>
  <c r="H46" i="3"/>
  <c r="H48" i="3" s="1"/>
  <c r="G44" i="3"/>
  <c r="K42" i="3"/>
  <c r="L42" i="3" s="1"/>
  <c r="M42" i="3" s="1"/>
  <c r="N42" i="3" s="1"/>
  <c r="O42" i="3" s="1"/>
  <c r="P42" i="3" s="1"/>
  <c r="Q42" i="3" s="1"/>
  <c r="R42" i="3" s="1"/>
  <c r="S42" i="3" s="1"/>
  <c r="T42" i="3" s="1"/>
  <c r="U42" i="3" s="1"/>
  <c r="V42" i="3" s="1"/>
  <c r="H42" i="3"/>
  <c r="I42" i="3" s="1"/>
  <c r="K41" i="3"/>
  <c r="J44" i="3"/>
  <c r="H41" i="3"/>
  <c r="I41" i="3" s="1"/>
  <c r="J39" i="3"/>
  <c r="G39" i="3"/>
  <c r="K37" i="3"/>
  <c r="L37" i="3" s="1"/>
  <c r="H37" i="3"/>
  <c r="J35" i="3"/>
  <c r="N31" i="3"/>
  <c r="O31" i="3" s="1"/>
  <c r="P31" i="3" s="1"/>
  <c r="Q31" i="3" s="1"/>
  <c r="R31" i="3" s="1"/>
  <c r="S31" i="3" s="1"/>
  <c r="T31" i="3" s="1"/>
  <c r="U31" i="3" s="1"/>
  <c r="V31" i="3" s="1"/>
  <c r="K31" i="3"/>
  <c r="L31" i="3" s="1"/>
  <c r="K30" i="3"/>
  <c r="L30" i="3" s="1"/>
  <c r="M30" i="3" s="1"/>
  <c r="N30" i="3" s="1"/>
  <c r="O30" i="3" s="1"/>
  <c r="P30" i="3" s="1"/>
  <c r="Q30" i="3" s="1"/>
  <c r="R30" i="3" s="1"/>
  <c r="S30" i="3" s="1"/>
  <c r="T30" i="3" s="1"/>
  <c r="U30" i="3" s="1"/>
  <c r="V30" i="3" s="1"/>
  <c r="H30" i="3"/>
  <c r="I30" i="3" s="1"/>
  <c r="K29" i="3"/>
  <c r="L29" i="3" s="1"/>
  <c r="M29" i="3" s="1"/>
  <c r="N29" i="3" s="1"/>
  <c r="O29" i="3" s="1"/>
  <c r="P29" i="3" s="1"/>
  <c r="Q29" i="3" s="1"/>
  <c r="R29" i="3" s="1"/>
  <c r="S29" i="3" s="1"/>
  <c r="T29" i="3" s="1"/>
  <c r="U29" i="3" s="1"/>
  <c r="V29" i="3" s="1"/>
  <c r="H29" i="3"/>
  <c r="I29" i="3" s="1"/>
  <c r="K28" i="3"/>
  <c r="H28" i="3"/>
  <c r="G35" i="3"/>
  <c r="J26" i="3"/>
  <c r="G26" i="3"/>
  <c r="K24" i="3"/>
  <c r="L24" i="3" s="1"/>
  <c r="H24" i="3"/>
  <c r="J22" i="3"/>
  <c r="K19" i="3"/>
  <c r="L19" i="3" s="1"/>
  <c r="M19" i="3" s="1"/>
  <c r="N19" i="3" s="1"/>
  <c r="O19" i="3" s="1"/>
  <c r="P19" i="3" s="1"/>
  <c r="Q19" i="3" s="1"/>
  <c r="R19" i="3" s="1"/>
  <c r="S19" i="3" s="1"/>
  <c r="T19" i="3" s="1"/>
  <c r="U19" i="3" s="1"/>
  <c r="V19" i="3" s="1"/>
  <c r="H19" i="3"/>
  <c r="I19" i="3" s="1"/>
  <c r="K18" i="3"/>
  <c r="H18" i="3"/>
  <c r="G22" i="3"/>
  <c r="J16" i="3"/>
  <c r="K12" i="3"/>
  <c r="L12" i="3" s="1"/>
  <c r="M12" i="3" s="1"/>
  <c r="N12" i="3" s="1"/>
  <c r="O12" i="3" s="1"/>
  <c r="P12" i="3" s="1"/>
  <c r="Q12" i="3" s="1"/>
  <c r="R12" i="3" s="1"/>
  <c r="S12" i="3" s="1"/>
  <c r="T12" i="3" s="1"/>
  <c r="U12" i="3" s="1"/>
  <c r="V12" i="3" s="1"/>
  <c r="H12" i="3"/>
  <c r="I12" i="3" s="1"/>
  <c r="K11" i="3"/>
  <c r="L11" i="3" s="1"/>
  <c r="M11" i="3" s="1"/>
  <c r="N11" i="3" s="1"/>
  <c r="O11" i="3" s="1"/>
  <c r="P11" i="3" s="1"/>
  <c r="Q11" i="3" s="1"/>
  <c r="R11" i="3" s="1"/>
  <c r="S11" i="3" s="1"/>
  <c r="T11" i="3" s="1"/>
  <c r="U11" i="3" s="1"/>
  <c r="V11" i="3" s="1"/>
  <c r="H11" i="3"/>
  <c r="I11" i="3" s="1"/>
  <c r="K10" i="3"/>
  <c r="H10" i="3"/>
  <c r="I10" i="3" s="1"/>
  <c r="G16" i="3"/>
  <c r="J8" i="3"/>
  <c r="K6" i="3"/>
  <c r="H6" i="3"/>
  <c r="O72" i="2"/>
  <c r="P72" i="2" s="1"/>
  <c r="Q72" i="2" s="1"/>
  <c r="R72" i="2" s="1"/>
  <c r="S72" i="2" s="1"/>
  <c r="T72" i="2" s="1"/>
  <c r="U72" i="2" s="1"/>
  <c r="K71" i="2"/>
  <c r="H71" i="2"/>
  <c r="I71" i="2" s="1"/>
  <c r="I73" i="2" s="1"/>
  <c r="G73" i="2"/>
  <c r="N69" i="2"/>
  <c r="M69" i="2"/>
  <c r="L69" i="2"/>
  <c r="K69" i="2"/>
  <c r="J69" i="2"/>
  <c r="I69" i="2"/>
  <c r="H69" i="2"/>
  <c r="G69" i="2"/>
  <c r="O68" i="2"/>
  <c r="O69" i="2" s="1"/>
  <c r="O66" i="2"/>
  <c r="N66" i="2"/>
  <c r="M66" i="2"/>
  <c r="L66" i="2"/>
  <c r="K66" i="2"/>
  <c r="J66" i="2"/>
  <c r="I66" i="2"/>
  <c r="H66" i="2"/>
  <c r="G66" i="2"/>
  <c r="P65" i="2"/>
  <c r="Q65" i="2" s="1"/>
  <c r="Q66" i="2" s="1"/>
  <c r="G63" i="2"/>
  <c r="V62" i="2"/>
  <c r="H62" i="2"/>
  <c r="I62" i="2" s="1"/>
  <c r="H61" i="2"/>
  <c r="I61" i="2" s="1"/>
  <c r="L58" i="2"/>
  <c r="M58" i="2" s="1"/>
  <c r="N58" i="2" s="1"/>
  <c r="O58" i="2" s="1"/>
  <c r="P58" i="2" s="1"/>
  <c r="Q58" i="2" s="1"/>
  <c r="R58" i="2" s="1"/>
  <c r="S58" i="2" s="1"/>
  <c r="T58" i="2" s="1"/>
  <c r="U58" i="2" s="1"/>
  <c r="H57" i="2"/>
  <c r="I57" i="2" s="1"/>
  <c r="I59" i="2" s="1"/>
  <c r="G59" i="2"/>
  <c r="J55" i="2"/>
  <c r="I55" i="2"/>
  <c r="V54" i="2"/>
  <c r="L54" i="2"/>
  <c r="M54" i="2" s="1"/>
  <c r="N54" i="2" s="1"/>
  <c r="O54" i="2" s="1"/>
  <c r="P54" i="2" s="1"/>
  <c r="Q54" i="2" s="1"/>
  <c r="R54" i="2" s="1"/>
  <c r="S54" i="2" s="1"/>
  <c r="T54" i="2" s="1"/>
  <c r="U54" i="2" s="1"/>
  <c r="K53" i="2"/>
  <c r="H53" i="2"/>
  <c r="H55" i="2" s="1"/>
  <c r="G55" i="2"/>
  <c r="J51" i="2"/>
  <c r="L50" i="2"/>
  <c r="M50" i="2" s="1"/>
  <c r="N50" i="2" s="1"/>
  <c r="O50" i="2" s="1"/>
  <c r="P50" i="2" s="1"/>
  <c r="Q50" i="2" s="1"/>
  <c r="R50" i="2" s="1"/>
  <c r="S50" i="2" s="1"/>
  <c r="T50" i="2" s="1"/>
  <c r="U50" i="2" s="1"/>
  <c r="N49" i="2"/>
  <c r="O49" i="2" s="1"/>
  <c r="P49" i="2" s="1"/>
  <c r="Q49" i="2" s="1"/>
  <c r="R49" i="2" s="1"/>
  <c r="S49" i="2" s="1"/>
  <c r="T49" i="2" s="1"/>
  <c r="U49" i="2" s="1"/>
  <c r="V49" i="2" s="1"/>
  <c r="K48" i="2"/>
  <c r="J46" i="2"/>
  <c r="L45" i="2"/>
  <c r="M45" i="2" s="1"/>
  <c r="N45" i="2" s="1"/>
  <c r="O45" i="2" s="1"/>
  <c r="P45" i="2" s="1"/>
  <c r="Q45" i="2" s="1"/>
  <c r="R45" i="2" s="1"/>
  <c r="S45" i="2" s="1"/>
  <c r="T45" i="2" s="1"/>
  <c r="U45" i="2" s="1"/>
  <c r="K44" i="2"/>
  <c r="G42" i="2"/>
  <c r="V41" i="2"/>
  <c r="H40" i="2"/>
  <c r="H42" i="2" s="1"/>
  <c r="J38" i="2"/>
  <c r="V37" i="2"/>
  <c r="K36" i="2"/>
  <c r="K38" i="2" s="1"/>
  <c r="G38" i="2"/>
  <c r="K32" i="2"/>
  <c r="L32" i="2" s="1"/>
  <c r="M32" i="2" s="1"/>
  <c r="N32" i="2" s="1"/>
  <c r="O32" i="2" s="1"/>
  <c r="P32" i="2" s="1"/>
  <c r="Q32" i="2" s="1"/>
  <c r="R32" i="2" s="1"/>
  <c r="S32" i="2" s="1"/>
  <c r="T32" i="2" s="1"/>
  <c r="U32" i="2" s="1"/>
  <c r="V32" i="2" s="1"/>
  <c r="H32" i="2"/>
  <c r="I32" i="2" s="1"/>
  <c r="H31" i="2"/>
  <c r="J29" i="2"/>
  <c r="V28" i="2"/>
  <c r="K27" i="2"/>
  <c r="O25" i="2"/>
  <c r="N25" i="2"/>
  <c r="M25" i="2"/>
  <c r="L25" i="2"/>
  <c r="P23" i="2"/>
  <c r="P25" i="2" s="1"/>
  <c r="K23" i="2"/>
  <c r="K25" i="2" s="1"/>
  <c r="H23" i="2"/>
  <c r="H25" i="2" s="1"/>
  <c r="V21" i="2"/>
  <c r="G21" i="2"/>
  <c r="J21" i="2"/>
  <c r="H19" i="2"/>
  <c r="H21" i="2" s="1"/>
  <c r="G10" i="5"/>
  <c r="J17" i="2"/>
  <c r="S15" i="2"/>
  <c r="T15" i="2" s="1"/>
  <c r="U15" i="2" s="1"/>
  <c r="V15" i="2" s="1"/>
  <c r="H15" i="2"/>
  <c r="I15" i="2" s="1"/>
  <c r="K14" i="2"/>
  <c r="K17" i="2" s="1"/>
  <c r="G17" i="2"/>
  <c r="V12" i="2"/>
  <c r="U12" i="2"/>
  <c r="T12" i="2"/>
  <c r="S12" i="2"/>
  <c r="R12" i="2"/>
  <c r="Q12" i="2"/>
  <c r="O12" i="2"/>
  <c r="N12" i="2"/>
  <c r="M12" i="2"/>
  <c r="L12" i="2"/>
  <c r="K12" i="2"/>
  <c r="I12" i="2"/>
  <c r="H12" i="2"/>
  <c r="G12" i="2"/>
  <c r="P10" i="2"/>
  <c r="P12" i="2" s="1"/>
  <c r="J12" i="2"/>
  <c r="V8" i="2"/>
  <c r="U8" i="2"/>
  <c r="T8" i="2"/>
  <c r="S8" i="2"/>
  <c r="R8" i="2"/>
  <c r="Q8" i="2"/>
  <c r="P8" i="2"/>
  <c r="O8" i="2"/>
  <c r="N8" i="2"/>
  <c r="M8" i="2"/>
  <c r="L8" i="2"/>
  <c r="K8" i="2"/>
  <c r="I8" i="2"/>
  <c r="H8" i="2"/>
  <c r="J8" i="2"/>
  <c r="G8" i="2"/>
  <c r="F14" i="10" l="1"/>
  <c r="J14" i="10"/>
  <c r="N14" i="10"/>
  <c r="R14" i="10"/>
  <c r="S7" i="11"/>
  <c r="K79" i="8"/>
  <c r="G14" i="11"/>
  <c r="O14" i="11"/>
  <c r="S10" i="11"/>
  <c r="S12" i="11" s="1"/>
  <c r="Q24" i="8"/>
  <c r="R24" i="8" s="1"/>
  <c r="R26" i="8" s="1"/>
  <c r="D46" i="16"/>
  <c r="H35" i="3"/>
  <c r="K22" i="8"/>
  <c r="D14" i="10"/>
  <c r="H14" i="10"/>
  <c r="L14" i="10"/>
  <c r="P14" i="10"/>
  <c r="F14" i="11"/>
  <c r="J14" i="11"/>
  <c r="N14" i="11"/>
  <c r="C18" i="16"/>
  <c r="S7" i="10"/>
  <c r="C29" i="16"/>
  <c r="C31" i="16" s="1"/>
  <c r="S11" i="10"/>
  <c r="R65" i="2"/>
  <c r="S65" i="2" s="1"/>
  <c r="S66" i="2" s="1"/>
  <c r="I44" i="3"/>
  <c r="S8" i="11"/>
  <c r="R14" i="11"/>
  <c r="C26" i="16"/>
  <c r="C33" i="16" s="1"/>
  <c r="D19" i="16"/>
  <c r="D41" i="16"/>
  <c r="M39" i="8"/>
  <c r="K83" i="8"/>
  <c r="L85" i="8"/>
  <c r="M85" i="8" s="1"/>
  <c r="M88" i="8" s="1"/>
  <c r="I8" i="7"/>
  <c r="M67" i="8"/>
  <c r="K34" i="6"/>
  <c r="U34" i="6"/>
  <c r="W15" i="6"/>
  <c r="H9" i="5" s="1"/>
  <c r="W23" i="6"/>
  <c r="W25" i="6" s="1"/>
  <c r="G11" i="5" s="1"/>
  <c r="J11" i="5" s="1"/>
  <c r="L34" i="6"/>
  <c r="V42" i="6"/>
  <c r="L48" i="6"/>
  <c r="I34" i="6"/>
  <c r="K29" i="6"/>
  <c r="K22" i="3"/>
  <c r="K16" i="3"/>
  <c r="K35" i="3"/>
  <c r="K44" i="3"/>
  <c r="Q23" i="2"/>
  <c r="R23" i="2" s="1"/>
  <c r="H34" i="2"/>
  <c r="W63" i="8"/>
  <c r="G17" i="7"/>
  <c r="J17" i="7" s="1"/>
  <c r="O66" i="8"/>
  <c r="P66" i="8" s="1"/>
  <c r="Q66" i="8" s="1"/>
  <c r="R66" i="8" s="1"/>
  <c r="S66" i="8" s="1"/>
  <c r="T66" i="8" s="1"/>
  <c r="U66" i="8" s="1"/>
  <c r="R87" i="8"/>
  <c r="S87" i="8" s="1"/>
  <c r="T87" i="8" s="1"/>
  <c r="U87" i="8" s="1"/>
  <c r="L16" i="8"/>
  <c r="L67" i="8"/>
  <c r="V16" i="8"/>
  <c r="L30" i="8"/>
  <c r="M30" i="8" s="1"/>
  <c r="N30" i="8" s="1"/>
  <c r="O30" i="8" s="1"/>
  <c r="P30" i="8" s="1"/>
  <c r="Q30" i="8" s="1"/>
  <c r="R30" i="8" s="1"/>
  <c r="S30" i="8" s="1"/>
  <c r="T30" i="8" s="1"/>
  <c r="U30" i="8" s="1"/>
  <c r="V30" i="8" s="1"/>
  <c r="S39" i="8"/>
  <c r="H63" i="8"/>
  <c r="H91" i="8" s="1"/>
  <c r="I16" i="8"/>
  <c r="K16" i="8"/>
  <c r="I22" i="8"/>
  <c r="I59" i="8"/>
  <c r="L73" i="8"/>
  <c r="L75" i="8" s="1"/>
  <c r="W10" i="8"/>
  <c r="I35" i="8"/>
  <c r="K59" i="8"/>
  <c r="U42" i="6"/>
  <c r="O36" i="6"/>
  <c r="K63" i="6"/>
  <c r="L38" i="6"/>
  <c r="P34" i="6"/>
  <c r="V34" i="6"/>
  <c r="I16" i="3"/>
  <c r="K26" i="3"/>
  <c r="K39" i="3"/>
  <c r="L18" i="3"/>
  <c r="M18" i="3" s="1"/>
  <c r="L28" i="3"/>
  <c r="M28" i="3" s="1"/>
  <c r="N28" i="3" s="1"/>
  <c r="L41" i="3"/>
  <c r="H44" i="3"/>
  <c r="I46" i="3"/>
  <c r="I48" i="3" s="1"/>
  <c r="L61" i="3"/>
  <c r="M61" i="3" s="1"/>
  <c r="L69" i="3"/>
  <c r="L71" i="3" s="1"/>
  <c r="L73" i="3"/>
  <c r="M73" i="3" s="1"/>
  <c r="L10" i="3"/>
  <c r="M10" i="3" s="1"/>
  <c r="I28" i="3"/>
  <c r="I35" i="3" s="1"/>
  <c r="I69" i="3"/>
  <c r="I71" i="3" s="1"/>
  <c r="H75" i="3"/>
  <c r="I23" i="2"/>
  <c r="I25" i="2" s="1"/>
  <c r="H59" i="2"/>
  <c r="I63" i="2"/>
  <c r="J57" i="2"/>
  <c r="K57" i="2" s="1"/>
  <c r="P68" i="2"/>
  <c r="Q68" i="2" s="1"/>
  <c r="Q69" i="2" s="1"/>
  <c r="T65" i="2"/>
  <c r="H14" i="2"/>
  <c r="L14" i="2"/>
  <c r="K19" i="2"/>
  <c r="G29" i="2"/>
  <c r="H27" i="2"/>
  <c r="I31" i="2"/>
  <c r="I34" i="2" s="1"/>
  <c r="K46" i="2"/>
  <c r="L44" i="2"/>
  <c r="G51" i="2"/>
  <c r="H48" i="2"/>
  <c r="L71" i="2"/>
  <c r="K73" i="2"/>
  <c r="J73" i="2"/>
  <c r="J48" i="3"/>
  <c r="K46" i="3"/>
  <c r="J59" i="3"/>
  <c r="K56" i="3"/>
  <c r="I19" i="2"/>
  <c r="I21" i="2" s="1"/>
  <c r="S23" i="2"/>
  <c r="R25" i="2"/>
  <c r="K29" i="2"/>
  <c r="L27" i="2"/>
  <c r="G46" i="2"/>
  <c r="H44" i="2"/>
  <c r="K51" i="2"/>
  <c r="L48" i="2"/>
  <c r="K55" i="2"/>
  <c r="L53" i="2"/>
  <c r="P69" i="2"/>
  <c r="G54" i="3"/>
  <c r="H50" i="3"/>
  <c r="J42" i="2"/>
  <c r="K40" i="2"/>
  <c r="J63" i="2"/>
  <c r="K61" i="2"/>
  <c r="L6" i="3"/>
  <c r="K8" i="3"/>
  <c r="H39" i="3"/>
  <c r="I37" i="3"/>
  <c r="I39" i="3" s="1"/>
  <c r="V49" i="6"/>
  <c r="V51" i="6" s="1"/>
  <c r="J25" i="2"/>
  <c r="H63" i="2"/>
  <c r="I18" i="3"/>
  <c r="I22" i="3" s="1"/>
  <c r="H22" i="3"/>
  <c r="L26" i="3"/>
  <c r="M24" i="3"/>
  <c r="K67" i="3"/>
  <c r="L65" i="3"/>
  <c r="K79" i="3"/>
  <c r="L77" i="3"/>
  <c r="G38" i="6"/>
  <c r="E14" i="5"/>
  <c r="G25" i="2"/>
  <c r="P66" i="2"/>
  <c r="H73" i="2"/>
  <c r="H26" i="3"/>
  <c r="I24" i="3"/>
  <c r="I26" i="3" s="1"/>
  <c r="L54" i="3"/>
  <c r="M50" i="3"/>
  <c r="H63" i="3"/>
  <c r="I61" i="3"/>
  <c r="I63" i="3" s="1"/>
  <c r="H88" i="3"/>
  <c r="I88" i="3"/>
  <c r="M27" i="6"/>
  <c r="L29" i="6"/>
  <c r="Q34" i="6"/>
  <c r="R32" i="6"/>
  <c r="W32" i="6" s="1"/>
  <c r="H13" i="5" s="1"/>
  <c r="K31" i="2"/>
  <c r="K34" i="2" s="1"/>
  <c r="H36" i="2"/>
  <c r="L36" i="2"/>
  <c r="I40" i="2"/>
  <c r="I42" i="2" s="1"/>
  <c r="H8" i="3"/>
  <c r="I6" i="3"/>
  <c r="I8" i="3" s="1"/>
  <c r="G8" i="3"/>
  <c r="H16" i="3"/>
  <c r="L39" i="3"/>
  <c r="M37" i="3"/>
  <c r="K54" i="3"/>
  <c r="G67" i="3"/>
  <c r="H65" i="3"/>
  <c r="G21" i="6"/>
  <c r="E10" i="5"/>
  <c r="J10" i="5" s="1"/>
  <c r="W45" i="6"/>
  <c r="I16" i="5" s="1"/>
  <c r="G59" i="3"/>
  <c r="H56" i="3"/>
  <c r="I46" i="6"/>
  <c r="L63" i="3"/>
  <c r="E8" i="5"/>
  <c r="W10" i="6"/>
  <c r="W12" i="6" s="1"/>
  <c r="G8" i="5" s="1"/>
  <c r="G12" i="6"/>
  <c r="I29" i="6"/>
  <c r="G34" i="6"/>
  <c r="W31" i="6"/>
  <c r="L42" i="6"/>
  <c r="M40" i="6"/>
  <c r="M44" i="6"/>
  <c r="L46" i="6"/>
  <c r="G70" i="6"/>
  <c r="E23" i="5"/>
  <c r="T22" i="8"/>
  <c r="U19" i="8"/>
  <c r="N39" i="8"/>
  <c r="O37" i="8"/>
  <c r="O39" i="8" s="1"/>
  <c r="U39" i="8"/>
  <c r="V37" i="8"/>
  <c r="V39" i="8" s="1"/>
  <c r="K83" i="3"/>
  <c r="L81" i="3"/>
  <c r="V17" i="6"/>
  <c r="K46" i="6"/>
  <c r="J59" i="6"/>
  <c r="K57" i="6"/>
  <c r="G79" i="3"/>
  <c r="H77" i="3"/>
  <c r="H83" i="3"/>
  <c r="I81" i="3"/>
  <c r="I83" i="3" s="1"/>
  <c r="G17" i="6"/>
  <c r="W14" i="6"/>
  <c r="E9" i="5"/>
  <c r="O34" i="6"/>
  <c r="G42" i="6"/>
  <c r="M50" i="6"/>
  <c r="N50" i="6" s="1"/>
  <c r="O50" i="6" s="1"/>
  <c r="P50" i="6" s="1"/>
  <c r="Q50" i="6" s="1"/>
  <c r="R50" i="6" s="1"/>
  <c r="S50" i="6" s="1"/>
  <c r="T50" i="6" s="1"/>
  <c r="U50" i="6" s="1"/>
  <c r="U51" i="6" s="1"/>
  <c r="W54" i="6"/>
  <c r="I18" i="5" s="1"/>
  <c r="I59" i="6"/>
  <c r="W69" i="6"/>
  <c r="I23" i="5" s="1"/>
  <c r="M16" i="8"/>
  <c r="N11" i="8"/>
  <c r="S22" i="8"/>
  <c r="G7" i="5"/>
  <c r="I21" i="6"/>
  <c r="J19" i="6"/>
  <c r="N34" i="6"/>
  <c r="M38" i="6"/>
  <c r="G55" i="6"/>
  <c r="E18" i="5"/>
  <c r="N58" i="6"/>
  <c r="O58" i="6" s="1"/>
  <c r="P58" i="6" s="1"/>
  <c r="Q58" i="6" s="1"/>
  <c r="R58" i="6" s="1"/>
  <c r="S58" i="6" s="1"/>
  <c r="T58" i="6" s="1"/>
  <c r="U58" i="6" s="1"/>
  <c r="H63" i="6"/>
  <c r="H73" i="6" s="1"/>
  <c r="I62" i="6"/>
  <c r="I63" i="6" s="1"/>
  <c r="W62" i="6"/>
  <c r="I20" i="5" s="1"/>
  <c r="J88" i="3"/>
  <c r="J91" i="3" s="1"/>
  <c r="K42" i="6"/>
  <c r="W65" i="6"/>
  <c r="K70" i="6"/>
  <c r="L68" i="6"/>
  <c r="W12" i="8"/>
  <c r="L53" i="6"/>
  <c r="L63" i="6"/>
  <c r="M61" i="6"/>
  <c r="M29" i="8"/>
  <c r="I11" i="7"/>
  <c r="W6" i="8"/>
  <c r="W46" i="8"/>
  <c r="G48" i="8"/>
  <c r="N54" i="8"/>
  <c r="O50" i="8"/>
  <c r="W51" i="8"/>
  <c r="H15" i="7" s="1"/>
  <c r="W70" i="8"/>
  <c r="I19" i="7" s="1"/>
  <c r="J91" i="8"/>
  <c r="L18" i="8"/>
  <c r="W28" i="8"/>
  <c r="K31" i="8"/>
  <c r="L31" i="8" s="1"/>
  <c r="T39" i="8"/>
  <c r="W41" i="8"/>
  <c r="L42" i="8"/>
  <c r="W52" i="8"/>
  <c r="I15" i="7" s="1"/>
  <c r="W57" i="8"/>
  <c r="H16" i="7" s="1"/>
  <c r="L59" i="8"/>
  <c r="M56" i="8"/>
  <c r="M54" i="8"/>
  <c r="K54" i="8"/>
  <c r="K71" i="8"/>
  <c r="L69" i="8"/>
  <c r="L83" i="8"/>
  <c r="M81" i="8"/>
  <c r="L54" i="8"/>
  <c r="G59" i="8"/>
  <c r="G63" i="8"/>
  <c r="M73" i="8"/>
  <c r="N65" i="8"/>
  <c r="M74" i="8"/>
  <c r="N74" i="8" s="1"/>
  <c r="O74" i="8" s="1"/>
  <c r="P74" i="8" s="1"/>
  <c r="Q74" i="8" s="1"/>
  <c r="R74" i="8" s="1"/>
  <c r="S74" i="8" s="1"/>
  <c r="T74" i="8" s="1"/>
  <c r="U74" i="8" s="1"/>
  <c r="M77" i="8"/>
  <c r="L79" i="8"/>
  <c r="R34" i="6" l="1"/>
  <c r="C19" i="16"/>
  <c r="C41" i="16"/>
  <c r="C43" i="16" s="1"/>
  <c r="C45" i="16" s="1"/>
  <c r="Q26" i="8"/>
  <c r="W24" i="8"/>
  <c r="M35" i="3"/>
  <c r="R66" i="2"/>
  <c r="W31" i="8"/>
  <c r="H11" i="7" s="1"/>
  <c r="R51" i="6"/>
  <c r="D68" i="16"/>
  <c r="S6" i="10"/>
  <c r="S12" i="10"/>
  <c r="T11" i="10"/>
  <c r="T12" i="10" s="1"/>
  <c r="C46" i="16"/>
  <c r="T7" i="10"/>
  <c r="G8" i="7"/>
  <c r="J59" i="2"/>
  <c r="L16" i="3"/>
  <c r="S14" i="11"/>
  <c r="D43" i="16"/>
  <c r="D45" i="16" s="1"/>
  <c r="D47" i="16" s="1"/>
  <c r="W30" i="8"/>
  <c r="L88" i="8"/>
  <c r="L35" i="8"/>
  <c r="I91" i="8"/>
  <c r="N85" i="8"/>
  <c r="O85" i="8" s="1"/>
  <c r="G73" i="6"/>
  <c r="M48" i="6"/>
  <c r="N48" i="6" s="1"/>
  <c r="N51" i="6" s="1"/>
  <c r="L51" i="6"/>
  <c r="W49" i="6"/>
  <c r="H17" i="5" s="1"/>
  <c r="H25" i="5" s="1"/>
  <c r="I73" i="6"/>
  <c r="L75" i="3"/>
  <c r="M69" i="3"/>
  <c r="M71" i="3" s="1"/>
  <c r="L35" i="3"/>
  <c r="R68" i="2"/>
  <c r="S68" i="2" s="1"/>
  <c r="Q25" i="2"/>
  <c r="W37" i="8"/>
  <c r="W39" i="8" s="1"/>
  <c r="W66" i="8"/>
  <c r="I18" i="7" s="1"/>
  <c r="I25" i="7" s="1"/>
  <c r="W74" i="8"/>
  <c r="I20" i="7" s="1"/>
  <c r="G91" i="8"/>
  <c r="W87" i="8"/>
  <c r="I23" i="7" s="1"/>
  <c r="W58" i="6"/>
  <c r="I19" i="5" s="1"/>
  <c r="O38" i="6"/>
  <c r="P36" i="6"/>
  <c r="M51" i="6"/>
  <c r="L88" i="3"/>
  <c r="L22" i="3"/>
  <c r="L44" i="3"/>
  <c r="M41" i="3"/>
  <c r="M75" i="8"/>
  <c r="N73" i="8"/>
  <c r="M18" i="8"/>
  <c r="L22" i="8"/>
  <c r="M42" i="8"/>
  <c r="L44" i="8"/>
  <c r="W8" i="8"/>
  <c r="G7" i="7"/>
  <c r="G10" i="7"/>
  <c r="J10" i="7" s="1"/>
  <c r="W26" i="8"/>
  <c r="M63" i="6"/>
  <c r="N61" i="6"/>
  <c r="K35" i="8"/>
  <c r="K91" i="8" s="1"/>
  <c r="L70" i="6"/>
  <c r="M68" i="6"/>
  <c r="K19" i="6"/>
  <c r="J21" i="6"/>
  <c r="J73" i="6" s="1"/>
  <c r="O48" i="6"/>
  <c r="H79" i="3"/>
  <c r="I77" i="3"/>
  <c r="I79" i="3" s="1"/>
  <c r="N73" i="3"/>
  <c r="M75" i="3"/>
  <c r="U22" i="8"/>
  <c r="V19" i="8"/>
  <c r="M42" i="6"/>
  <c r="N40" i="6"/>
  <c r="W34" i="6"/>
  <c r="G13" i="5"/>
  <c r="J13" i="5" s="1"/>
  <c r="H59" i="3"/>
  <c r="I56" i="3"/>
  <c r="I59" i="3" s="1"/>
  <c r="O28" i="3"/>
  <c r="N35" i="3"/>
  <c r="L79" i="3"/>
  <c r="M77" i="3"/>
  <c r="K59" i="2"/>
  <c r="L57" i="2"/>
  <c r="M48" i="2"/>
  <c r="L51" i="2"/>
  <c r="L29" i="2"/>
  <c r="M27" i="2"/>
  <c r="K48" i="3"/>
  <c r="L46" i="3"/>
  <c r="M71" i="2"/>
  <c r="L73" i="2"/>
  <c r="I48" i="2"/>
  <c r="I51" i="2" s="1"/>
  <c r="H51" i="2"/>
  <c r="L19" i="2"/>
  <c r="K21" i="2"/>
  <c r="P50" i="8"/>
  <c r="O54" i="8"/>
  <c r="N29" i="8"/>
  <c r="M35" i="8"/>
  <c r="J7" i="5"/>
  <c r="N10" i="3"/>
  <c r="M16" i="3"/>
  <c r="H54" i="3"/>
  <c r="I50" i="3"/>
  <c r="I54" i="3" s="1"/>
  <c r="I91" i="3" s="1"/>
  <c r="L71" i="8"/>
  <c r="M69" i="8"/>
  <c r="W17" i="6"/>
  <c r="G9" i="5"/>
  <c r="J9" i="5" s="1"/>
  <c r="L83" i="3"/>
  <c r="M81" i="3"/>
  <c r="S51" i="6"/>
  <c r="M39" i="3"/>
  <c r="N37" i="3"/>
  <c r="G91" i="3"/>
  <c r="M36" i="2"/>
  <c r="L38" i="2"/>
  <c r="N50" i="3"/>
  <c r="M54" i="3"/>
  <c r="M26" i="3"/>
  <c r="N24" i="3"/>
  <c r="T51" i="6"/>
  <c r="L8" i="3"/>
  <c r="M6" i="3"/>
  <c r="L17" i="2"/>
  <c r="M14" i="2"/>
  <c r="M79" i="8"/>
  <c r="N77" i="8"/>
  <c r="M46" i="6"/>
  <c r="N44" i="6"/>
  <c r="L31" i="2"/>
  <c r="L34" i="2" s="1"/>
  <c r="M29" i="6"/>
  <c r="N27" i="6"/>
  <c r="M22" i="3"/>
  <c r="N18" i="3"/>
  <c r="T23" i="2"/>
  <c r="S25" i="2"/>
  <c r="N67" i="8"/>
  <c r="O65" i="8"/>
  <c r="N81" i="8"/>
  <c r="M83" i="8"/>
  <c r="M59" i="8"/>
  <c r="N56" i="8"/>
  <c r="W48" i="8"/>
  <c r="G14" i="7"/>
  <c r="J14" i="7" s="1"/>
  <c r="L55" i="6"/>
  <c r="M53" i="6"/>
  <c r="W66" i="6"/>
  <c r="G21" i="5"/>
  <c r="J21" i="5" s="1"/>
  <c r="N16" i="8"/>
  <c r="O11" i="8"/>
  <c r="W50" i="6"/>
  <c r="I17" i="5" s="1"/>
  <c r="L57" i="6"/>
  <c r="K59" i="6"/>
  <c r="J8" i="5"/>
  <c r="E25" i="5"/>
  <c r="N61" i="3"/>
  <c r="M63" i="3"/>
  <c r="H67" i="3"/>
  <c r="I65" i="3"/>
  <c r="I67" i="3" s="1"/>
  <c r="I36" i="2"/>
  <c r="I38" i="2" s="1"/>
  <c r="H38" i="2"/>
  <c r="L67" i="3"/>
  <c r="M65" i="3"/>
  <c r="L61" i="2"/>
  <c r="K63" i="2"/>
  <c r="K42" i="2"/>
  <c r="L40" i="2"/>
  <c r="M53" i="2"/>
  <c r="L55" i="2"/>
  <c r="H46" i="2"/>
  <c r="I44" i="2"/>
  <c r="I46" i="2" s="1"/>
  <c r="K59" i="3"/>
  <c r="L56" i="3"/>
  <c r="L46" i="2"/>
  <c r="M44" i="2"/>
  <c r="H29" i="2"/>
  <c r="I27" i="2"/>
  <c r="I29" i="2" s="1"/>
  <c r="H17" i="2"/>
  <c r="I14" i="2"/>
  <c r="I17" i="2" s="1"/>
  <c r="U65" i="2"/>
  <c r="T66" i="2"/>
  <c r="G76" i="2"/>
  <c r="J76" i="2"/>
  <c r="I25" i="5" l="1"/>
  <c r="N88" i="8"/>
  <c r="C47" i="16"/>
  <c r="S8" i="10"/>
  <c r="T6" i="10"/>
  <c r="T8" i="10" s="1"/>
  <c r="T14" i="10" s="1"/>
  <c r="S14" i="10"/>
  <c r="N69" i="3"/>
  <c r="O69" i="3" s="1"/>
  <c r="G12" i="7"/>
  <c r="J12" i="7" s="1"/>
  <c r="H91" i="3"/>
  <c r="R69" i="2"/>
  <c r="O88" i="8"/>
  <c r="P85" i="8"/>
  <c r="Q36" i="6"/>
  <c r="P38" i="6"/>
  <c r="M44" i="3"/>
  <c r="N41" i="3"/>
  <c r="M88" i="3"/>
  <c r="K91" i="3"/>
  <c r="L42" i="2"/>
  <c r="M40" i="2"/>
  <c r="N53" i="6"/>
  <c r="M55" i="6"/>
  <c r="M31" i="2"/>
  <c r="M34" i="2" s="1"/>
  <c r="N79" i="8"/>
  <c r="O77" i="8"/>
  <c r="N35" i="8"/>
  <c r="O29" i="8"/>
  <c r="L59" i="6"/>
  <c r="M57" i="6"/>
  <c r="N29" i="6"/>
  <c r="O27" i="6"/>
  <c r="N26" i="3"/>
  <c r="O24" i="3"/>
  <c r="N54" i="3"/>
  <c r="O50" i="3"/>
  <c r="K76" i="2"/>
  <c r="M29" i="2"/>
  <c r="N27" i="2"/>
  <c r="N42" i="8"/>
  <c r="M44" i="8"/>
  <c r="I76" i="2"/>
  <c r="L59" i="3"/>
  <c r="M56" i="3"/>
  <c r="O56" i="8"/>
  <c r="N59" i="8"/>
  <c r="N39" i="3"/>
  <c r="O37" i="3"/>
  <c r="O10" i="3"/>
  <c r="N16" i="3"/>
  <c r="Q50" i="8"/>
  <c r="P54" i="8"/>
  <c r="M19" i="2"/>
  <c r="L21" i="2"/>
  <c r="M73" i="2"/>
  <c r="N71" i="2"/>
  <c r="N75" i="3"/>
  <c r="O73" i="3"/>
  <c r="P48" i="6"/>
  <c r="O51" i="6"/>
  <c r="N63" i="6"/>
  <c r="O61" i="6"/>
  <c r="J7" i="7"/>
  <c r="L91" i="8"/>
  <c r="O16" i="8"/>
  <c r="P11" i="8"/>
  <c r="N48" i="2"/>
  <c r="M51" i="2"/>
  <c r="M79" i="3"/>
  <c r="N77" i="3"/>
  <c r="O35" i="3"/>
  <c r="P28" i="3"/>
  <c r="N75" i="8"/>
  <c r="O73" i="8"/>
  <c r="U66" i="2"/>
  <c r="V65" i="2"/>
  <c r="V66" i="2" s="1"/>
  <c r="S69" i="2"/>
  <c r="T68" i="2"/>
  <c r="M57" i="2"/>
  <c r="L59" i="2"/>
  <c r="O40" i="6"/>
  <c r="N42" i="6"/>
  <c r="L19" i="6"/>
  <c r="K21" i="6"/>
  <c r="K73" i="6" s="1"/>
  <c r="N44" i="2"/>
  <c r="M46" i="2"/>
  <c r="N65" i="3"/>
  <c r="M67" i="3"/>
  <c r="O81" i="8"/>
  <c r="N83" i="8"/>
  <c r="T25" i="2"/>
  <c r="U23" i="2"/>
  <c r="N46" i="6"/>
  <c r="O44" i="6"/>
  <c r="N14" i="2"/>
  <c r="M17" i="2"/>
  <c r="M8" i="3"/>
  <c r="N6" i="3"/>
  <c r="M83" i="3"/>
  <c r="N81" i="3"/>
  <c r="H76" i="2"/>
  <c r="N53" i="2"/>
  <c r="M55" i="2"/>
  <c r="M61" i="2"/>
  <c r="L63" i="2"/>
  <c r="N63" i="3"/>
  <c r="O61" i="3"/>
  <c r="O67" i="8"/>
  <c r="P65" i="8"/>
  <c r="O18" i="3"/>
  <c r="N22" i="3"/>
  <c r="M38" i="2"/>
  <c r="N36" i="2"/>
  <c r="M71" i="8"/>
  <c r="N69" i="8"/>
  <c r="L48" i="3"/>
  <c r="M46" i="3"/>
  <c r="V22" i="8"/>
  <c r="W19" i="8"/>
  <c r="H9" i="7" s="1"/>
  <c r="N68" i="6"/>
  <c r="M70" i="6"/>
  <c r="N18" i="8"/>
  <c r="M22" i="8"/>
  <c r="N71" i="3" l="1"/>
  <c r="L91" i="3"/>
  <c r="Q85" i="8"/>
  <c r="P88" i="8"/>
  <c r="R36" i="6"/>
  <c r="Q38" i="6"/>
  <c r="O85" i="3"/>
  <c r="N88" i="3"/>
  <c r="N44" i="3"/>
  <c r="O41" i="3"/>
  <c r="L76" i="2"/>
  <c r="N22" i="8"/>
  <c r="O18" i="8"/>
  <c r="N70" i="6"/>
  <c r="O68" i="6"/>
  <c r="P67" i="8"/>
  <c r="Q65" i="8"/>
  <c r="O65" i="3"/>
  <c r="N67" i="3"/>
  <c r="L21" i="6"/>
  <c r="L73" i="6" s="1"/>
  <c r="M19" i="6"/>
  <c r="M59" i="2"/>
  <c r="N57" i="2"/>
  <c r="Q11" i="8"/>
  <c r="P16" i="8"/>
  <c r="M21" i="2"/>
  <c r="N19" i="2"/>
  <c r="P50" i="3"/>
  <c r="O54" i="3"/>
  <c r="N71" i="8"/>
  <c r="O69" i="8"/>
  <c r="V23" i="2"/>
  <c r="V25" i="2" s="1"/>
  <c r="U25" i="2"/>
  <c r="P81" i="8"/>
  <c r="O83" i="8"/>
  <c r="P35" i="3"/>
  <c r="Q28" i="3"/>
  <c r="O71" i="2"/>
  <c r="N73" i="2"/>
  <c r="N38" i="2"/>
  <c r="O36" i="2"/>
  <c r="O14" i="2"/>
  <c r="N17" i="2"/>
  <c r="P40" i="6"/>
  <c r="O42" i="6"/>
  <c r="U68" i="2"/>
  <c r="T69" i="2"/>
  <c r="N51" i="2"/>
  <c r="O48" i="2"/>
  <c r="Q48" i="6"/>
  <c r="Q51" i="6" s="1"/>
  <c r="P51" i="6"/>
  <c r="Q54" i="8"/>
  <c r="R50" i="8"/>
  <c r="O16" i="3"/>
  <c r="P10" i="3"/>
  <c r="P24" i="3"/>
  <c r="O26" i="3"/>
  <c r="P27" i="6"/>
  <c r="O29" i="6"/>
  <c r="M59" i="6"/>
  <c r="N57" i="6"/>
  <c r="P77" i="8"/>
  <c r="O79" i="8"/>
  <c r="M42" i="2"/>
  <c r="N40" i="2"/>
  <c r="N29" i="2"/>
  <c r="O27" i="2"/>
  <c r="P29" i="8"/>
  <c r="O35" i="8"/>
  <c r="N31" i="2"/>
  <c r="N34" i="2" s="1"/>
  <c r="M63" i="2"/>
  <c r="N61" i="2"/>
  <c r="N83" i="3"/>
  <c r="O81" i="3"/>
  <c r="M59" i="3"/>
  <c r="N56" i="3"/>
  <c r="O71" i="3"/>
  <c r="P69" i="3"/>
  <c r="O63" i="3"/>
  <c r="P61" i="3"/>
  <c r="N46" i="2"/>
  <c r="O44" i="2"/>
  <c r="M91" i="8"/>
  <c r="N46" i="3"/>
  <c r="M48" i="3"/>
  <c r="O22" i="3"/>
  <c r="P18" i="3"/>
  <c r="N55" i="2"/>
  <c r="O53" i="2"/>
  <c r="O6" i="3"/>
  <c r="N8" i="3"/>
  <c r="P44" i="6"/>
  <c r="O46" i="6"/>
  <c r="O75" i="8"/>
  <c r="P73" i="8"/>
  <c r="N79" i="3"/>
  <c r="O77" i="3"/>
  <c r="O63" i="6"/>
  <c r="P61" i="6"/>
  <c r="O75" i="3"/>
  <c r="P73" i="3"/>
  <c r="O39" i="3"/>
  <c r="P37" i="3"/>
  <c r="O59" i="8"/>
  <c r="P56" i="8"/>
  <c r="N44" i="8"/>
  <c r="O42" i="8"/>
  <c r="N55" i="6"/>
  <c r="O53" i="6"/>
  <c r="Q88" i="8" l="1"/>
  <c r="R85" i="8"/>
  <c r="R38" i="6"/>
  <c r="S36" i="6"/>
  <c r="O88" i="3"/>
  <c r="P85" i="3"/>
  <c r="P41" i="3"/>
  <c r="O44" i="3"/>
  <c r="P75" i="8"/>
  <c r="Q73" i="8"/>
  <c r="O83" i="3"/>
  <c r="P81" i="3"/>
  <c r="P16" i="3"/>
  <c r="Q10" i="3"/>
  <c r="O79" i="3"/>
  <c r="P77" i="3"/>
  <c r="N59" i="3"/>
  <c r="O56" i="3"/>
  <c r="O44" i="8"/>
  <c r="P42" i="8"/>
  <c r="P39" i="3"/>
  <c r="Q37" i="3"/>
  <c r="P63" i="6"/>
  <c r="Q61" i="6"/>
  <c r="O55" i="2"/>
  <c r="P53" i="2"/>
  <c r="O46" i="2"/>
  <c r="P44" i="2"/>
  <c r="N42" i="2"/>
  <c r="O40" i="2"/>
  <c r="P26" i="3"/>
  <c r="Q24" i="3"/>
  <c r="R54" i="8"/>
  <c r="S50" i="8"/>
  <c r="V68" i="2"/>
  <c r="U69" i="2"/>
  <c r="O17" i="2"/>
  <c r="P14" i="2"/>
  <c r="O71" i="8"/>
  <c r="P69" i="8"/>
  <c r="N21" i="2"/>
  <c r="O19" i="2"/>
  <c r="N59" i="2"/>
  <c r="O57" i="2"/>
  <c r="M91" i="3"/>
  <c r="P71" i="3"/>
  <c r="Q69" i="3"/>
  <c r="O51" i="2"/>
  <c r="P48" i="2"/>
  <c r="O38" i="2"/>
  <c r="P36" i="2"/>
  <c r="P71" i="2"/>
  <c r="O73" i="2"/>
  <c r="M76" i="2"/>
  <c r="O22" i="8"/>
  <c r="O91" i="8" s="1"/>
  <c r="P18" i="8"/>
  <c r="O55" i="6"/>
  <c r="P53" i="6"/>
  <c r="P59" i="8"/>
  <c r="Q56" i="8"/>
  <c r="Q73" i="3"/>
  <c r="P75" i="3"/>
  <c r="Q18" i="3"/>
  <c r="P22" i="3"/>
  <c r="N48" i="3"/>
  <c r="O46" i="3"/>
  <c r="P63" i="3"/>
  <c r="Q61" i="3"/>
  <c r="O31" i="2"/>
  <c r="O34" i="2" s="1"/>
  <c r="O29" i="2"/>
  <c r="P27" i="2"/>
  <c r="Q27" i="6"/>
  <c r="P29" i="6"/>
  <c r="W48" i="6"/>
  <c r="P42" i="6"/>
  <c r="W40" i="6"/>
  <c r="P83" i="8"/>
  <c r="Q81" i="8"/>
  <c r="O67" i="3"/>
  <c r="P65" i="3"/>
  <c r="Q67" i="8"/>
  <c r="R65" i="8"/>
  <c r="O70" i="6"/>
  <c r="P68" i="6"/>
  <c r="N91" i="8"/>
  <c r="Q44" i="6"/>
  <c r="P46" i="6"/>
  <c r="Q29" i="8"/>
  <c r="P35" i="8"/>
  <c r="P6" i="3"/>
  <c r="O8" i="3"/>
  <c r="N63" i="2"/>
  <c r="O61" i="2"/>
  <c r="Q77" i="8"/>
  <c r="P79" i="8"/>
  <c r="N59" i="6"/>
  <c r="O57" i="6"/>
  <c r="R28" i="3"/>
  <c r="Q35" i="3"/>
  <c r="Q50" i="3"/>
  <c r="P54" i="3"/>
  <c r="Q16" i="8"/>
  <c r="R11" i="8"/>
  <c r="M21" i="6"/>
  <c r="M73" i="6" s="1"/>
  <c r="N19" i="6"/>
  <c r="N76" i="2" l="1"/>
  <c r="S85" i="8"/>
  <c r="R88" i="8"/>
  <c r="S38" i="6"/>
  <c r="T36" i="6"/>
  <c r="P88" i="3"/>
  <c r="Q85" i="3"/>
  <c r="N91" i="3"/>
  <c r="P44" i="3"/>
  <c r="Q41" i="3"/>
  <c r="S28" i="3"/>
  <c r="R35" i="3"/>
  <c r="G17" i="5"/>
  <c r="J17" i="5" s="1"/>
  <c r="W51" i="6"/>
  <c r="Q63" i="3"/>
  <c r="R61" i="3"/>
  <c r="P17" i="2"/>
  <c r="Q14" i="2"/>
  <c r="T50" i="8"/>
  <c r="S54" i="8"/>
  <c r="Q53" i="2"/>
  <c r="P55" i="2"/>
  <c r="Q39" i="3"/>
  <c r="R37" i="3"/>
  <c r="P61" i="2"/>
  <c r="O63" i="2"/>
  <c r="Q46" i="6"/>
  <c r="R44" i="6"/>
  <c r="Q22" i="3"/>
  <c r="R18" i="3"/>
  <c r="P55" i="6"/>
  <c r="Q53" i="6"/>
  <c r="R10" i="3"/>
  <c r="Q16" i="3"/>
  <c r="R16" i="8"/>
  <c r="S11" i="8"/>
  <c r="P57" i="6"/>
  <c r="O59" i="6"/>
  <c r="P70" i="6"/>
  <c r="Q68" i="6"/>
  <c r="P67" i="3"/>
  <c r="Q65" i="3"/>
  <c r="Q29" i="6"/>
  <c r="R27" i="6"/>
  <c r="Q18" i="8"/>
  <c r="P22" i="8"/>
  <c r="Q71" i="2"/>
  <c r="P73" i="2"/>
  <c r="R69" i="3"/>
  <c r="Q71" i="3"/>
  <c r="G22" i="5"/>
  <c r="J22" i="5" s="1"/>
  <c r="V69" i="2"/>
  <c r="Q42" i="8"/>
  <c r="P44" i="8"/>
  <c r="P79" i="3"/>
  <c r="Q77" i="3"/>
  <c r="P83" i="3"/>
  <c r="Q81" i="3"/>
  <c r="P8" i="3"/>
  <c r="Q6" i="3"/>
  <c r="R81" i="8"/>
  <c r="Q83" i="8"/>
  <c r="P29" i="2"/>
  <c r="Q27" i="2"/>
  <c r="R73" i="3"/>
  <c r="Q75" i="3"/>
  <c r="Q36" i="2"/>
  <c r="P38" i="2"/>
  <c r="P19" i="2"/>
  <c r="O21" i="2"/>
  <c r="O42" i="2"/>
  <c r="P40" i="2"/>
  <c r="O19" i="6"/>
  <c r="N21" i="6"/>
  <c r="N73" i="6" s="1"/>
  <c r="R67" i="8"/>
  <c r="S65" i="8"/>
  <c r="O59" i="3"/>
  <c r="P56" i="3"/>
  <c r="Q54" i="3"/>
  <c r="R50" i="3"/>
  <c r="R77" i="8"/>
  <c r="Q79" i="8"/>
  <c r="R29" i="8"/>
  <c r="Q35" i="8"/>
  <c r="W42" i="6"/>
  <c r="G15" i="5"/>
  <c r="J15" i="5" s="1"/>
  <c r="P31" i="2"/>
  <c r="P34" i="2" s="1"/>
  <c r="O48" i="3"/>
  <c r="P46" i="3"/>
  <c r="Q59" i="8"/>
  <c r="R56" i="8"/>
  <c r="Q48" i="2"/>
  <c r="P51" i="2"/>
  <c r="O59" i="2"/>
  <c r="P57" i="2"/>
  <c r="P71" i="8"/>
  <c r="Q69" i="8"/>
  <c r="Q26" i="3"/>
  <c r="R24" i="3"/>
  <c r="P46" i="2"/>
  <c r="Q44" i="2"/>
  <c r="R61" i="6"/>
  <c r="Q63" i="6"/>
  <c r="Q75" i="8"/>
  <c r="R73" i="8"/>
  <c r="O76" i="2" l="1"/>
  <c r="S88" i="8"/>
  <c r="T85" i="8"/>
  <c r="U36" i="6"/>
  <c r="T38" i="6"/>
  <c r="O91" i="3"/>
  <c r="R85" i="3"/>
  <c r="Q88" i="3"/>
  <c r="Q44" i="3"/>
  <c r="R41" i="3"/>
  <c r="P48" i="3"/>
  <c r="Q46" i="3"/>
  <c r="O21" i="6"/>
  <c r="O73" i="6" s="1"/>
  <c r="P19" i="6"/>
  <c r="Q19" i="2"/>
  <c r="P21" i="2"/>
  <c r="S69" i="3"/>
  <c r="R71" i="3"/>
  <c r="R18" i="8"/>
  <c r="Q22" i="8"/>
  <c r="Q55" i="6"/>
  <c r="R53" i="6"/>
  <c r="R48" i="2"/>
  <c r="Q51" i="2"/>
  <c r="S29" i="8"/>
  <c r="R35" i="8"/>
  <c r="R54" i="3"/>
  <c r="S50" i="3"/>
  <c r="S67" i="8"/>
  <c r="T65" i="8"/>
  <c r="R29" i="6"/>
  <c r="S27" i="6"/>
  <c r="T11" i="8"/>
  <c r="S16" i="8"/>
  <c r="S61" i="3"/>
  <c r="R63" i="3"/>
  <c r="R75" i="8"/>
  <c r="S73" i="8"/>
  <c r="R44" i="2"/>
  <c r="Q46" i="2"/>
  <c r="Q31" i="2"/>
  <c r="Q34" i="2" s="1"/>
  <c r="R79" i="8"/>
  <c r="S77" i="8"/>
  <c r="P59" i="3"/>
  <c r="Q56" i="3"/>
  <c r="Q29" i="2"/>
  <c r="R27" i="2"/>
  <c r="S81" i="8"/>
  <c r="R83" i="8"/>
  <c r="Q83" i="3"/>
  <c r="R81" i="3"/>
  <c r="P91" i="8"/>
  <c r="R65" i="3"/>
  <c r="Q67" i="3"/>
  <c r="P59" i="6"/>
  <c r="Q57" i="6"/>
  <c r="Q61" i="2"/>
  <c r="P63" i="2"/>
  <c r="R53" i="2"/>
  <c r="Q55" i="2"/>
  <c r="R14" i="2"/>
  <c r="Q17" i="2"/>
  <c r="R69" i="8"/>
  <c r="Q71" i="8"/>
  <c r="Q8" i="3"/>
  <c r="R6" i="3"/>
  <c r="R42" i="8"/>
  <c r="Q44" i="8"/>
  <c r="S10" i="3"/>
  <c r="R16" i="3"/>
  <c r="S44" i="6"/>
  <c r="R46" i="6"/>
  <c r="R39" i="3"/>
  <c r="S37" i="3"/>
  <c r="R26" i="3"/>
  <c r="S24" i="3"/>
  <c r="P42" i="2"/>
  <c r="Q40" i="2"/>
  <c r="R77" i="3"/>
  <c r="Q79" i="3"/>
  <c r="R63" i="6"/>
  <c r="S61" i="6"/>
  <c r="Q57" i="2"/>
  <c r="P59" i="2"/>
  <c r="S56" i="8"/>
  <c r="R59" i="8"/>
  <c r="Q38" i="2"/>
  <c r="R36" i="2"/>
  <c r="R75" i="3"/>
  <c r="S73" i="3"/>
  <c r="Q73" i="2"/>
  <c r="R71" i="2"/>
  <c r="R68" i="6"/>
  <c r="Q70" i="6"/>
  <c r="S18" i="3"/>
  <c r="R22" i="3"/>
  <c r="U50" i="8"/>
  <c r="T54" i="8"/>
  <c r="S35" i="3"/>
  <c r="T28" i="3"/>
  <c r="P76" i="2" l="1"/>
  <c r="U85" i="8"/>
  <c r="T88" i="8"/>
  <c r="V36" i="6"/>
  <c r="V38" i="6" s="1"/>
  <c r="U38" i="6"/>
  <c r="R88" i="3"/>
  <c r="S85" i="3"/>
  <c r="R44" i="3"/>
  <c r="S41" i="3"/>
  <c r="Q63" i="2"/>
  <c r="R61" i="2"/>
  <c r="S81" i="3"/>
  <c r="R83" i="3"/>
  <c r="T27" i="6"/>
  <c r="S29" i="6"/>
  <c r="R55" i="6"/>
  <c r="S53" i="6"/>
  <c r="R46" i="3"/>
  <c r="Q48" i="3"/>
  <c r="S75" i="3"/>
  <c r="T73" i="3"/>
  <c r="S59" i="8"/>
  <c r="T56" i="8"/>
  <c r="T44" i="6"/>
  <c r="S46" i="6"/>
  <c r="S22" i="3"/>
  <c r="T18" i="3"/>
  <c r="S71" i="2"/>
  <c r="R73" i="2"/>
  <c r="R38" i="2"/>
  <c r="S36" i="2"/>
  <c r="Q59" i="2"/>
  <c r="R57" i="2"/>
  <c r="R79" i="3"/>
  <c r="S77" i="3"/>
  <c r="S16" i="3"/>
  <c r="T10" i="3"/>
  <c r="S6" i="3"/>
  <c r="R8" i="3"/>
  <c r="R57" i="6"/>
  <c r="Q59" i="6"/>
  <c r="S83" i="8"/>
  <c r="T81" i="8"/>
  <c r="R46" i="2"/>
  <c r="S44" i="2"/>
  <c r="P91" i="3"/>
  <c r="R51" i="2"/>
  <c r="S48" i="2"/>
  <c r="R22" i="8"/>
  <c r="W18" i="8"/>
  <c r="T61" i="6"/>
  <c r="S63" i="6"/>
  <c r="Q42" i="2"/>
  <c r="R40" i="2"/>
  <c r="S14" i="2"/>
  <c r="R17" i="2"/>
  <c r="R29" i="2"/>
  <c r="S27" i="2"/>
  <c r="Q59" i="3"/>
  <c r="R56" i="3"/>
  <c r="R31" i="2"/>
  <c r="R34" i="2" s="1"/>
  <c r="S63" i="3"/>
  <c r="T61" i="3"/>
  <c r="T67" i="8"/>
  <c r="U65" i="8"/>
  <c r="U54" i="8"/>
  <c r="V50" i="8"/>
  <c r="S75" i="8"/>
  <c r="T73" i="8"/>
  <c r="T29" i="8"/>
  <c r="S35" i="8"/>
  <c r="S71" i="3"/>
  <c r="T69" i="3"/>
  <c r="Q21" i="2"/>
  <c r="R19" i="2"/>
  <c r="T35" i="3"/>
  <c r="U28" i="3"/>
  <c r="R70" i="6"/>
  <c r="S68" i="6"/>
  <c r="T24" i="3"/>
  <c r="S26" i="3"/>
  <c r="S39" i="3"/>
  <c r="T37" i="3"/>
  <c r="S42" i="8"/>
  <c r="R44" i="8"/>
  <c r="R71" i="8"/>
  <c r="S69" i="8"/>
  <c r="R55" i="2"/>
  <c r="S53" i="2"/>
  <c r="S65" i="3"/>
  <c r="R67" i="3"/>
  <c r="T77" i="8"/>
  <c r="S79" i="8"/>
  <c r="U11" i="8"/>
  <c r="U16" i="8" s="1"/>
  <c r="T16" i="8"/>
  <c r="T50" i="3"/>
  <c r="S54" i="3"/>
  <c r="Q91" i="8"/>
  <c r="P21" i="6"/>
  <c r="P73" i="6" s="1"/>
  <c r="Q19" i="6"/>
  <c r="U88" i="8" l="1"/>
  <c r="V85" i="8"/>
  <c r="W36" i="6"/>
  <c r="T41" i="3"/>
  <c r="S44" i="3"/>
  <c r="Q91" i="3"/>
  <c r="T85" i="3"/>
  <c r="S88" i="3"/>
  <c r="Q76" i="2"/>
  <c r="S17" i="2"/>
  <c r="T14" i="2"/>
  <c r="T83" i="8"/>
  <c r="U81" i="8"/>
  <c r="U27" i="6"/>
  <c r="T29" i="6"/>
  <c r="T75" i="8"/>
  <c r="U73" i="8"/>
  <c r="V54" i="8"/>
  <c r="W50" i="8"/>
  <c r="R91" i="8"/>
  <c r="S46" i="2"/>
  <c r="T44" i="2"/>
  <c r="T6" i="3"/>
  <c r="S8" i="3"/>
  <c r="U44" i="6"/>
  <c r="T46" i="6"/>
  <c r="S83" i="3"/>
  <c r="T81" i="3"/>
  <c r="U29" i="8"/>
  <c r="T35" i="8"/>
  <c r="T63" i="6"/>
  <c r="U61" i="6"/>
  <c r="T42" i="8"/>
  <c r="S44" i="8"/>
  <c r="T54" i="3"/>
  <c r="U50" i="3"/>
  <c r="S71" i="8"/>
  <c r="T69" i="8"/>
  <c r="T39" i="3"/>
  <c r="U37" i="3"/>
  <c r="W11" i="8"/>
  <c r="U77" i="8"/>
  <c r="T79" i="8"/>
  <c r="S67" i="3"/>
  <c r="T65" i="3"/>
  <c r="S70" i="6"/>
  <c r="T68" i="6"/>
  <c r="R21" i="2"/>
  <c r="S19" i="2"/>
  <c r="T63" i="3"/>
  <c r="U61" i="3"/>
  <c r="R59" i="3"/>
  <c r="S56" i="3"/>
  <c r="S51" i="2"/>
  <c r="T48" i="2"/>
  <c r="R59" i="6"/>
  <c r="S57" i="6"/>
  <c r="T16" i="3"/>
  <c r="U10" i="3"/>
  <c r="R59" i="2"/>
  <c r="S57" i="2"/>
  <c r="T59" i="8"/>
  <c r="U56" i="8"/>
  <c r="R63" i="2"/>
  <c r="S61" i="2"/>
  <c r="Q21" i="6"/>
  <c r="Q73" i="6" s="1"/>
  <c r="R19" i="6"/>
  <c r="S55" i="2"/>
  <c r="T53" i="2"/>
  <c r="T71" i="2"/>
  <c r="S73" i="2"/>
  <c r="R48" i="3"/>
  <c r="R91" i="3" s="1"/>
  <c r="S46" i="3"/>
  <c r="T26" i="3"/>
  <c r="U24" i="3"/>
  <c r="V28" i="3"/>
  <c r="V35" i="3" s="1"/>
  <c r="U35" i="3"/>
  <c r="T71" i="3"/>
  <c r="U69" i="3"/>
  <c r="U67" i="8"/>
  <c r="V65" i="8"/>
  <c r="S31" i="2"/>
  <c r="S34" i="2" s="1"/>
  <c r="S29" i="2"/>
  <c r="T27" i="2"/>
  <c r="R42" i="2"/>
  <c r="S40" i="2"/>
  <c r="W22" i="8"/>
  <c r="G9" i="7"/>
  <c r="S79" i="3"/>
  <c r="T77" i="3"/>
  <c r="S38" i="2"/>
  <c r="T36" i="2"/>
  <c r="U18" i="3"/>
  <c r="T22" i="3"/>
  <c r="U73" i="3"/>
  <c r="T75" i="3"/>
  <c r="S55" i="6"/>
  <c r="T53" i="6"/>
  <c r="R76" i="2" l="1"/>
  <c r="S91" i="8"/>
  <c r="V88" i="8"/>
  <c r="W85" i="8"/>
  <c r="W38" i="6"/>
  <c r="G14" i="5"/>
  <c r="J14" i="5" s="1"/>
  <c r="T88" i="3"/>
  <c r="U85" i="3"/>
  <c r="T44" i="3"/>
  <c r="U41" i="3"/>
  <c r="U63" i="3"/>
  <c r="V61" i="3"/>
  <c r="V63" i="3" s="1"/>
  <c r="V73" i="3"/>
  <c r="V75" i="3" s="1"/>
  <c r="U75" i="3"/>
  <c r="T29" i="2"/>
  <c r="U27" i="2"/>
  <c r="U71" i="2"/>
  <c r="T73" i="2"/>
  <c r="S19" i="6"/>
  <c r="R21" i="6"/>
  <c r="R73" i="6" s="1"/>
  <c r="S59" i="2"/>
  <c r="T57" i="2"/>
  <c r="T57" i="6"/>
  <c r="S59" i="6"/>
  <c r="U39" i="3"/>
  <c r="V37" i="3"/>
  <c r="V39" i="3" s="1"/>
  <c r="W54" i="8"/>
  <c r="G15" i="7"/>
  <c r="J15" i="7" s="1"/>
  <c r="U22" i="3"/>
  <c r="V18" i="3"/>
  <c r="V22" i="3" s="1"/>
  <c r="S42" i="2"/>
  <c r="T40" i="2"/>
  <c r="T31" i="2"/>
  <c r="T34" i="2" s="1"/>
  <c r="V69" i="3"/>
  <c r="V71" i="3" s="1"/>
  <c r="U71" i="3"/>
  <c r="U26" i="3"/>
  <c r="V24" i="3"/>
  <c r="V26" i="3" s="1"/>
  <c r="T61" i="2"/>
  <c r="S63" i="2"/>
  <c r="V10" i="3"/>
  <c r="V16" i="3" s="1"/>
  <c r="U16" i="3"/>
  <c r="U48" i="2"/>
  <c r="T51" i="2"/>
  <c r="T71" i="8"/>
  <c r="U69" i="8"/>
  <c r="V29" i="8"/>
  <c r="U35" i="8"/>
  <c r="U46" i="6"/>
  <c r="V44" i="6"/>
  <c r="U75" i="8"/>
  <c r="V73" i="8"/>
  <c r="V81" i="8"/>
  <c r="U83" i="8"/>
  <c r="T38" i="2"/>
  <c r="U36" i="2"/>
  <c r="T70" i="6"/>
  <c r="U68" i="6"/>
  <c r="T83" i="3"/>
  <c r="U81" i="3"/>
  <c r="V67" i="8"/>
  <c r="W65" i="8"/>
  <c r="U59" i="8"/>
  <c r="V56" i="8"/>
  <c r="U79" i="8"/>
  <c r="V77" i="8"/>
  <c r="V50" i="3"/>
  <c r="V54" i="3" s="1"/>
  <c r="U54" i="3"/>
  <c r="U42" i="8"/>
  <c r="T44" i="8"/>
  <c r="T8" i="3"/>
  <c r="U6" i="3"/>
  <c r="T17" i="2"/>
  <c r="U14" i="2"/>
  <c r="T55" i="6"/>
  <c r="U53" i="6"/>
  <c r="T79" i="3"/>
  <c r="U77" i="3"/>
  <c r="S48" i="3"/>
  <c r="T46" i="3"/>
  <c r="U53" i="2"/>
  <c r="T55" i="2"/>
  <c r="S59" i="3"/>
  <c r="T56" i="3"/>
  <c r="T19" i="2"/>
  <c r="S21" i="2"/>
  <c r="T67" i="3"/>
  <c r="U65" i="3"/>
  <c r="H8" i="7"/>
  <c r="H25" i="7" s="1"/>
  <c r="W16" i="8"/>
  <c r="U63" i="6"/>
  <c r="V61" i="6"/>
  <c r="T46" i="2"/>
  <c r="U44" i="2"/>
  <c r="U29" i="6"/>
  <c r="V27" i="6"/>
  <c r="S91" i="3" l="1"/>
  <c r="T91" i="8"/>
  <c r="S76" i="2"/>
  <c r="J23" i="7"/>
  <c r="W88" i="8"/>
  <c r="V41" i="3"/>
  <c r="V44" i="3" s="1"/>
  <c r="U44" i="3"/>
  <c r="U88" i="3"/>
  <c r="V85" i="3"/>
  <c r="V88" i="3" s="1"/>
  <c r="V83" i="8"/>
  <c r="W81" i="8"/>
  <c r="U19" i="2"/>
  <c r="U21" i="2" s="1"/>
  <c r="T21" i="2"/>
  <c r="V42" i="8"/>
  <c r="U44" i="8"/>
  <c r="U83" i="3"/>
  <c r="V81" i="3"/>
  <c r="V83" i="3" s="1"/>
  <c r="U38" i="2"/>
  <c r="V36" i="2"/>
  <c r="V38" i="2" s="1"/>
  <c r="V75" i="8"/>
  <c r="W73" i="8"/>
  <c r="V68" i="6"/>
  <c r="U70" i="6"/>
  <c r="V46" i="6"/>
  <c r="W44" i="6"/>
  <c r="V69" i="8"/>
  <c r="U71" i="8"/>
  <c r="U31" i="2"/>
  <c r="U34" i="2" s="1"/>
  <c r="J9" i="7"/>
  <c r="U57" i="2"/>
  <c r="T59" i="2"/>
  <c r="V44" i="2"/>
  <c r="V46" i="2" s="1"/>
  <c r="U46" i="2"/>
  <c r="U79" i="3"/>
  <c r="V77" i="3"/>
  <c r="V79" i="3" s="1"/>
  <c r="V14" i="2"/>
  <c r="V17" i="2" s="1"/>
  <c r="U17" i="2"/>
  <c r="V79" i="8"/>
  <c r="W77" i="8"/>
  <c r="W67" i="8"/>
  <c r="G18" i="7"/>
  <c r="J18" i="7" s="1"/>
  <c r="U73" i="2"/>
  <c r="V71" i="2"/>
  <c r="V73" i="2" s="1"/>
  <c r="J8" i="7"/>
  <c r="V53" i="2"/>
  <c r="V55" i="2" s="1"/>
  <c r="U55" i="2"/>
  <c r="T42" i="2"/>
  <c r="U40" i="2"/>
  <c r="U29" i="2"/>
  <c r="V27" i="2"/>
  <c r="V29" i="2" s="1"/>
  <c r="V29" i="6"/>
  <c r="W27" i="6"/>
  <c r="V63" i="6"/>
  <c r="W61" i="6"/>
  <c r="V65" i="3"/>
  <c r="V67" i="3" s="1"/>
  <c r="U67" i="3"/>
  <c r="T59" i="3"/>
  <c r="U56" i="3"/>
  <c r="T48" i="3"/>
  <c r="U46" i="3"/>
  <c r="U55" i="6"/>
  <c r="V53" i="6"/>
  <c r="U8" i="3"/>
  <c r="V6" i="3"/>
  <c r="V8" i="3" s="1"/>
  <c r="V59" i="8"/>
  <c r="W56" i="8"/>
  <c r="V35" i="8"/>
  <c r="W29" i="8"/>
  <c r="V48" i="2"/>
  <c r="V51" i="2" s="1"/>
  <c r="U51" i="2"/>
  <c r="U61" i="2"/>
  <c r="T63" i="2"/>
  <c r="T59" i="6"/>
  <c r="U57" i="6"/>
  <c r="T19" i="6"/>
  <c r="S21" i="6"/>
  <c r="S73" i="6" s="1"/>
  <c r="U91" i="8" l="1"/>
  <c r="T91" i="3"/>
  <c r="T76" i="2"/>
  <c r="W59" i="8"/>
  <c r="G16" i="7"/>
  <c r="J16" i="7" s="1"/>
  <c r="V55" i="6"/>
  <c r="W53" i="6"/>
  <c r="U59" i="3"/>
  <c r="V56" i="3"/>
  <c r="V59" i="3" s="1"/>
  <c r="G20" i="5"/>
  <c r="J20" i="5" s="1"/>
  <c r="W63" i="6"/>
  <c r="W79" i="8"/>
  <c r="G21" i="7"/>
  <c r="J21" i="7" s="1"/>
  <c r="V71" i="8"/>
  <c r="V91" i="8" s="1"/>
  <c r="W69" i="8"/>
  <c r="V70" i="6"/>
  <c r="W68" i="6"/>
  <c r="U59" i="6"/>
  <c r="V57" i="6"/>
  <c r="W35" i="8"/>
  <c r="G11" i="7"/>
  <c r="V46" i="3"/>
  <c r="V48" i="3" s="1"/>
  <c r="V91" i="3" s="1"/>
  <c r="U48" i="3"/>
  <c r="G12" i="5"/>
  <c r="W29" i="6"/>
  <c r="V40" i="2"/>
  <c r="V42" i="2" s="1"/>
  <c r="U42" i="2"/>
  <c r="V31" i="2"/>
  <c r="V34" i="2" s="1"/>
  <c r="G16" i="5"/>
  <c r="W46" i="6"/>
  <c r="V44" i="8"/>
  <c r="W42" i="8"/>
  <c r="W83" i="8"/>
  <c r="G22" i="7"/>
  <c r="J22" i="7" s="1"/>
  <c r="T21" i="6"/>
  <c r="T73" i="6" s="1"/>
  <c r="U19" i="6"/>
  <c r="U63" i="2"/>
  <c r="V61" i="2"/>
  <c r="V63" i="2" s="1"/>
  <c r="U59" i="2"/>
  <c r="V57" i="2"/>
  <c r="V59" i="2" s="1"/>
  <c r="W75" i="8"/>
  <c r="G20" i="7"/>
  <c r="J20" i="7" s="1"/>
  <c r="U91" i="3" l="1"/>
  <c r="J16" i="5"/>
  <c r="U76" i="2"/>
  <c r="W71" i="8"/>
  <c r="G19" i="7"/>
  <c r="J19" i="7" s="1"/>
  <c r="V76" i="2"/>
  <c r="J11" i="7"/>
  <c r="W70" i="6"/>
  <c r="G23" i="5"/>
  <c r="J23" i="5" s="1"/>
  <c r="G18" i="5"/>
  <c r="J18" i="5" s="1"/>
  <c r="W55" i="6"/>
  <c r="U21" i="6"/>
  <c r="U73" i="6" s="1"/>
  <c r="V19" i="6"/>
  <c r="W44" i="8"/>
  <c r="G13" i="7"/>
  <c r="J13" i="7" s="1"/>
  <c r="V59" i="6"/>
  <c r="W57" i="6"/>
  <c r="J12" i="5"/>
  <c r="J25" i="7" l="1"/>
  <c r="G25" i="7"/>
  <c r="W91" i="8"/>
  <c r="W59" i="6"/>
  <c r="G19" i="5"/>
  <c r="J19" i="5" s="1"/>
  <c r="V21" i="6"/>
  <c r="V73" i="6" s="1"/>
  <c r="W19" i="6"/>
  <c r="W21" i="6" s="1"/>
  <c r="J25" i="5" l="1"/>
  <c r="G25" i="5"/>
  <c r="W73" i="6"/>
</calcChain>
</file>

<file path=xl/comments1.xml><?xml version="1.0" encoding="utf-8"?>
<comments xmlns="http://schemas.openxmlformats.org/spreadsheetml/2006/main">
  <authors>
    <author>Puget Sound Energy</author>
  </authors>
  <commentList>
    <comment ref="G36" authorId="0" shapeId="0">
      <text>
        <r>
          <rPr>
            <sz val="9"/>
            <color indexed="81"/>
            <rFont val="Tahoma"/>
            <family val="2"/>
          </rPr>
          <t xml:space="preserve">$10,000 expense book in Dec 2016.
</t>
        </r>
      </text>
    </comment>
    <comment ref="J36" authorId="0" shapeId="0">
      <text>
        <r>
          <rPr>
            <sz val="9"/>
            <color indexed="81"/>
            <rFont val="Tahoma"/>
            <family val="2"/>
          </rPr>
          <t xml:space="preserve">$10,000 expense book in Dec 2016.
</t>
        </r>
      </text>
    </comment>
  </commentList>
</comments>
</file>

<file path=xl/comments2.xml><?xml version="1.0" encoding="utf-8"?>
<comments xmlns="http://schemas.openxmlformats.org/spreadsheetml/2006/main">
  <authors>
    <author>Puget Sound Energy</author>
  </authors>
  <commentList>
    <comment ref="G36" authorId="0" shapeId="0">
      <text>
        <r>
          <rPr>
            <sz val="9"/>
            <color indexed="81"/>
            <rFont val="Tahoma"/>
            <family val="2"/>
          </rPr>
          <t xml:space="preserve">$10,000 expense book in Dec 2016.
</t>
        </r>
      </text>
    </comment>
    <comment ref="J36" authorId="0" shapeId="0">
      <text>
        <r>
          <rPr>
            <sz val="9"/>
            <color indexed="81"/>
            <rFont val="Tahoma"/>
            <family val="2"/>
          </rPr>
          <t xml:space="preserve">$10,000 expense book in Dec 2016.
</t>
        </r>
      </text>
    </comment>
  </commentList>
</comments>
</file>

<file path=xl/sharedStrings.xml><?xml version="1.0" encoding="utf-8"?>
<sst xmlns="http://schemas.openxmlformats.org/spreadsheetml/2006/main" count="993" uniqueCount="408">
  <si>
    <t>PUGET SOUND ENERGY</t>
  </si>
  <si>
    <t>DEFERRED ENVIRONMENTAL REMEDIATION COST DETAIL FOR ELECTRIC</t>
  </si>
  <si>
    <t>Sept 2016 - December 2017</t>
  </si>
  <si>
    <t>SAP Order</t>
  </si>
  <si>
    <t>SAP Account</t>
  </si>
  <si>
    <t>Site Description</t>
  </si>
  <si>
    <t>Order in Docket #</t>
  </si>
  <si>
    <t xml:space="preserve">Year Established </t>
  </si>
  <si>
    <t>Amotization Period</t>
  </si>
  <si>
    <t>Ending Bal Sept-16</t>
  </si>
  <si>
    <t xml:space="preserve"> Dec-16</t>
  </si>
  <si>
    <t>18231251</t>
  </si>
  <si>
    <r>
      <t>White River/Buckley Phase I Headworks (</t>
    </r>
    <r>
      <rPr>
        <sz val="11"/>
        <color rgb="FF0000FF"/>
        <rFont val="Calibri"/>
        <family val="2"/>
      </rPr>
      <t>Remediation Cost</t>
    </r>
    <r>
      <rPr>
        <sz val="11"/>
        <color theme="1"/>
        <rFont val="Calibri"/>
        <family val="2"/>
        <scheme val="minor"/>
      </rPr>
      <t>)</t>
    </r>
  </si>
  <si>
    <t>UE-991796</t>
  </si>
  <si>
    <t>2017 GRC transfer for amortization based on 9/30/2016 balances</t>
  </si>
  <si>
    <t>UE-170033</t>
  </si>
  <si>
    <t>5 years</t>
  </si>
  <si>
    <t>Subtotal White River/Buckley Phase I Headworks Site</t>
  </si>
  <si>
    <t>18232251</t>
  </si>
  <si>
    <r>
      <t>White River/Buckley Phase II Burn Pile and Wood Debris (</t>
    </r>
    <r>
      <rPr>
        <sz val="11"/>
        <color rgb="FF0000FF"/>
        <rFont val="Calibri"/>
        <family val="2"/>
      </rPr>
      <t>Remediation Cost</t>
    </r>
    <r>
      <rPr>
        <sz val="11"/>
        <color theme="1"/>
        <rFont val="Calibri"/>
        <family val="2"/>
        <scheme val="minor"/>
      </rPr>
      <t>)</t>
    </r>
  </si>
  <si>
    <t>Subtotal White River/Buckley Phase II Burn Pile and Wood Debris Site</t>
  </si>
  <si>
    <t>18232271</t>
  </si>
  <si>
    <r>
      <t>Lower Duwamish Waterway  (</t>
    </r>
    <r>
      <rPr>
        <sz val="11"/>
        <color rgb="FF0000FF"/>
        <rFont val="Calibri"/>
        <family val="2"/>
      </rPr>
      <t>Remediation Cost</t>
    </r>
    <r>
      <rPr>
        <sz val="11"/>
        <color theme="1"/>
        <rFont val="Calibri"/>
        <family val="2"/>
        <scheme val="minor"/>
      </rPr>
      <t>)</t>
    </r>
  </si>
  <si>
    <t>UE-021537</t>
  </si>
  <si>
    <r>
      <t>Lower Duwamish Waterway   (</t>
    </r>
    <r>
      <rPr>
        <sz val="11"/>
        <color rgb="FFFF0000"/>
        <rFont val="Calibri"/>
        <family val="2"/>
        <scheme val="minor"/>
      </rPr>
      <t>Insurance Recoveries/3rd parties</t>
    </r>
    <r>
      <rPr>
        <sz val="11"/>
        <color theme="1"/>
        <rFont val="Calibri"/>
        <family val="2"/>
        <scheme val="minor"/>
      </rPr>
      <t>)</t>
    </r>
  </si>
  <si>
    <t>Subtotal Lower Duwamish Waterway Site</t>
  </si>
  <si>
    <t>18230041</t>
  </si>
  <si>
    <t>18233091</t>
  </si>
  <si>
    <r>
      <t>Tenino Service Center UST (</t>
    </r>
    <r>
      <rPr>
        <sz val="11"/>
        <color rgb="FF0000FF"/>
        <rFont val="Calibri"/>
        <family val="2"/>
      </rPr>
      <t>Remediation Cost</t>
    </r>
    <r>
      <rPr>
        <sz val="11"/>
        <color theme="1"/>
        <rFont val="Calibri"/>
        <family val="2"/>
        <scheme val="minor"/>
      </rPr>
      <t>)</t>
    </r>
  </si>
  <si>
    <t>UE-911476</t>
  </si>
  <si>
    <t>2017 GRC transfer for amortization; based on 9/30/2016 balances</t>
  </si>
  <si>
    <t>Subtotal Tenino Service Center UST</t>
  </si>
  <si>
    <t>18601120</t>
  </si>
  <si>
    <t>18608001</t>
  </si>
  <si>
    <r>
      <t>Lower Baker Power Plant (</t>
    </r>
    <r>
      <rPr>
        <sz val="11"/>
        <color rgb="FF0000FF"/>
        <rFont val="Calibri"/>
        <family val="2"/>
      </rPr>
      <t>Remediation Cost)</t>
    </r>
  </si>
  <si>
    <t>UE-070724</t>
  </si>
  <si>
    <t>Subtotal Lower Baker Power Plant Site</t>
  </si>
  <si>
    <t>18601121</t>
  </si>
  <si>
    <t>18608021</t>
  </si>
  <si>
    <r>
      <t>Snoqualmie Hydro Generation (</t>
    </r>
    <r>
      <rPr>
        <sz val="11"/>
        <color rgb="FF0000FF"/>
        <rFont val="Calibri"/>
        <family val="2"/>
      </rPr>
      <t>Remediation Cost</t>
    </r>
    <r>
      <rPr>
        <sz val="11"/>
        <color theme="1"/>
        <rFont val="Calibri"/>
        <family val="2"/>
        <scheme val="minor"/>
      </rPr>
      <t>)</t>
    </r>
  </si>
  <si>
    <t>UE-072060</t>
  </si>
  <si>
    <t>Subtotal Snoqualmie Hydro Generation Site</t>
  </si>
  <si>
    <t>18601122</t>
  </si>
  <si>
    <t>18608041</t>
  </si>
  <si>
    <r>
      <t>Bellingham South State Street MGP (former Blvd Park) (</t>
    </r>
    <r>
      <rPr>
        <sz val="11"/>
        <color rgb="FF0000FF"/>
        <rFont val="Calibri"/>
        <family val="2"/>
      </rPr>
      <t>Remediation Cost</t>
    </r>
    <r>
      <rPr>
        <sz val="11"/>
        <color theme="1"/>
        <rFont val="Calibri"/>
        <family val="2"/>
        <scheme val="minor"/>
      </rPr>
      <t>)</t>
    </r>
  </si>
  <si>
    <t>UE-081016</t>
  </si>
  <si>
    <r>
      <t>Bellingham South State Street MGP  (</t>
    </r>
    <r>
      <rPr>
        <sz val="11"/>
        <color rgb="FFFF0000"/>
        <rFont val="Calibri"/>
        <family val="2"/>
        <scheme val="minor"/>
      </rPr>
      <t>Insurance Recovery/3rd parties</t>
    </r>
    <r>
      <rPr>
        <sz val="11"/>
        <color theme="1"/>
        <rFont val="Calibri"/>
        <family val="2"/>
        <scheme val="minor"/>
      </rPr>
      <t>)</t>
    </r>
  </si>
  <si>
    <t>Subtotal Bellingham South State Street MGP (former Blvd Park) Site</t>
  </si>
  <si>
    <t>18601125</t>
  </si>
  <si>
    <t>18608081</t>
  </si>
  <si>
    <r>
      <t>Electron Flume  (</t>
    </r>
    <r>
      <rPr>
        <sz val="11"/>
        <color rgb="FF0000FF"/>
        <rFont val="Calibri"/>
        <family val="2"/>
      </rPr>
      <t>Remediation Cost)</t>
    </r>
  </si>
  <si>
    <t xml:space="preserve">Subtotal Electron Flume Site </t>
  </si>
  <si>
    <t>18601128</t>
  </si>
  <si>
    <t>18608141</t>
  </si>
  <si>
    <r>
      <t>Talbot Hill Substation and Switchyard (</t>
    </r>
    <r>
      <rPr>
        <sz val="11"/>
        <color rgb="FF0000FF"/>
        <rFont val="Calibri"/>
        <family val="2"/>
      </rPr>
      <t>Remediation Cost</t>
    </r>
    <r>
      <rPr>
        <sz val="11"/>
        <color theme="1"/>
        <rFont val="Calibri"/>
        <family val="2"/>
        <scheme val="minor"/>
      </rPr>
      <t>)</t>
    </r>
  </si>
  <si>
    <t>Blanket orders : UE-070724, UE-072060, UE-081016</t>
  </si>
  <si>
    <t>Subtotal Talbot Hill Substation &amp; Switchyard Site</t>
  </si>
  <si>
    <t>18608191</t>
  </si>
  <si>
    <r>
      <t>Sammamish Substation (</t>
    </r>
    <r>
      <rPr>
        <sz val="11"/>
        <color rgb="FF0000FF"/>
        <rFont val="Calibri"/>
        <family val="2"/>
      </rPr>
      <t>Remediation Cost</t>
    </r>
    <r>
      <rPr>
        <sz val="11"/>
        <color theme="1"/>
        <rFont val="Calibri"/>
        <family val="2"/>
        <scheme val="minor"/>
      </rPr>
      <t>)</t>
    </r>
  </si>
  <si>
    <t>Subtotal Sammamish Substation Site</t>
  </si>
  <si>
    <t>18601161</t>
  </si>
  <si>
    <t>18608231</t>
  </si>
  <si>
    <r>
      <t>City of Olympia v PSE Plum Street Station (</t>
    </r>
    <r>
      <rPr>
        <sz val="11"/>
        <color rgb="FF0000FF"/>
        <rFont val="Calibri"/>
        <family val="2"/>
      </rPr>
      <t>Remediation Cost</t>
    </r>
    <r>
      <rPr>
        <sz val="11"/>
        <color theme="1"/>
        <rFont val="Calibri"/>
        <family val="2"/>
        <scheme val="minor"/>
      </rPr>
      <t>)</t>
    </r>
  </si>
  <si>
    <t>18601162</t>
  </si>
  <si>
    <t>18608271</t>
  </si>
  <si>
    <r>
      <t>City of Olympia v PSE Plum Street Station (</t>
    </r>
    <r>
      <rPr>
        <sz val="11"/>
        <color rgb="FFFF0000"/>
        <rFont val="Calibri"/>
        <family val="2"/>
        <scheme val="minor"/>
      </rPr>
      <t>Insurance Recovery</t>
    </r>
    <r>
      <rPr>
        <sz val="11"/>
        <color theme="1"/>
        <rFont val="Calibri"/>
        <family val="2"/>
        <scheme val="minor"/>
      </rPr>
      <t>)</t>
    </r>
  </si>
  <si>
    <t>Subtotal City of Olympia v PSE Plum Street Station</t>
  </si>
  <si>
    <t>18601171</t>
  </si>
  <si>
    <t>18608251</t>
  </si>
  <si>
    <r>
      <t>Whitehorn UST (</t>
    </r>
    <r>
      <rPr>
        <sz val="11"/>
        <color rgb="FF0000FF"/>
        <rFont val="Calibri"/>
        <family val="2"/>
      </rPr>
      <t>Remediation Cost</t>
    </r>
    <r>
      <rPr>
        <sz val="11"/>
        <color theme="1"/>
        <rFont val="Calibri"/>
        <family val="2"/>
        <scheme val="minor"/>
      </rPr>
      <t>)</t>
    </r>
  </si>
  <si>
    <t>Subtotal Whitehorn UST</t>
  </si>
  <si>
    <t>18608171</t>
  </si>
  <si>
    <r>
      <t>Everett Asarco (</t>
    </r>
    <r>
      <rPr>
        <sz val="11"/>
        <color rgb="FF0000FF"/>
        <rFont val="Calibri"/>
        <family val="2"/>
      </rPr>
      <t>Remediation Cost</t>
    </r>
    <r>
      <rPr>
        <sz val="11"/>
        <color theme="1"/>
        <rFont val="Calibri"/>
        <family val="2"/>
        <scheme val="minor"/>
      </rPr>
      <t>)</t>
    </r>
  </si>
  <si>
    <t>Subtotal Everett Asarco Site</t>
  </si>
  <si>
    <t>18608211</t>
  </si>
  <si>
    <r>
      <t>Pt. Robinson Cable Station  (</t>
    </r>
    <r>
      <rPr>
        <sz val="11"/>
        <color rgb="FF0000FF"/>
        <rFont val="Calibri"/>
        <family val="2"/>
      </rPr>
      <t>Remediation Cost</t>
    </r>
    <r>
      <rPr>
        <sz val="11"/>
        <color theme="1"/>
        <rFont val="Calibri"/>
        <family val="2"/>
        <scheme val="minor"/>
      </rPr>
      <t>)</t>
    </r>
  </si>
  <si>
    <t>Subtotal Pt. Robinson Cable Station</t>
  </si>
  <si>
    <t>18608281</t>
  </si>
  <si>
    <r>
      <t>Shuffleton (</t>
    </r>
    <r>
      <rPr>
        <sz val="11"/>
        <color rgb="FF0000FF"/>
        <rFont val="Calibri"/>
        <family val="2"/>
      </rPr>
      <t>Remediation Cost</t>
    </r>
    <r>
      <rPr>
        <sz val="11"/>
        <color theme="1"/>
        <rFont val="Calibri"/>
        <family val="2"/>
        <scheme val="minor"/>
      </rPr>
      <t xml:space="preserve">) </t>
    </r>
    <r>
      <rPr>
        <b/>
        <sz val="11"/>
        <color rgb="FFFF0000"/>
        <rFont val="Calibri"/>
        <family val="2"/>
        <scheme val="minor"/>
      </rPr>
      <t>NEW</t>
    </r>
  </si>
  <si>
    <t>Subtotal Shuffleton Site</t>
  </si>
  <si>
    <t>18601152</t>
  </si>
  <si>
    <t>18608441</t>
  </si>
  <si>
    <r>
      <t>Central Waterfront (</t>
    </r>
    <r>
      <rPr>
        <sz val="11"/>
        <color rgb="FF0000FF"/>
        <rFont val="Calibri"/>
        <family val="2"/>
        <scheme val="minor"/>
      </rPr>
      <t xml:space="preserve">Remediation Cost) </t>
    </r>
    <r>
      <rPr>
        <b/>
        <sz val="11"/>
        <color rgb="FFFF0000"/>
        <rFont val="Calibri"/>
        <family val="2"/>
        <scheme val="minor"/>
      </rPr>
      <t>NEW</t>
    </r>
  </si>
  <si>
    <t>Subtotal Central Waterfront</t>
  </si>
  <si>
    <t>22841001</t>
  </si>
  <si>
    <t>Accum Misc Oper Provi – Unallocated Def Elec Env Rem Recoveries</t>
  </si>
  <si>
    <t>Multiple Dockets</t>
  </si>
  <si>
    <t>---</t>
  </si>
  <si>
    <t>Subtotal Unallocated Def Elec Env Rem Recoveries</t>
  </si>
  <si>
    <t xml:space="preserve">Grand Total </t>
  </si>
  <si>
    <t>DEFERRED ENVIRONMENTAL REMEDIATION COST DETAIL FOR GAS</t>
  </si>
  <si>
    <r>
      <t>Tacoma Gas Company (Upload Source Control) (</t>
    </r>
    <r>
      <rPr>
        <sz val="11"/>
        <color rgb="FF0000FF"/>
        <rFont val="Calibri"/>
        <family val="2"/>
      </rPr>
      <t>Remediation Cost</t>
    </r>
    <r>
      <rPr>
        <sz val="11"/>
        <color theme="1"/>
        <rFont val="Calibri"/>
        <family val="2"/>
        <scheme val="minor"/>
      </rPr>
      <t>)</t>
    </r>
  </si>
  <si>
    <t>UG-920840</t>
  </si>
  <si>
    <t>UG-170034</t>
  </si>
  <si>
    <t>Subtotal Tacoma Gas Company</t>
  </si>
  <si>
    <r>
      <t>Thea Foss Waterway (</t>
    </r>
    <r>
      <rPr>
        <sz val="11"/>
        <color rgb="FF0000FF"/>
        <rFont val="Calibri"/>
        <family val="2"/>
      </rPr>
      <t>Remediation Cost</t>
    </r>
    <r>
      <rPr>
        <sz val="11"/>
        <color theme="1"/>
        <rFont val="Calibri"/>
        <family val="2"/>
        <scheme val="minor"/>
      </rPr>
      <t>)</t>
    </r>
  </si>
  <si>
    <r>
      <t>Thea Foss Waterway (</t>
    </r>
    <r>
      <rPr>
        <sz val="11"/>
        <color rgb="FFFF0000"/>
        <rFont val="Calibri"/>
        <family val="2"/>
      </rPr>
      <t>WADOT Settlement</t>
    </r>
    <r>
      <rPr>
        <sz val="11"/>
        <rFont val="Calibri"/>
        <family val="2"/>
      </rPr>
      <t>)</t>
    </r>
  </si>
  <si>
    <t>Thea Foss Recovery</t>
  </si>
  <si>
    <t>Subtotal Thea Foss Waterway</t>
  </si>
  <si>
    <r>
      <t>Everett MGP (</t>
    </r>
    <r>
      <rPr>
        <sz val="11"/>
        <color rgb="FF0000FF"/>
        <rFont val="Calibri"/>
        <family val="2"/>
      </rPr>
      <t>Remediation Cost</t>
    </r>
    <r>
      <rPr>
        <sz val="11"/>
        <color theme="1"/>
        <rFont val="Calibri"/>
        <family val="2"/>
        <scheme val="minor"/>
      </rPr>
      <t>)</t>
    </r>
  </si>
  <si>
    <t>UG-920781</t>
  </si>
  <si>
    <r>
      <t>Everett MGP (</t>
    </r>
    <r>
      <rPr>
        <sz val="11"/>
        <color rgb="FFFF0000"/>
        <rFont val="Calibri"/>
        <family val="2"/>
      </rPr>
      <t>WADOT Settlement</t>
    </r>
    <r>
      <rPr>
        <sz val="11"/>
        <rFont val="Calibri"/>
        <family val="2"/>
      </rPr>
      <t>)</t>
    </r>
  </si>
  <si>
    <t>18608212</t>
  </si>
  <si>
    <t>Subtotal Everett MGP</t>
  </si>
  <si>
    <r>
      <t>Chehalis MGP (</t>
    </r>
    <r>
      <rPr>
        <sz val="11"/>
        <color rgb="FF0000FF"/>
        <rFont val="Calibri"/>
        <family val="2"/>
      </rPr>
      <t>Remediation Cost</t>
    </r>
    <r>
      <rPr>
        <sz val="11"/>
        <color theme="1"/>
        <rFont val="Calibri"/>
        <family val="2"/>
        <scheme val="minor"/>
      </rPr>
      <t>)</t>
    </r>
  </si>
  <si>
    <t>Subtotal Chehalis MGP</t>
  </si>
  <si>
    <r>
      <t>Post - Nov 2012 Gas Works Park  (</t>
    </r>
    <r>
      <rPr>
        <sz val="11"/>
        <color rgb="FF0000FF"/>
        <rFont val="Calibri"/>
        <family val="2"/>
        <scheme val="minor"/>
      </rPr>
      <t>Remediation Cost</t>
    </r>
    <r>
      <rPr>
        <sz val="11"/>
        <color theme="1"/>
        <rFont val="Calibri"/>
        <family val="2"/>
        <scheme val="minor"/>
      </rPr>
      <t>)</t>
    </r>
  </si>
  <si>
    <r>
      <t>Pre-Nov 2012 Gas Works Park  (</t>
    </r>
    <r>
      <rPr>
        <sz val="11"/>
        <color rgb="FF0000FF"/>
        <rFont val="Calibri"/>
        <family val="2"/>
      </rPr>
      <t>Remediation Cost</t>
    </r>
    <r>
      <rPr>
        <sz val="11"/>
        <color theme="1"/>
        <rFont val="Calibri"/>
        <family val="2"/>
        <scheme val="minor"/>
      </rPr>
      <t>)</t>
    </r>
  </si>
  <si>
    <r>
      <t>Pre-Nov 2012 Lake Union Sediments (</t>
    </r>
    <r>
      <rPr>
        <sz val="11"/>
        <color rgb="FF0000FF"/>
        <rFont val="Calibri"/>
        <family val="2"/>
      </rPr>
      <t>Remediation Cost</t>
    </r>
    <r>
      <rPr>
        <sz val="11"/>
        <color theme="1"/>
        <rFont val="Calibri"/>
        <family val="2"/>
        <scheme val="minor"/>
      </rPr>
      <t>)</t>
    </r>
  </si>
  <si>
    <r>
      <t>Gas Works Park (</t>
    </r>
    <r>
      <rPr>
        <sz val="11"/>
        <color rgb="FFFF0000"/>
        <rFont val="Calibri"/>
        <family val="2"/>
        <scheme val="minor"/>
      </rPr>
      <t>Insurance Recovery/3rd parties</t>
    </r>
    <r>
      <rPr>
        <sz val="11"/>
        <color theme="1"/>
        <rFont val="Calibri"/>
        <family val="2"/>
        <scheme val="minor"/>
      </rPr>
      <t>)</t>
    </r>
  </si>
  <si>
    <t>Subtotal Gas Works Park &amp; Lake Union</t>
  </si>
  <si>
    <r>
      <t>Quendall Terminal (</t>
    </r>
    <r>
      <rPr>
        <sz val="11"/>
        <color rgb="FF0000FF"/>
        <rFont val="Calibri"/>
        <family val="2"/>
      </rPr>
      <t>Remediation Cost</t>
    </r>
    <r>
      <rPr>
        <sz val="11"/>
        <color theme="1"/>
        <rFont val="Calibri"/>
        <family val="2"/>
        <scheme val="minor"/>
      </rPr>
      <t>)</t>
    </r>
  </si>
  <si>
    <t>Subtotal Quendall Terminal</t>
  </si>
  <si>
    <r>
      <t>Post-June 1999 Tacoma Tar Pits (</t>
    </r>
    <r>
      <rPr>
        <sz val="11"/>
        <color rgb="FF0000FF"/>
        <rFont val="Calibri"/>
        <family val="2"/>
      </rPr>
      <t>Remediation Cost)</t>
    </r>
  </si>
  <si>
    <r>
      <t>Pre-June 1999 Tacoma Tar Pits (</t>
    </r>
    <r>
      <rPr>
        <sz val="11"/>
        <color rgb="FF0000FF"/>
        <rFont val="Calibri"/>
        <family val="2"/>
      </rPr>
      <t>Remediation Cost)</t>
    </r>
  </si>
  <si>
    <t>Subtotal Tacoma Tar Pits</t>
  </si>
  <si>
    <r>
      <t>Bay Station (</t>
    </r>
    <r>
      <rPr>
        <sz val="11"/>
        <color rgb="FF0000FF"/>
        <rFont val="Calibri"/>
        <family val="2"/>
      </rPr>
      <t>Remediation Cost</t>
    </r>
    <r>
      <rPr>
        <sz val="11"/>
        <color theme="1"/>
        <rFont val="Calibri"/>
        <family val="2"/>
        <scheme val="minor"/>
      </rPr>
      <t>)</t>
    </r>
  </si>
  <si>
    <t>Subtotal Bay Station</t>
  </si>
  <si>
    <r>
      <t>Olympia Columbia Street MGP (</t>
    </r>
    <r>
      <rPr>
        <sz val="11"/>
        <color rgb="FF0000FF"/>
        <rFont val="Calibri"/>
        <family val="2"/>
      </rPr>
      <t>Remediation Cost</t>
    </r>
    <r>
      <rPr>
        <sz val="11"/>
        <color theme="1"/>
        <rFont val="Calibri"/>
        <family val="2"/>
        <scheme val="minor"/>
      </rPr>
      <t>)</t>
    </r>
  </si>
  <si>
    <r>
      <t>Olympia Columbia Street MGP (</t>
    </r>
    <r>
      <rPr>
        <sz val="11"/>
        <color rgb="FFFF0000"/>
        <rFont val="Calibri"/>
        <family val="2"/>
      </rPr>
      <t>WADOT Settlement</t>
    </r>
    <r>
      <rPr>
        <sz val="11"/>
        <rFont val="Calibri"/>
        <family val="2"/>
      </rPr>
      <t>)</t>
    </r>
  </si>
  <si>
    <t>Subtotal Olympia Columbia Street MGP</t>
  </si>
  <si>
    <r>
      <t>Verbeek Autowrecking (</t>
    </r>
    <r>
      <rPr>
        <sz val="11"/>
        <color rgb="FF0000FF"/>
        <rFont val="Calibri"/>
        <family val="2"/>
      </rPr>
      <t>Remediation Cost)</t>
    </r>
  </si>
  <si>
    <r>
      <t>Verbeek Autowrecking (</t>
    </r>
    <r>
      <rPr>
        <sz val="11"/>
        <color rgb="FFFF0000"/>
        <rFont val="Calibri"/>
        <family val="2"/>
        <scheme val="minor"/>
      </rPr>
      <t>Insurance Recovery/3rd parties</t>
    </r>
    <r>
      <rPr>
        <sz val="11"/>
        <color rgb="FF0000FF"/>
        <rFont val="Calibri"/>
        <family val="2"/>
      </rPr>
      <t>)</t>
    </r>
  </si>
  <si>
    <t>Subtotal Verbeek Autowrecking</t>
  </si>
  <si>
    <r>
      <t>Downtowner Property (</t>
    </r>
    <r>
      <rPr>
        <sz val="11"/>
        <color rgb="FF0000FF"/>
        <rFont val="Calibri"/>
        <family val="2"/>
      </rPr>
      <t>Remediation Cost</t>
    </r>
    <r>
      <rPr>
        <sz val="11"/>
        <color theme="1"/>
        <rFont val="Calibri"/>
        <family val="2"/>
        <scheme val="minor"/>
      </rPr>
      <t>)</t>
    </r>
  </si>
  <si>
    <t>Subtotal Downtowner Property</t>
  </si>
  <si>
    <r>
      <t>Swarr Station (</t>
    </r>
    <r>
      <rPr>
        <sz val="11"/>
        <color rgb="FF0000FF"/>
        <rFont val="Calibri"/>
        <family val="2"/>
      </rPr>
      <t>Remediation Cost</t>
    </r>
    <r>
      <rPr>
        <sz val="11"/>
        <color theme="1"/>
        <rFont val="Calibri"/>
        <family val="2"/>
        <scheme val="minor"/>
      </rPr>
      <t>)</t>
    </r>
  </si>
  <si>
    <t>Subtotal Swarr Station</t>
  </si>
  <si>
    <r>
      <t>South Seattle Gate Station (</t>
    </r>
    <r>
      <rPr>
        <sz val="11"/>
        <color rgb="FF0000FF"/>
        <rFont val="Calibri"/>
        <family val="2"/>
      </rPr>
      <t>Remediation Cost</t>
    </r>
    <r>
      <rPr>
        <sz val="11"/>
        <color theme="1"/>
        <rFont val="Calibri"/>
        <family val="2"/>
        <scheme val="minor"/>
      </rPr>
      <t>)</t>
    </r>
  </si>
  <si>
    <t>Prior to 1998</t>
  </si>
  <si>
    <t>Subtotal South Seattle Gate Station</t>
  </si>
  <si>
    <r>
      <t>North Tacoma Gate Station (</t>
    </r>
    <r>
      <rPr>
        <sz val="11"/>
        <color rgb="FF0000FF"/>
        <rFont val="Calibri"/>
        <family val="2"/>
      </rPr>
      <t>Remediation Cost</t>
    </r>
    <r>
      <rPr>
        <sz val="11"/>
        <color theme="1"/>
        <rFont val="Calibri"/>
        <family val="2"/>
        <scheme val="minor"/>
      </rPr>
      <t>)</t>
    </r>
  </si>
  <si>
    <t>Subtotal North Tacoma Gate Station</t>
  </si>
  <si>
    <r>
      <t>North Seattle Gate Station (</t>
    </r>
    <r>
      <rPr>
        <sz val="11"/>
        <color rgb="FF0000FF"/>
        <rFont val="Calibri"/>
        <family val="2"/>
      </rPr>
      <t>Remediation Cost</t>
    </r>
    <r>
      <rPr>
        <sz val="11"/>
        <color theme="1"/>
        <rFont val="Calibri"/>
        <family val="2"/>
        <scheme val="minor"/>
      </rPr>
      <t>)</t>
    </r>
  </si>
  <si>
    <t>Subtotal North Seattle Gate Station</t>
  </si>
  <si>
    <r>
      <t>Covington Gate Station (</t>
    </r>
    <r>
      <rPr>
        <sz val="11"/>
        <color rgb="FF0000FF"/>
        <rFont val="Calibri"/>
        <family val="2"/>
      </rPr>
      <t>Remediation Cost</t>
    </r>
    <r>
      <rPr>
        <sz val="11"/>
        <color theme="1"/>
        <rFont val="Calibri"/>
        <family val="2"/>
        <scheme val="minor"/>
      </rPr>
      <t>)</t>
    </r>
  </si>
  <si>
    <t>Subtotal Covington Gate Station</t>
  </si>
  <si>
    <t>Unallocated Insurance and Third Parties Recoveries</t>
  </si>
  <si>
    <t>Subtotal Unallocated Gas Recoveries</t>
  </si>
  <si>
    <t>DEFERRED ACTUAL ENVIRONMENTAL REMEDIATION COST SUMMARY FOR ELECTRIC</t>
  </si>
  <si>
    <t>SEPTEMBER 2016 - DECEMBER 2017</t>
  </si>
  <si>
    <t>Sept 2016 - Dec 2017 ACTUAL COST</t>
  </si>
  <si>
    <r>
      <t xml:space="preserve">Order in Docket # </t>
    </r>
    <r>
      <rPr>
        <b/>
        <sz val="9"/>
        <color rgb="FF0000FF"/>
        <rFont val="Calibri"/>
        <family val="2"/>
      </rPr>
      <t>(a)</t>
    </r>
  </si>
  <si>
    <t>Cummulative Ending Bal. Sept-16</t>
  </si>
  <si>
    <t>Sept 2016 - Dec 2017 Activity</t>
  </si>
  <si>
    <t xml:space="preserve">Insurance/3rd Party Recoveries </t>
  </si>
  <si>
    <t xml:space="preserve">Bal. authorized to transfer for amortization </t>
  </si>
  <si>
    <t>Ending Bal. Dec-17</t>
  </si>
  <si>
    <t>UE-991796, UE-170033</t>
  </si>
  <si>
    <t>White River/Buckley Phase I Headworks Site</t>
  </si>
  <si>
    <t>UE-991796,  UE-170033</t>
  </si>
  <si>
    <t>White River/Buckley Phase II Burn Pile and Wood Debris</t>
  </si>
  <si>
    <t>UE-021537, UE-170033</t>
  </si>
  <si>
    <t xml:space="preserve">Lower Duwamish Waterway  </t>
  </si>
  <si>
    <t>UE-911476, UE-170033</t>
  </si>
  <si>
    <t>Tenino Service Center UST</t>
  </si>
  <si>
    <t>UE-070724, UE-170033</t>
  </si>
  <si>
    <t>Lower Baker Power Plant</t>
  </si>
  <si>
    <t>UE-072060, UE-170033</t>
  </si>
  <si>
    <t>Snoqualmie Hydro Generation</t>
  </si>
  <si>
    <t>UE-081016, UE-170033</t>
  </si>
  <si>
    <t>Bellingham South State Street MGP</t>
  </si>
  <si>
    <t xml:space="preserve">Electron Flume </t>
  </si>
  <si>
    <t>UE-070724, UE-072060, UE-081016, UE-170033</t>
  </si>
  <si>
    <t xml:space="preserve">Talbot Hill Substation and Switchyard </t>
  </si>
  <si>
    <t>Sammamish Substation</t>
  </si>
  <si>
    <t xml:space="preserve">City of Olympia v PSE Plum Street Station </t>
  </si>
  <si>
    <t>Whitehorn UST</t>
  </si>
  <si>
    <t>Everett Asarco</t>
  </si>
  <si>
    <t>Pt. Robinson Cable Station</t>
  </si>
  <si>
    <t>UE-070724, UE-072060, UE-081016</t>
  </si>
  <si>
    <r>
      <t>Shuffleton (</t>
    </r>
    <r>
      <rPr>
        <sz val="11"/>
        <color rgb="FF0000FF"/>
        <rFont val="Calibri"/>
        <family val="2"/>
        <scheme val="minor"/>
      </rPr>
      <t>NEW</t>
    </r>
    <r>
      <rPr>
        <sz val="11"/>
        <color theme="1"/>
        <rFont val="Calibri"/>
        <family val="2"/>
        <scheme val="minor"/>
      </rPr>
      <t>)</t>
    </r>
  </si>
  <si>
    <r>
      <t>Central Waterfront (</t>
    </r>
    <r>
      <rPr>
        <sz val="11"/>
        <color rgb="FF0000FF"/>
        <rFont val="Calibri"/>
        <family val="2"/>
      </rPr>
      <t>NEW</t>
    </r>
    <r>
      <rPr>
        <sz val="11"/>
        <color theme="1"/>
        <rFont val="Calibri"/>
        <family val="2"/>
        <scheme val="minor"/>
      </rPr>
      <t>)</t>
    </r>
  </si>
  <si>
    <t>Unallocated Def Elec Env Rem Recoveries</t>
  </si>
  <si>
    <t>Grand Total</t>
  </si>
  <si>
    <t>DEFERRED ENVIRONMENTAL REMEDIATION COST DEFFERED ACTIVITY FOR ELECTRIC</t>
  </si>
  <si>
    <t xml:space="preserve"> Cummulative Bal. Sept-16</t>
  </si>
  <si>
    <t xml:space="preserve"> Cummulative Bal. Dec-17</t>
  </si>
  <si>
    <r>
      <t>City of Olympia v PSE Plum Street Station (</t>
    </r>
    <r>
      <rPr>
        <sz val="11"/>
        <color rgb="FFFF0000"/>
        <rFont val="Calibri"/>
        <family val="2"/>
        <scheme val="minor"/>
      </rPr>
      <t>Insurance Recovery/3rd parties</t>
    </r>
    <r>
      <rPr>
        <sz val="11"/>
        <color theme="1"/>
        <rFont val="Calibri"/>
        <family val="2"/>
        <scheme val="minor"/>
      </rPr>
      <t>)</t>
    </r>
  </si>
  <si>
    <t>DEFERRED ACTUAL ENVIRONMENTAL REMEDIATION COST SUMMARY FOR GAS</t>
  </si>
  <si>
    <t>UG-920840, UG-170034</t>
  </si>
  <si>
    <t>Tacoma Gas Company</t>
  </si>
  <si>
    <t>Thea Foss Waterway</t>
  </si>
  <si>
    <t>UG-920781, UG-170034</t>
  </si>
  <si>
    <t>Everett MGP</t>
  </si>
  <si>
    <t>Chehalis MGP</t>
  </si>
  <si>
    <t>Gas Works Park</t>
  </si>
  <si>
    <t>Quendall Terminal</t>
  </si>
  <si>
    <t>Tacoma Tar Pits</t>
  </si>
  <si>
    <t>Bay Station</t>
  </si>
  <si>
    <t>Olympia Columbia Street MGP</t>
  </si>
  <si>
    <t>Verbeek Autowrecking</t>
  </si>
  <si>
    <t>Downtowner Property</t>
  </si>
  <si>
    <t>Swarr Station</t>
  </si>
  <si>
    <t>South Seattle Gate Station</t>
  </si>
  <si>
    <t>North Tacoma Gate Station</t>
  </si>
  <si>
    <t>North Seattle Gate Station</t>
  </si>
  <si>
    <t>Covington Gate Station</t>
  </si>
  <si>
    <t>DEFERRED ENVIRONMENTAL REMEDIATION COST DEFFERED ACTIVITY FOR GAS</t>
  </si>
  <si>
    <r>
      <t>Verbeek Autowrecking (</t>
    </r>
    <r>
      <rPr>
        <sz val="11"/>
        <color rgb="FFFF0000"/>
        <rFont val="Calibri"/>
        <family val="2"/>
        <scheme val="minor"/>
      </rPr>
      <t>Insurance Recovery</t>
    </r>
    <r>
      <rPr>
        <sz val="11"/>
        <color theme="1"/>
        <rFont val="Calibri"/>
        <family val="2"/>
        <scheme val="minor"/>
      </rPr>
      <t>/</t>
    </r>
    <r>
      <rPr>
        <sz val="11"/>
        <color rgb="FFFF0000"/>
        <rFont val="Calibri"/>
        <family val="2"/>
        <scheme val="minor"/>
      </rPr>
      <t>3rd Parties</t>
    </r>
    <r>
      <rPr>
        <sz val="11"/>
        <color rgb="FF0000FF"/>
        <rFont val="Calibri"/>
        <family val="2"/>
      </rPr>
      <t>)</t>
    </r>
  </si>
  <si>
    <t>TRANSFERS AND AMORTIZATION FOR ELECTRIC</t>
  </si>
  <si>
    <t>18239171</t>
  </si>
  <si>
    <t>Subtotal Env Rem Costs - Elec</t>
  </si>
  <si>
    <t>18230431</t>
  </si>
  <si>
    <t>Subtotal Amortization Accounts</t>
  </si>
  <si>
    <t>TRANSFERS AND AMORTIZATION FOR GAS</t>
  </si>
  <si>
    <t>18239042</t>
  </si>
  <si>
    <t>Env Rem Costs - Gas UG - 170034 (Transfer)</t>
  </si>
  <si>
    <t xml:space="preserve">Subtotal Env Rem Costs - Gas </t>
  </si>
  <si>
    <t>18230312</t>
  </si>
  <si>
    <t>Env Rem Recovery - Gas UE 170034 (Transfer)</t>
  </si>
  <si>
    <t>Subtotal Env Rem Recovery - Gas</t>
  </si>
  <si>
    <t>Cummulative Bal. Dec-17</t>
  </si>
  <si>
    <t xml:space="preserve">Accounts for the period September 2016 through December 31, 2017 consistent with </t>
  </si>
  <si>
    <t xml:space="preserve">reporting requirements outlined in the Settlement (paragraph 55 subpart D--Monthly &amp; Year </t>
  </si>
  <si>
    <t>end deferred balance for the reporting year)</t>
  </si>
  <si>
    <t>The 2017 Report filed in April 2018 will be the only year that includes a 15 month period.</t>
  </si>
  <si>
    <t>Future reports will be calendar year only.</t>
  </si>
  <si>
    <t>The 15 month period is used in the initial report so as to agree to amounts</t>
  </si>
  <si>
    <t xml:space="preserve">that were included in the 2017 GRC UE-170033 and UG-170034, the rate case in which the </t>
  </si>
  <si>
    <t>new reporting requirements were adopted by settlement.</t>
  </si>
  <si>
    <t>18231241, 18231251</t>
  </si>
  <si>
    <t>18232221, 18232251</t>
  </si>
  <si>
    <t>18232261, 18232271</t>
  </si>
  <si>
    <t>18230321, 18233091</t>
  </si>
  <si>
    <t>18608011, 18608001</t>
  </si>
  <si>
    <t>18608031, 18608021</t>
  </si>
  <si>
    <t>18608051, 18608041</t>
  </si>
  <si>
    <t>18608111, 18608081</t>
  </si>
  <si>
    <t>18608151, 18608141</t>
  </si>
  <si>
    <t>18608181, 18608191</t>
  </si>
  <si>
    <t>18608221, 18608231</t>
  </si>
  <si>
    <t>18608241, 18608251</t>
  </si>
  <si>
    <t>18608291, 18608281</t>
  </si>
  <si>
    <t>18608451, 18608441</t>
  </si>
  <si>
    <t>18609572, 18608612</t>
  </si>
  <si>
    <t>18609582, 18608712, 18608772</t>
  </si>
  <si>
    <t>18609592, 18608212, 18608782</t>
  </si>
  <si>
    <t>18609602, 18608312</t>
  </si>
  <si>
    <t>18609422, 18609432, 18608412, 18609312, 18609402</t>
  </si>
  <si>
    <t>18609622, 18609512</t>
  </si>
  <si>
    <t>18609642, 18608112</t>
  </si>
  <si>
    <t>18609652, 18609532</t>
  </si>
  <si>
    <t>18609662, 18609542, 18608792</t>
  </si>
  <si>
    <t>18609672, 18608752</t>
  </si>
  <si>
    <t>18608012, 18608002</t>
  </si>
  <si>
    <t>18609682, 18237112</t>
  </si>
  <si>
    <t>consistent with Settlement Agreement paragraph 55 g</t>
  </si>
  <si>
    <r>
      <t>Env Rem Costs - Elec UE - 170033 (</t>
    </r>
    <r>
      <rPr>
        <sz val="10"/>
        <color rgb="FF0000FF"/>
        <rFont val="Calibri"/>
        <family val="2"/>
      </rPr>
      <t>Amortization Dec 19 - 31, 2017</t>
    </r>
    <r>
      <rPr>
        <sz val="11"/>
        <color theme="1"/>
        <rFont val="Calibri"/>
        <family val="2"/>
        <scheme val="minor"/>
      </rPr>
      <t>)</t>
    </r>
  </si>
  <si>
    <r>
      <t>Env Rem Recovery - Elec UE 170033  (</t>
    </r>
    <r>
      <rPr>
        <sz val="10"/>
        <color rgb="FF0000FF"/>
        <rFont val="Calibri"/>
        <family val="2"/>
      </rPr>
      <t>Amortization Dec 19 - 31, 2017</t>
    </r>
    <r>
      <rPr>
        <sz val="11"/>
        <color theme="1"/>
        <rFont val="Calibri"/>
        <family val="2"/>
        <scheme val="minor"/>
      </rPr>
      <t>)</t>
    </r>
  </si>
  <si>
    <r>
      <t>Env Rem Costs - Gas UG - 170034 (</t>
    </r>
    <r>
      <rPr>
        <sz val="10"/>
        <color rgb="FF0000FF"/>
        <rFont val="Calibri"/>
        <family val="2"/>
      </rPr>
      <t>Amortization Dec 19 - 31, 2017</t>
    </r>
    <r>
      <rPr>
        <sz val="11"/>
        <color theme="1"/>
        <rFont val="Calibri"/>
        <family val="2"/>
        <scheme val="minor"/>
      </rPr>
      <t>)</t>
    </r>
  </si>
  <si>
    <r>
      <t>Env Rem Recovery - Gas UG - 170034 (</t>
    </r>
    <r>
      <rPr>
        <sz val="10"/>
        <color rgb="FF0000FF"/>
        <rFont val="Calibri"/>
        <family val="2"/>
      </rPr>
      <t>Amortization Dec 19 - 31, 2017</t>
    </r>
    <r>
      <rPr>
        <sz val="11"/>
        <color theme="1"/>
        <rFont val="Calibri"/>
        <family val="2"/>
        <scheme val="minor"/>
      </rPr>
      <t>)</t>
    </r>
  </si>
  <si>
    <t>received.</t>
  </si>
  <si>
    <t xml:space="preserve"> (a)  The deferred accounting would include only those amounts paid to outside vendors, contractors, or to reimburse others for such costs and would not include legal costs or the costs related to </t>
  </si>
  <si>
    <t xml:space="preserve">         Company personnel.  Any recovery of insurance proceeds, net of outside legal costs incurred in pursuing such recovery.</t>
  </si>
  <si>
    <t xml:space="preserve">         UE-170033 - PSE's 2017 general rate case filed under UE-170033 did not authorize deferral of specific sites but allowed for amortization of the September 2016 balances over five years </t>
  </si>
  <si>
    <t>for the sites noted.</t>
  </si>
  <si>
    <t xml:space="preserve"> (a)  The deferred accounting would include only those amounts paid to outside vendors, contractors, or to reimburse others for such costs and would not include legal costs or the costs related </t>
  </si>
  <si>
    <t xml:space="preserve">        to Company personnel.  Any recovery of insurance proceeds, net of outside legal costs incurred in pursuing such recovery.</t>
  </si>
  <si>
    <t xml:space="preserve">         UG-170034 - PSE's 2017 general rate case filed under UG-170034 did not authorize deferral of specific sites but allowed for amortization of the September 2016 balances over five years for </t>
  </si>
  <si>
    <t>the sites noted.</t>
  </si>
  <si>
    <t>NOI impact at 65%</t>
  </si>
  <si>
    <t>Amortization Over a Five Year Period</t>
  </si>
  <si>
    <t>Total Net Deferral Requested</t>
  </si>
  <si>
    <t>Unassigned Recoveries to Include</t>
  </si>
  <si>
    <t>Portion of Actual to Total Expected Costs</t>
  </si>
  <si>
    <t>Total Unassigned Recoveries</t>
  </si>
  <si>
    <t>Subtotal Net Deferred Costs</t>
  </si>
  <si>
    <t xml:space="preserve">Less Site Specific Recoveries </t>
  </si>
  <si>
    <t>Actual Costs through September 30, 2016</t>
  </si>
  <si>
    <t>Gas</t>
  </si>
  <si>
    <t>Electric</t>
  </si>
  <si>
    <t>Description</t>
  </si>
  <si>
    <t>One-Time Submission for April 2018 Report Only</t>
  </si>
  <si>
    <t>Summary of Amounts Approved for Recovery in UE-170033/UG-170034</t>
  </si>
  <si>
    <t>Filed Pursuant to UE-170033/UG-170034</t>
  </si>
  <si>
    <t>Annual Environmental Report</t>
  </si>
  <si>
    <t>Percent of Costs Spent</t>
  </si>
  <si>
    <t>Total Actual and Future Costs</t>
  </si>
  <si>
    <t>Future Costs</t>
  </si>
  <si>
    <t>TOTAL ELECTRIC SITES</t>
  </si>
  <si>
    <t xml:space="preserve">Env Rem - Pt. Robinson Cable Station </t>
  </si>
  <si>
    <t xml:space="preserve">Env Rem - Everett Asarco </t>
  </si>
  <si>
    <t>Env Rem - Whitehorn UST Remediation</t>
  </si>
  <si>
    <t xml:space="preserve">Env Rem - City of Olympia v PSE Plum Street Station </t>
  </si>
  <si>
    <t>Env Rem - Sammamish Substation</t>
  </si>
  <si>
    <t xml:space="preserve">Env Rem - Talbot Hill Substation and Switchyard </t>
  </si>
  <si>
    <t xml:space="preserve">Env Rem - Electron Flume </t>
  </si>
  <si>
    <t>Env Rem - Bellingham South State Street MGP (former Blvd Park)</t>
  </si>
  <si>
    <t xml:space="preserve">Env Rem - Snoqualmie Hydro Generation (Power Plant) </t>
  </si>
  <si>
    <t xml:space="preserve">Env Rem - Lower Baker Power Plant </t>
  </si>
  <si>
    <t xml:space="preserve">Env Rem - Tenino Service Center UST </t>
  </si>
  <si>
    <t xml:space="preserve">Env Rem - Lower Duwamish Waterway  </t>
  </si>
  <si>
    <t>Env Rem - White River/Buckley Phase II Burn Pile and Wood Debris</t>
  </si>
  <si>
    <t>Env Rem - White River/Buckley Phase I Headworks (Remediation Cost)</t>
  </si>
  <si>
    <t>Recoveries from Insurance or Third PartiesThrough Sept 2016</t>
  </si>
  <si>
    <t>Actual Costs thru Sept 2016</t>
  </si>
  <si>
    <t>TOTAL GAS SITES</t>
  </si>
  <si>
    <t>18608452 Env Rem Gas Work Part - Internal Cost</t>
  </si>
  <si>
    <t xml:space="preserve">18608152 Env Rem Tacoma Tar Pits - Internal Cost </t>
  </si>
  <si>
    <t>ADJUSTMENT</t>
  </si>
  <si>
    <t>Unallocated Insurance and Third Party Recoveries***</t>
  </si>
  <si>
    <t>COVINGTON GATE STATION</t>
  </si>
  <si>
    <t>NORTH SEATTLE GATE STATION</t>
  </si>
  <si>
    <t>NORTH TACOMA GATE STATION</t>
  </si>
  <si>
    <t>SOUTH SEATTLE GATE STATION</t>
  </si>
  <si>
    <t>SWARR STATION</t>
  </si>
  <si>
    <t>Gas Underground Storage Tanks and Other Sites</t>
  </si>
  <si>
    <t>Downtowner Property (Remediation Costs)</t>
  </si>
  <si>
    <t>Verbeek Autowrecking (Reimbursement of Remed Cost from 3rd Party)</t>
  </si>
  <si>
    <t>Verbeek Autowrecking (Remediation Costs)</t>
  </si>
  <si>
    <t>Olympia Columbia Street MGP (WADOT Settlement)</t>
  </si>
  <si>
    <t>Olympia Columbia Street MGP (Remediation Costs)</t>
  </si>
  <si>
    <t>Bay Station (Remediation Costs)</t>
  </si>
  <si>
    <t>Pre June 1999 Tacoma Tar Pits (Remediation Costs)**</t>
  </si>
  <si>
    <t>Post-June 1999 Tacoma Tar Pits (Remediation Costs)</t>
  </si>
  <si>
    <t>Quendall Terminal (Remediation Costs)</t>
  </si>
  <si>
    <t>Pre-Nov 2012 Lake Union Sediments (Remediation Costs)</t>
  </si>
  <si>
    <t>Pre-Nov 2012 Gas Works Park (Remediation Costs)</t>
  </si>
  <si>
    <t>Post - Nov 2012 Gas Works Park  (Remediation Costs)*</t>
  </si>
  <si>
    <t>Chehalis Washington (Remediation Costs)</t>
  </si>
  <si>
    <t>Everett Washington (WADOT Settlement)</t>
  </si>
  <si>
    <t>Everett Washington (Remediation Costs)</t>
  </si>
  <si>
    <t>Thea Foss Waterway (WADOT Settlement)</t>
  </si>
  <si>
    <t>Thea Foss Waterway (Remediation Costs)</t>
  </si>
  <si>
    <t>Tacoma Gas Company (Upload Source Control) (Remediation Costs)</t>
  </si>
  <si>
    <t>Total 2015 ELEC and GAS Future Cost Estimate</t>
  </si>
  <si>
    <t>ELECTRIC</t>
  </si>
  <si>
    <t>GAS</t>
  </si>
  <si>
    <t>Average (a) - (b) = (c )</t>
  </si>
  <si>
    <t>(b)</t>
  </si>
  <si>
    <t>(a)</t>
  </si>
  <si>
    <t>2016 Mid Range Future Costs</t>
  </si>
  <si>
    <t>2016 High Future Costs</t>
  </si>
  <si>
    <t>2016 Low Future Costs</t>
  </si>
  <si>
    <t xml:space="preserve">ENVIRONMENTAL REMEDIATION FUTURE COST ESTIMATE </t>
  </si>
  <si>
    <t>N/A</t>
  </si>
  <si>
    <t>Remove Site Specific Recoveries from Costs</t>
  </si>
  <si>
    <t>Amount Transferred</t>
  </si>
  <si>
    <t>Costs:</t>
  </si>
  <si>
    <t>Recoveries:</t>
  </si>
  <si>
    <t>From GRC work papers</t>
  </si>
  <si>
    <t>Line</t>
  </si>
  <si>
    <t>Amounts per Settlement in UE-170033/UG-170034:</t>
  </si>
  <si>
    <t>Line 11 = Line 25 - Same Overall Result (((18 + 23) ÷ 5) x -65%)</t>
  </si>
  <si>
    <t xml:space="preserve">18232271 Env Rem - Lower Duwamish Waterway  </t>
  </si>
  <si>
    <t>18608041 Env Rem - Bellingham South State Street MGP (former Blvd Park)</t>
  </si>
  <si>
    <t xml:space="preserve">18608231 Env Rem - City of Olympia v PSE Plum Street Station </t>
  </si>
  <si>
    <t>Site Specific Recoveries included in allocation percentage</t>
  </si>
  <si>
    <t>amortization.  When preparing the journal entries to transfer the environmental deferrals for</t>
  </si>
  <si>
    <t>13 days of amortization from GRC effective date of 12/19/2017 - 12/31/2017</t>
  </si>
  <si>
    <t>Approved Amortization for December 2017</t>
  </si>
  <si>
    <t>Amount booked in December 2017</t>
  </si>
  <si>
    <t>Convert to Monthly</t>
  </si>
  <si>
    <t>Approved Monthly Amortization</t>
  </si>
  <si>
    <t>Approved Annual Amortization from Line 10</t>
  </si>
  <si>
    <t>Verification of correct amortization booked</t>
  </si>
  <si>
    <t>22841001 - Accum Misc Oper Provi – Unallocated Def Elec Env Rem Recoveries</t>
  </si>
  <si>
    <t>Dr.</t>
  </si>
  <si>
    <t>Cr.</t>
  </si>
  <si>
    <t>18230431 - Env Rem Recovery - Elec UE 170033</t>
  </si>
  <si>
    <t xml:space="preserve">specific recoveries shown on lines 28 through 30 as well as all of the deferred costs for those sites. </t>
  </si>
  <si>
    <t>And that amount of the site specific recoveries ($826,665) was used to change the amount of</t>
  </si>
  <si>
    <t>unassigned recoveries that were transferred so that the overall result from the GRC was maintained</t>
  </si>
  <si>
    <t>(see line 25). PSE posted the correct amount of amortization based on the GRC settlement (see lines</t>
  </si>
  <si>
    <t>33 - 39) and so this deviation does not have an income statement impact, it has a balance sheet only</t>
  </si>
  <si>
    <t>impact. PSE has posted a correcting entry in the 1st quarter of 2018 to transfer the 53% of these site</t>
  </si>
  <si>
    <t>specific recoveries that were not included in the approved amortization back to their originiating</t>
  </si>
  <si>
    <t xml:space="preserve">accounts as follows: </t>
  </si>
  <si>
    <t>18239171 - Env Rem Costs - Elec UE - 170033</t>
  </si>
  <si>
    <r>
      <rPr>
        <b/>
        <sz val="11"/>
        <color theme="1"/>
        <rFont val="Calibri"/>
        <family val="2"/>
      </rPr>
      <t xml:space="preserve">(Note 1)       </t>
    </r>
    <r>
      <rPr>
        <sz val="11"/>
        <color theme="1"/>
        <rFont val="Calibri"/>
        <family val="2"/>
      </rPr>
      <t xml:space="preserve">In the 2017 GRC settlement, the 3 site specific recoveries for electric were included in the </t>
    </r>
  </si>
  <si>
    <r>
      <t xml:space="preserve">Env Rem Costs - Elec UE - 170033 (Transfer) </t>
    </r>
    <r>
      <rPr>
        <sz val="10"/>
        <color rgb="FFFF0000"/>
        <rFont val="Calibri"/>
        <family val="2"/>
      </rPr>
      <t>(See Note 1)</t>
    </r>
  </si>
  <si>
    <r>
      <t xml:space="preserve">Env Rem Recovery - Elec UE 170033  (Transfer) </t>
    </r>
    <r>
      <rPr>
        <sz val="10"/>
        <color rgb="FFFF0000"/>
        <rFont val="Calibri"/>
        <family val="2"/>
      </rPr>
      <t>(See Note 1)</t>
    </r>
  </si>
  <si>
    <t>Amortization Period</t>
  </si>
  <si>
    <t>12/19/2017 -</t>
  </si>
  <si>
    <t>Blanket orders: UE-070724, UE-072060, UE-081016</t>
  </si>
  <si>
    <t>Site Specific Recoveries included in same account as Costs</t>
  </si>
  <si>
    <t>Amounts Transferred in December 2017 Business (Note 1):</t>
  </si>
  <si>
    <t>Write-off internal costs per 2017 GRC settment</t>
  </si>
  <si>
    <t>amortization, the entire balance in those accounts was transferred which contained all of the site</t>
  </si>
  <si>
    <t>(Note 1)  See related note on the "2017 GRC Stlmt" tab in the One Time Request section.</t>
  </si>
  <si>
    <t>unassigned recoveries and as a result only 47% of these amounts were included in the approved</t>
  </si>
  <si>
    <t>Type A</t>
  </si>
  <si>
    <r>
      <t>Type Category</t>
    </r>
    <r>
      <rPr>
        <b/>
        <sz val="9"/>
        <color theme="1"/>
        <rFont val="Calibri"/>
        <family val="2"/>
        <scheme val="minor"/>
      </rPr>
      <t xml:space="preserve"> </t>
    </r>
    <r>
      <rPr>
        <b/>
        <sz val="9"/>
        <color rgb="FF0000CC"/>
        <rFont val="Calibri"/>
        <family val="2"/>
      </rPr>
      <t>(b)</t>
    </r>
  </si>
  <si>
    <r>
      <t>Lower Duwamish Waterway   (</t>
    </r>
    <r>
      <rPr>
        <sz val="11"/>
        <color rgb="FFFF0000"/>
        <rFont val="Calibri"/>
        <family val="2"/>
        <scheme val="minor"/>
      </rPr>
      <t>Insurance Recovery/3rd parties</t>
    </r>
    <r>
      <rPr>
        <sz val="11"/>
        <color theme="1"/>
        <rFont val="Calibri"/>
        <family val="2"/>
        <scheme val="minor"/>
      </rPr>
      <t>)</t>
    </r>
  </si>
  <si>
    <t>Type B</t>
  </si>
  <si>
    <t>Type C</t>
  </si>
  <si>
    <r>
      <t xml:space="preserve"> (b)  </t>
    </r>
    <r>
      <rPr>
        <u val="singleAccounting"/>
        <sz val="9"/>
        <color rgb="FF0000FF"/>
        <rFont val="Calibri"/>
        <family val="2"/>
      </rPr>
      <t>Type A</t>
    </r>
    <r>
      <rPr>
        <sz val="9"/>
        <color rgb="FF0000FF"/>
        <rFont val="Calibri"/>
        <family val="2"/>
        <scheme val="minor"/>
      </rPr>
      <t>:  Additional costs associated with projects previously reviewed and approved for amortization in Dockets UE-170033 and UG-170034.</t>
    </r>
  </si>
  <si>
    <r>
      <t xml:space="preserve"> (b)</t>
    </r>
    <r>
      <rPr>
        <u val="singleAccounting"/>
        <sz val="9"/>
        <color rgb="FF0000FF"/>
        <rFont val="Calibri"/>
        <family val="2"/>
        <scheme val="minor"/>
      </rPr>
      <t xml:space="preserve">  </t>
    </r>
    <r>
      <rPr>
        <u val="singleAccounting"/>
        <sz val="9"/>
        <color rgb="FF0000FF"/>
        <rFont val="Calibri"/>
        <family val="2"/>
      </rPr>
      <t>Type A</t>
    </r>
    <r>
      <rPr>
        <sz val="9"/>
        <color rgb="FF0000FF"/>
        <rFont val="Calibri"/>
        <family val="2"/>
        <scheme val="minor"/>
      </rPr>
      <t>:  Additional costs associated with projects previously reviewed and approved for amortization in Dockets UE-170033 and UG-170034.</t>
    </r>
  </si>
  <si>
    <r>
      <t xml:space="preserve">        </t>
    </r>
    <r>
      <rPr>
        <u val="singleAccounting"/>
        <sz val="9"/>
        <color rgb="FF0000FF"/>
        <rFont val="Calibri"/>
        <family val="2"/>
      </rPr>
      <t xml:space="preserve"> Type B</t>
    </r>
    <r>
      <rPr>
        <sz val="9"/>
        <color rgb="FF0000FF"/>
        <rFont val="Calibri"/>
        <family val="2"/>
        <scheme val="minor"/>
      </rPr>
      <t>:  New projects whose costs would be covered by the recoveries that existed and reviewed in Dockets UE-170033 and UG-170034.</t>
    </r>
  </si>
  <si>
    <r>
      <t xml:space="preserve">         </t>
    </r>
    <r>
      <rPr>
        <u val="singleAccounting"/>
        <sz val="9"/>
        <color rgb="FF0000FF"/>
        <rFont val="Calibri"/>
        <family val="2"/>
      </rPr>
      <t>Type C</t>
    </r>
    <r>
      <rPr>
        <sz val="9"/>
        <color rgb="FF0000FF"/>
        <rFont val="Calibri"/>
        <family val="2"/>
        <scheme val="minor"/>
      </rPr>
      <t>:  New projects that cannot be tied to prior recoveries that may or may not have new recoveries specific to the project.</t>
    </r>
  </si>
  <si>
    <r>
      <t xml:space="preserve">         </t>
    </r>
    <r>
      <rPr>
        <u val="singleAccounting"/>
        <sz val="9"/>
        <color rgb="FF0000FF"/>
        <rFont val="Calibri"/>
        <family val="2"/>
      </rPr>
      <t>Type B</t>
    </r>
    <r>
      <rPr>
        <sz val="9"/>
        <color rgb="FF0000FF"/>
        <rFont val="Calibri"/>
        <family val="2"/>
        <scheme val="minor"/>
      </rPr>
      <t>:  New projects whose costs would be covered by the recoveries that existed and reviewed in Dockets UE-170033 and UG-170034.</t>
    </r>
  </si>
  <si>
    <r>
      <t xml:space="preserve">         </t>
    </r>
    <r>
      <rPr>
        <u val="singleAccounting"/>
        <sz val="9"/>
        <color rgb="FF0000FF"/>
        <rFont val="Calibri"/>
        <family val="2"/>
      </rPr>
      <t>Type C</t>
    </r>
    <r>
      <rPr>
        <sz val="9"/>
        <color rgb="FF0000FF"/>
        <rFont val="Calibri"/>
        <family val="2"/>
        <scheme val="minor"/>
      </rPr>
      <t xml:space="preserve">:  New projects that cannot be tied to prior recoveries that may or may not have new recoveries specific to the project.  </t>
    </r>
  </si>
  <si>
    <t>most recent GRC, UE-170033/UG-170034.</t>
  </si>
  <si>
    <t>DEFERRED BALANCE</t>
  </si>
  <si>
    <t>DEFERRED ACTIVITY</t>
  </si>
  <si>
    <t xml:space="preserve">The following 2 pages reflect the balances in each of the deferred Environmental Remediation </t>
  </si>
  <si>
    <t xml:space="preserve">The following 4 pages represent the deferral activity by month in each Environmental </t>
  </si>
  <si>
    <t xml:space="preserve">during the reporting period by month and are associated with the project for which they were </t>
  </si>
  <si>
    <t xml:space="preserve">The following two pages represent the amounts transferred to accounts for amortization </t>
  </si>
  <si>
    <t>The following 3 pages provide a summary of the amounts that were approved for amortization in the</t>
  </si>
  <si>
    <t>Remediation Account for the September 2016 through December 31, 2017.</t>
  </si>
  <si>
    <t xml:space="preserve">The pages 16 through 20 provide overviews of activity within each </t>
  </si>
  <si>
    <t>SUMMARY OF ENVIRONMENTAL ACCOUNTS</t>
  </si>
  <si>
    <t>INCLUDED IN UE -170033 AND UG-170034</t>
  </si>
  <si>
    <t xml:space="preserve">as well as include the amount of 3rd party and insurance recoveries received </t>
  </si>
  <si>
    <t>Electric/Gas subaccount and the 'Activity' tabs reflect the monthly entries to each account</t>
  </si>
  <si>
    <t>ACCOUNT TRANSFERS AND AMORTIZATION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</si>
</sst>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m/dd/yy;@"/>
    <numFmt numFmtId="166" formatCode="_(* #,##0.00000_);_(* \(#,##0.00000\);_(* &quot;-&quot;??_);_(@_)"/>
    <numFmt numFmtId="167" formatCode="0.000000"/>
    <numFmt numFmtId="168" formatCode="0.0000000"/>
    <numFmt numFmtId="169" formatCode="0000"/>
    <numFmt numFmtId="170" formatCode="000000"/>
    <numFmt numFmtId="171" formatCode="d\.mmm\.yy"/>
    <numFmt numFmtId="172" formatCode="#."/>
    <numFmt numFmtId="173" formatCode="_(* ###0_);_(* \(###0\);_(* &quot;-&quot;_);_(@_)"/>
    <numFmt numFmtId="174" formatCode="00000"/>
    <numFmt numFmtId="175" formatCode="_([$€-2]* #,##0.00_);_([$€-2]* \(#,##0.00\);_([$€-2]* &quot;-&quot;??_)"/>
    <numFmt numFmtId="176" formatCode="_(&quot;$&quot;* #,##0.0_);_(&quot;$&quot;* \(#,##0.0\);_(&quot;$&quot;* &quot;-&quot;??_);_(@_)"/>
    <numFmt numFmtId="177" formatCode="0.00_)"/>
    <numFmt numFmtId="178" formatCode="&quot;$&quot;#,##0;\-&quot;$&quot;#,##0"/>
    <numFmt numFmtId="179" formatCode="0.0%"/>
    <numFmt numFmtId="180" formatCode="_(&quot;$&quot;* #,##0.0000_);_(&quot;$&quot;* \(#,##0.0000\);_(&quot;$&quot;* &quot;-&quot;????_);_(@_)"/>
    <numFmt numFmtId="181" formatCode="_(* #,##0.0_);_(* \(#,##0.0\);_(* &quot;-&quot;_);_(@_)"/>
    <numFmt numFmtId="182" formatCode="[$-409]d\-mmm\-yy;@"/>
    <numFmt numFmtId="183" formatCode="&quot;$&quot;#,##0.00"/>
    <numFmt numFmtId="184" formatCode="_(&quot;$&quot;* #,##0_);_(&quot;$&quot;* \(#,##0\);_(&quot;$&quot;* &quot;-&quot;??_);_(@_)"/>
    <numFmt numFmtId="185" formatCode="#\ ???/???"/>
  </numFmts>
  <fonts count="117">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sz val="10"/>
      <name val="Arial"/>
      <family val="2"/>
    </font>
    <font>
      <i/>
      <sz val="10"/>
      <name val="Arial"/>
      <family val="2"/>
    </font>
    <font>
      <sz val="11"/>
      <color rgb="FF0000FF"/>
      <name val="Calibri"/>
      <family val="2"/>
    </font>
    <font>
      <sz val="10"/>
      <name val="Courier"/>
      <family val="3"/>
    </font>
    <font>
      <b/>
      <sz val="11"/>
      <color indexed="8"/>
      <name val="Calibri"/>
      <family val="2"/>
      <scheme val="minor"/>
    </font>
    <font>
      <i/>
      <sz val="8"/>
      <color rgb="FFFF0000"/>
      <name val="Arial"/>
      <family val="2"/>
    </font>
    <font>
      <sz val="8"/>
      <color rgb="FFFF0000"/>
      <name val="Calibri"/>
      <family val="2"/>
      <scheme val="minor"/>
    </font>
    <font>
      <b/>
      <sz val="8"/>
      <color rgb="FFFF0000"/>
      <name val="Calibri"/>
      <family val="2"/>
      <scheme val="minor"/>
    </font>
    <font>
      <sz val="8"/>
      <color theme="1"/>
      <name val="Calibri"/>
      <family val="2"/>
      <scheme val="minor"/>
    </font>
    <font>
      <b/>
      <sz val="8"/>
      <color theme="1"/>
      <name val="Calibri"/>
      <family val="2"/>
      <scheme val="minor"/>
    </font>
    <font>
      <sz val="10"/>
      <color indexed="8"/>
      <name val="Arial"/>
      <family val="2"/>
    </font>
    <font>
      <sz val="11"/>
      <color rgb="FF0000FF"/>
      <name val="Calibri"/>
      <family val="2"/>
      <scheme val="minor"/>
    </font>
    <font>
      <sz val="9"/>
      <color indexed="81"/>
      <name val="Tahoma"/>
      <family val="2"/>
    </font>
    <font>
      <sz val="11"/>
      <color rgb="FFFF0000"/>
      <name val="Calibri"/>
      <family val="2"/>
    </font>
    <font>
      <sz val="11"/>
      <name val="Calibri"/>
      <family val="2"/>
    </font>
    <font>
      <b/>
      <sz val="12"/>
      <color theme="1"/>
      <name val="Calibri"/>
      <family val="2"/>
      <scheme val="minor"/>
    </font>
    <font>
      <b/>
      <sz val="14"/>
      <color theme="1"/>
      <name val="Calibri"/>
      <family val="2"/>
      <scheme val="minor"/>
    </font>
    <font>
      <b/>
      <sz val="9"/>
      <color rgb="FF0000FF"/>
      <name val="Calibri"/>
      <family val="2"/>
    </font>
    <font>
      <sz val="9"/>
      <color rgb="FF0000FF"/>
      <name val="Calibri"/>
      <family val="2"/>
      <scheme val="minor"/>
    </font>
    <font>
      <u/>
      <sz val="9"/>
      <color rgb="FFFF0000"/>
      <name val="Calibri"/>
      <family val="2"/>
      <scheme val="minor"/>
    </font>
    <font>
      <u val="singleAccounting"/>
      <sz val="8"/>
      <color rgb="FFFF0000"/>
      <name val="Calibri"/>
      <family val="2"/>
      <scheme val="minor"/>
    </font>
    <font>
      <sz val="10"/>
      <color rgb="FF0000FF"/>
      <name val="Calibri"/>
      <family val="2"/>
    </font>
    <font>
      <sz val="12"/>
      <name val="Times New Roman"/>
      <family val="1"/>
    </font>
    <font>
      <sz val="8"/>
      <name val="Antique Olive"/>
      <family val="2"/>
    </font>
    <font>
      <sz val="8"/>
      <name val="Geneva"/>
      <family val="2"/>
    </font>
    <font>
      <sz val="10"/>
      <color indexed="9"/>
      <name val="Arial"/>
      <family val="2"/>
    </font>
    <font>
      <sz val="11"/>
      <color indexed="8"/>
      <name val="Calibri"/>
      <family val="2"/>
    </font>
    <font>
      <sz val="11"/>
      <color indexed="9"/>
      <name val="Calibri"/>
      <family val="2"/>
    </font>
    <font>
      <sz val="11"/>
      <color indexed="16"/>
      <name val="Calibri"/>
      <family val="2"/>
    </font>
    <font>
      <sz val="11"/>
      <color indexed="37"/>
      <name val="Calibri"/>
      <family val="2"/>
    </font>
    <font>
      <sz val="10"/>
      <color indexed="8"/>
      <name val="MS Sans Serif"/>
      <family val="2"/>
    </font>
    <font>
      <b/>
      <sz val="11"/>
      <color indexed="53"/>
      <name val="Calibri"/>
      <family val="2"/>
    </font>
    <font>
      <b/>
      <sz val="11"/>
      <color indexed="17"/>
      <name val="Calibri"/>
      <family val="2"/>
    </font>
    <font>
      <b/>
      <sz val="11"/>
      <color indexed="9"/>
      <name val="Calibri"/>
      <family val="2"/>
    </font>
    <font>
      <sz val="12"/>
      <color indexed="24"/>
      <name val="Arial"/>
      <family val="2"/>
    </font>
    <font>
      <sz val="10"/>
      <name val="Helv"/>
    </font>
    <font>
      <sz val="12"/>
      <name val="Times"/>
      <family val="1"/>
    </font>
    <font>
      <sz val="10"/>
      <color indexed="24"/>
      <name val="Arial"/>
      <family val="2"/>
    </font>
    <font>
      <sz val="1"/>
      <color indexed="16"/>
      <name val="Courier"/>
      <family val="3"/>
    </font>
    <font>
      <sz val="10"/>
      <name val="MS Serif"/>
      <family val="1"/>
    </font>
    <font>
      <sz val="12"/>
      <color theme="1"/>
      <name val="Times New Roman"/>
      <family val="2"/>
    </font>
    <font>
      <b/>
      <sz val="11"/>
      <color indexed="8"/>
      <name val="Calibri"/>
      <family val="2"/>
    </font>
    <font>
      <i/>
      <sz val="10"/>
      <color indexed="23"/>
      <name val="Arial"/>
      <family val="2"/>
    </font>
    <font>
      <sz val="11"/>
      <color indexed="17"/>
      <name val="Calibri"/>
      <family val="2"/>
    </font>
    <font>
      <sz val="8"/>
      <name val="Arial"/>
      <family val="2"/>
    </font>
    <font>
      <b/>
      <sz val="11"/>
      <name val="Arial"/>
      <family val="2"/>
    </font>
    <font>
      <b/>
      <sz val="12"/>
      <name val="Arial"/>
      <family val="2"/>
    </font>
    <font>
      <b/>
      <sz val="10"/>
      <name val="Arial"/>
      <family val="2"/>
    </font>
    <font>
      <b/>
      <sz val="15"/>
      <color indexed="62"/>
      <name val="Calibri"/>
      <family val="2"/>
    </font>
    <font>
      <b/>
      <sz val="13"/>
      <color indexed="62"/>
      <name val="Calibri"/>
      <family val="2"/>
    </font>
    <font>
      <b/>
      <sz val="11"/>
      <color indexed="62"/>
      <name val="Calibri"/>
      <family val="2"/>
    </font>
    <font>
      <b/>
      <sz val="8"/>
      <name val="Arial"/>
      <family val="2"/>
    </font>
    <font>
      <sz val="11"/>
      <color indexed="48"/>
      <name val="Calibri"/>
      <family val="2"/>
    </font>
    <font>
      <sz val="10"/>
      <color indexed="12"/>
      <name val="Arial"/>
      <family val="2"/>
    </font>
    <font>
      <b/>
      <sz val="12"/>
      <color indexed="20"/>
      <name val="Arial"/>
      <family val="2"/>
    </font>
    <font>
      <sz val="11"/>
      <color indexed="53"/>
      <name val="Calibri"/>
      <family val="2"/>
    </font>
    <font>
      <sz val="11"/>
      <color indexed="60"/>
      <name val="Calibri"/>
      <family val="2"/>
    </font>
    <font>
      <sz val="7"/>
      <name val="Small Fonts"/>
      <family val="2"/>
    </font>
    <font>
      <b/>
      <i/>
      <sz val="16"/>
      <name val="Helv"/>
    </font>
    <font>
      <sz val="9"/>
      <name val="Arial"/>
      <family val="2"/>
    </font>
    <font>
      <b/>
      <sz val="11"/>
      <color indexed="63"/>
      <name val="Calibri"/>
      <family val="2"/>
    </font>
    <font>
      <sz val="10"/>
      <name val="MS Sans Serif"/>
      <family val="2"/>
    </font>
    <font>
      <sz val="8"/>
      <name val="Helv"/>
    </font>
    <font>
      <b/>
      <sz val="10"/>
      <name val="MS Sans Serif"/>
      <family val="2"/>
    </font>
    <font>
      <sz val="12"/>
      <color indexed="10"/>
      <name val="Arial"/>
      <family val="2"/>
    </font>
    <font>
      <sz val="12"/>
      <color indexed="10"/>
      <name val="Times"/>
      <family val="1"/>
    </font>
    <font>
      <b/>
      <sz val="10"/>
      <color indexed="8"/>
      <name val="Arial"/>
      <family val="2"/>
    </font>
    <font>
      <b/>
      <sz val="10"/>
      <color indexed="39"/>
      <name val="Arial"/>
      <family val="2"/>
    </font>
    <font>
      <sz val="8"/>
      <color indexed="62"/>
      <name val="Arial"/>
      <family val="2"/>
    </font>
    <font>
      <b/>
      <sz val="8"/>
      <color indexed="8"/>
      <name val="Arial"/>
      <family val="2"/>
    </font>
    <font>
      <b/>
      <sz val="12"/>
      <color indexed="8"/>
      <name val="Arial"/>
      <family val="2"/>
    </font>
    <font>
      <sz val="8"/>
      <color indexed="8"/>
      <name val="Arial"/>
      <family val="2"/>
    </font>
    <font>
      <sz val="10"/>
      <color indexed="39"/>
      <name val="Arial"/>
      <family val="2"/>
    </font>
    <font>
      <sz val="19"/>
      <color indexed="48"/>
      <name val="Arial"/>
      <family val="2"/>
    </font>
    <font>
      <sz val="19"/>
      <name val="Arial"/>
      <family val="2"/>
    </font>
    <font>
      <sz val="10"/>
      <color indexed="10"/>
      <name val="Arial"/>
      <family val="2"/>
    </font>
    <font>
      <sz val="8"/>
      <color indexed="14"/>
      <name val="Arial"/>
      <family val="2"/>
    </font>
    <font>
      <b/>
      <sz val="18"/>
      <color indexed="62"/>
      <name val="Cambria"/>
      <family val="2"/>
    </font>
    <font>
      <b/>
      <sz val="8"/>
      <color indexed="8"/>
      <name val="Helv"/>
    </font>
    <font>
      <b/>
      <i/>
      <sz val="10"/>
      <name val="Arial"/>
      <family val="2"/>
    </font>
    <font>
      <b/>
      <sz val="8"/>
      <name val="Times New Roman"/>
      <family val="1"/>
    </font>
    <font>
      <b/>
      <sz val="10"/>
      <color indexed="10"/>
      <name val="Arial"/>
      <family val="2"/>
    </font>
    <font>
      <b/>
      <sz val="12"/>
      <color indexed="56"/>
      <name val="Arial"/>
      <family val="2"/>
    </font>
    <font>
      <b/>
      <sz val="14"/>
      <color indexed="56"/>
      <name val="Arial"/>
      <family val="2"/>
    </font>
    <font>
      <sz val="11"/>
      <color indexed="10"/>
      <name val="Calibri"/>
      <family val="2"/>
    </font>
    <font>
      <sz val="11"/>
      <color indexed="14"/>
      <name val="Calibri"/>
      <family val="2"/>
    </font>
    <font>
      <sz val="11"/>
      <color theme="1"/>
      <name val="Calibri"/>
      <family val="2"/>
    </font>
    <font>
      <b/>
      <sz val="11"/>
      <color theme="1"/>
      <name val="Calibri"/>
      <family val="2"/>
    </font>
    <font>
      <sz val="11"/>
      <name val="Calibri"/>
      <family val="2"/>
      <scheme val="minor"/>
    </font>
    <font>
      <sz val="8"/>
      <color rgb="FF0000CC"/>
      <name val="Calibri"/>
      <family val="2"/>
      <scheme val="minor"/>
    </font>
    <font>
      <b/>
      <u/>
      <sz val="11"/>
      <color theme="1"/>
      <name val="Calibri"/>
      <family val="2"/>
      <scheme val="minor"/>
    </font>
    <font>
      <u/>
      <sz val="11"/>
      <color theme="1"/>
      <name val="Calibri"/>
      <family val="2"/>
      <scheme val="minor"/>
    </font>
    <font>
      <sz val="10"/>
      <color theme="1"/>
      <name val="Arial"/>
      <family val="2"/>
    </font>
    <font>
      <b/>
      <sz val="10"/>
      <color theme="1"/>
      <name val="Arial"/>
      <family val="2"/>
    </font>
    <font>
      <u/>
      <sz val="10"/>
      <name val="Arial"/>
      <family val="2"/>
    </font>
    <font>
      <sz val="10"/>
      <color rgb="FF0000CC"/>
      <name val="Arial"/>
      <family val="2"/>
    </font>
    <font>
      <b/>
      <u/>
      <sz val="10"/>
      <name val="Arial"/>
      <family val="2"/>
    </font>
    <font>
      <i/>
      <sz val="9"/>
      <name val="Arial"/>
      <family val="2"/>
    </font>
    <font>
      <b/>
      <sz val="11"/>
      <color rgb="FF0000CC"/>
      <name val="Calibri"/>
      <family val="2"/>
      <scheme val="minor"/>
    </font>
    <font>
      <sz val="11"/>
      <color rgb="FF000000"/>
      <name val="Calibri"/>
      <family val="2"/>
    </font>
    <font>
      <b/>
      <sz val="11"/>
      <color rgb="FF000000"/>
      <name val="Calibri"/>
      <family val="2"/>
    </font>
    <font>
      <sz val="10"/>
      <color rgb="FFFF0000"/>
      <name val="Calibri"/>
      <family val="2"/>
    </font>
    <font>
      <u val="singleAccounting"/>
      <sz val="11"/>
      <name val="Calibri"/>
      <family val="2"/>
      <scheme val="minor"/>
    </font>
    <font>
      <b/>
      <u/>
      <sz val="11"/>
      <color rgb="FF000000"/>
      <name val="Calibri"/>
      <family val="2"/>
    </font>
    <font>
      <b/>
      <sz val="9"/>
      <color theme="1"/>
      <name val="Calibri"/>
      <family val="2"/>
      <scheme val="minor"/>
    </font>
    <font>
      <b/>
      <sz val="9"/>
      <color rgb="FF0000CC"/>
      <name val="Calibri"/>
      <family val="2"/>
    </font>
    <font>
      <u val="singleAccounting"/>
      <sz val="9"/>
      <color rgb="FF0000FF"/>
      <name val="Calibri"/>
      <family val="2"/>
    </font>
    <font>
      <u val="singleAccounting"/>
      <sz val="9"/>
      <color rgb="FF0000FF"/>
      <name val="Calibri"/>
      <family val="2"/>
      <scheme val="minor"/>
    </font>
    <font>
      <sz val="22"/>
      <color theme="1"/>
      <name val="Calibri"/>
      <family val="2"/>
      <scheme val="minor"/>
    </font>
    <font>
      <b/>
      <u/>
      <sz val="22"/>
      <color theme="1"/>
      <name val="Calibri"/>
      <family val="2"/>
      <scheme val="minor"/>
    </font>
    <font>
      <sz val="12"/>
      <color theme="1"/>
      <name val="Calibri"/>
      <family val="2"/>
      <scheme val="minor"/>
    </font>
  </fonts>
  <fills count="8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23"/>
        <bgColor indexed="23"/>
      </patternFill>
    </fill>
    <fill>
      <patternFill patternType="solid">
        <fgColor indexed="18"/>
        <bgColor indexed="18"/>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2"/>
        <bgColor indexed="52"/>
      </patternFill>
    </fill>
    <fill>
      <patternFill patternType="solid">
        <fgColor indexed="53"/>
        <bgColor indexed="53"/>
      </patternFill>
    </fill>
    <fill>
      <patternFill patternType="solid">
        <fgColor indexed="9"/>
        <bgColor indexed="9"/>
      </patternFill>
    </fill>
    <fill>
      <patternFill patternType="solid">
        <fgColor indexed="35"/>
        <bgColor indexed="35"/>
      </patternFill>
    </fill>
    <fill>
      <patternFill patternType="solid">
        <fgColor indexed="22"/>
        <bgColor indexed="64"/>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mediumGray">
        <fgColor indexed="22"/>
      </patternFill>
    </fill>
    <fill>
      <patternFill patternType="solid">
        <fgColor indexed="43"/>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20"/>
      </patternFill>
    </fill>
    <fill>
      <patternFill patternType="gray0625">
        <fgColor indexed="8"/>
      </patternFill>
    </fill>
    <fill>
      <patternFill patternType="gray125">
        <fgColor indexed="8"/>
      </patternFill>
    </fill>
  </fills>
  <borders count="116">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medium">
        <color indexed="64"/>
      </top>
      <bottom/>
      <diagonal/>
    </border>
    <border>
      <left style="dotted">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right style="medium">
        <color indexed="64"/>
      </right>
      <top/>
      <bottom style="dotted">
        <color indexed="64"/>
      </bottom>
      <diagonal/>
    </border>
    <border>
      <left style="medium">
        <color indexed="64"/>
      </left>
      <right/>
      <top/>
      <bottom/>
      <diagonal/>
    </border>
    <border>
      <left style="dotted">
        <color indexed="64"/>
      </left>
      <right/>
      <top style="dotted">
        <color indexed="64"/>
      </top>
      <bottom style="dotted">
        <color indexed="64"/>
      </bottom>
      <diagonal/>
    </border>
    <border>
      <left style="dotted">
        <color indexed="64"/>
      </left>
      <right style="dotted">
        <color indexed="64"/>
      </right>
      <top/>
      <bottom/>
      <diagonal/>
    </border>
    <border>
      <left/>
      <right style="medium">
        <color indexed="64"/>
      </right>
      <top/>
      <bottom/>
      <diagonal/>
    </border>
    <border>
      <left style="dotted">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dotted">
        <color indexed="64"/>
      </bottom>
      <diagonal/>
    </border>
    <border>
      <left style="dotted">
        <color indexed="64"/>
      </left>
      <right/>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diagonal/>
    </border>
    <border>
      <left style="dotted">
        <color indexed="64"/>
      </left>
      <right style="dotted">
        <color indexed="64"/>
      </right>
      <top/>
      <bottom style="thin">
        <color indexed="64"/>
      </bottom>
      <diagonal/>
    </border>
    <border>
      <left/>
      <right/>
      <top style="dotted">
        <color indexed="64"/>
      </top>
      <bottom/>
      <diagonal/>
    </border>
    <border>
      <left style="dotted">
        <color indexed="64"/>
      </left>
      <right style="dotted">
        <color indexed="64"/>
      </right>
      <top style="dotted">
        <color indexed="64"/>
      </top>
      <bottom/>
      <diagonal/>
    </border>
    <border>
      <left/>
      <right style="medium">
        <color indexed="64"/>
      </right>
      <top style="dotted">
        <color indexed="64"/>
      </top>
      <bottom/>
      <diagonal/>
    </border>
    <border>
      <left style="dotted">
        <color indexed="64"/>
      </left>
      <right/>
      <top style="thin">
        <color indexed="64"/>
      </top>
      <bottom style="double">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auto="1"/>
      </left>
      <right/>
      <top/>
      <bottom style="medium">
        <color auto="1"/>
      </bottom>
      <diagonal/>
    </border>
    <border>
      <left/>
      <right/>
      <top/>
      <bottom style="medium">
        <color indexed="64"/>
      </bottom>
      <diagonal/>
    </border>
    <border>
      <left/>
      <right style="dotted">
        <color indexed="64"/>
      </right>
      <top/>
      <bottom style="dotted">
        <color indexed="64"/>
      </bottom>
      <diagonal/>
    </border>
    <border>
      <left/>
      <right style="dotted">
        <color indexed="64"/>
      </right>
      <top style="dotted">
        <color indexed="64"/>
      </top>
      <bottom style="thin">
        <color indexed="64"/>
      </bottom>
      <diagonal/>
    </border>
    <border>
      <left/>
      <right style="dotted">
        <color indexed="64"/>
      </right>
      <top/>
      <bottom/>
      <diagonal/>
    </border>
    <border>
      <left/>
      <right style="dotted">
        <color indexed="64"/>
      </right>
      <top style="dotted">
        <color indexed="64"/>
      </top>
      <bottom/>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bottom style="double">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style="dotted">
        <color indexed="64"/>
      </bottom>
      <diagonal/>
    </border>
    <border>
      <left/>
      <right style="dotted">
        <color indexed="64"/>
      </right>
      <top style="medium">
        <color indexed="64"/>
      </top>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style="thin">
        <color indexed="64"/>
      </top>
      <bottom style="double">
        <color indexed="64"/>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thick">
        <color indexed="58"/>
      </bottom>
      <diagonal/>
    </border>
    <border>
      <left/>
      <right/>
      <top/>
      <bottom style="medium">
        <color indexed="24"/>
      </bottom>
      <diagonal/>
    </border>
    <border>
      <left/>
      <right/>
      <top/>
      <bottom style="medium">
        <color indexed="58"/>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double">
        <color indexed="53"/>
      </bottom>
      <diagonal/>
    </border>
    <border>
      <left/>
      <right/>
      <top/>
      <bottom style="double">
        <color indexed="17"/>
      </bottom>
      <diagonal/>
    </border>
    <border>
      <left/>
      <right style="hair">
        <color indexed="64"/>
      </right>
      <top/>
      <bottom style="thin">
        <color indexed="64"/>
      </bottom>
      <diagonal/>
    </border>
    <border>
      <left/>
      <right style="hair">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hair">
        <color indexed="64"/>
      </top>
      <bottom/>
      <diagonal/>
    </border>
    <border>
      <left/>
      <right/>
      <top style="thin">
        <color indexed="48"/>
      </top>
      <bottom style="double">
        <color indexed="48"/>
      </bottom>
      <diagonal/>
    </border>
    <border>
      <left/>
      <right/>
      <top style="double">
        <color indexed="8"/>
      </top>
      <bottom/>
      <diagonal/>
    </border>
    <border>
      <left/>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s>
  <cellStyleXfs count="2277">
    <xf numFmtId="0" fontId="0" fillId="0" borderId="0"/>
    <xf numFmtId="43" fontId="1" fillId="0" borderId="0" applyFont="0" applyFill="0" applyBorder="0" applyAlignment="0" applyProtection="0"/>
    <xf numFmtId="43" fontId="6" fillId="0" borderId="0" applyFont="0" applyFill="0" applyBorder="0" applyAlignment="0" applyProtection="0"/>
    <xf numFmtId="39" fontId="9" fillId="0" borderId="0"/>
    <xf numFmtId="39" fontId="9"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6" fillId="0" borderId="0"/>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7" fontId="6" fillId="0" borderId="0">
      <alignment horizontal="left" wrapText="1"/>
    </xf>
    <xf numFmtId="168"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8" fontId="6" fillId="0" borderId="0">
      <alignment horizontal="left" wrapText="1"/>
    </xf>
    <xf numFmtId="168" fontId="6" fillId="0" borderId="0">
      <alignment horizontal="left" wrapText="1"/>
    </xf>
    <xf numFmtId="168" fontId="6" fillId="0" borderId="0">
      <alignment horizontal="left" wrapText="1"/>
    </xf>
    <xf numFmtId="168"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0" fontId="28" fillId="0" borderId="0"/>
    <xf numFmtId="0" fontId="28" fillId="0" borderId="0"/>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0" fontId="28" fillId="0" borderId="0"/>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7" fontId="6" fillId="0" borderId="0">
      <alignment horizontal="left" wrapText="1"/>
    </xf>
    <xf numFmtId="0" fontId="28" fillId="0" borderId="0"/>
    <xf numFmtId="0" fontId="28" fillId="0" borderId="0"/>
    <xf numFmtId="166" fontId="6" fillId="0" borderId="0">
      <alignment horizontal="left" wrapText="1"/>
    </xf>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8"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0" fontId="28" fillId="0" borderId="0"/>
    <xf numFmtId="0" fontId="28" fillId="0" borderId="0"/>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0" fontId="28" fillId="0" borderId="0"/>
    <xf numFmtId="169" fontId="29" fillId="0" borderId="0">
      <alignment horizontal="left"/>
    </xf>
    <xf numFmtId="170" fontId="30" fillId="0" borderId="0">
      <alignment horizontal="left"/>
    </xf>
    <xf numFmtId="0" fontId="16" fillId="17" borderId="0" applyNumberFormat="0" applyBorder="0" applyAlignment="0" applyProtection="0"/>
    <xf numFmtId="0" fontId="1" fillId="3" borderId="0" applyNumberFormat="0" applyBorder="0" applyAlignment="0" applyProtection="0"/>
    <xf numFmtId="0" fontId="16" fillId="18" borderId="0" applyNumberFormat="0" applyBorder="0" applyAlignment="0" applyProtection="0"/>
    <xf numFmtId="0" fontId="1" fillId="5" borderId="0" applyNumberFormat="0" applyBorder="0" applyAlignment="0" applyProtection="0"/>
    <xf numFmtId="0" fontId="16" fillId="19" borderId="0" applyNumberFormat="0" applyBorder="0" applyAlignment="0" applyProtection="0"/>
    <xf numFmtId="0" fontId="1" fillId="7" borderId="0" applyNumberFormat="0" applyBorder="0" applyAlignment="0" applyProtection="0"/>
    <xf numFmtId="0" fontId="16" fillId="20" borderId="0" applyNumberFormat="0" applyBorder="0" applyAlignment="0" applyProtection="0"/>
    <xf numFmtId="0" fontId="1" fillId="9" borderId="0" applyNumberFormat="0" applyBorder="0" applyAlignment="0" applyProtection="0"/>
    <xf numFmtId="0" fontId="16" fillId="21" borderId="0" applyNumberFormat="0" applyBorder="0" applyAlignment="0" applyProtection="0"/>
    <xf numFmtId="0" fontId="1" fillId="11" borderId="0" applyNumberFormat="0" applyBorder="0" applyAlignment="0" applyProtection="0"/>
    <xf numFmtId="0" fontId="16" fillId="22" borderId="0" applyNumberFormat="0" applyBorder="0" applyAlignment="0" applyProtection="0"/>
    <xf numFmtId="0" fontId="1" fillId="13" borderId="0" applyNumberFormat="0" applyBorder="0" applyAlignment="0" applyProtection="0"/>
    <xf numFmtId="0" fontId="16" fillId="23" borderId="0" applyNumberFormat="0" applyBorder="0" applyAlignment="0" applyProtection="0"/>
    <xf numFmtId="0" fontId="1" fillId="4" borderId="0" applyNumberFormat="0" applyBorder="0" applyAlignment="0" applyProtection="0"/>
    <xf numFmtId="0" fontId="16" fillId="18" borderId="0" applyNumberFormat="0" applyBorder="0" applyAlignment="0" applyProtection="0"/>
    <xf numFmtId="0" fontId="1" fillId="6" borderId="0" applyNumberFormat="0" applyBorder="0" applyAlignment="0" applyProtection="0"/>
    <xf numFmtId="0" fontId="16" fillId="24" borderId="0" applyNumberFormat="0" applyBorder="0" applyAlignment="0" applyProtection="0"/>
    <xf numFmtId="0" fontId="1" fillId="8" borderId="0" applyNumberFormat="0" applyBorder="0" applyAlignment="0" applyProtection="0"/>
    <xf numFmtId="0" fontId="16" fillId="25" borderId="0" applyNumberFormat="0" applyBorder="0" applyAlignment="0" applyProtection="0"/>
    <xf numFmtId="0" fontId="1" fillId="10" borderId="0" applyNumberFormat="0" applyBorder="0" applyAlignment="0" applyProtection="0"/>
    <xf numFmtId="0" fontId="16" fillId="23" borderId="0" applyNumberFormat="0" applyBorder="0" applyAlignment="0" applyProtection="0"/>
    <xf numFmtId="0" fontId="1" fillId="12" borderId="0" applyNumberFormat="0" applyBorder="0" applyAlignment="0" applyProtection="0"/>
    <xf numFmtId="0" fontId="16" fillId="26" borderId="0" applyNumberFormat="0" applyBorder="0" applyAlignment="0" applyProtection="0"/>
    <xf numFmtId="0" fontId="1" fillId="14" borderId="0" applyNumberFormat="0" applyBorder="0" applyAlignment="0" applyProtection="0"/>
    <xf numFmtId="0" fontId="31" fillId="23" borderId="0" applyNumberFormat="0" applyBorder="0" applyAlignment="0" applyProtection="0"/>
    <xf numFmtId="0" fontId="31" fillId="18"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3" borderId="0" applyNumberFormat="0" applyBorder="0" applyAlignment="0" applyProtection="0"/>
    <xf numFmtId="0" fontId="31"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3" fillId="38" borderId="0" applyNumberFormat="0" applyBorder="0" applyAlignment="0" applyProtection="0"/>
    <xf numFmtId="0" fontId="33" fillId="36"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37" borderId="0" applyNumberFormat="0" applyBorder="0" applyAlignment="0" applyProtection="0"/>
    <xf numFmtId="0" fontId="32" fillId="42" borderId="0" applyNumberFormat="0" applyBorder="0" applyAlignment="0" applyProtection="0"/>
    <xf numFmtId="0" fontId="33" fillId="30" borderId="0" applyNumberFormat="0" applyBorder="0" applyAlignment="0" applyProtection="0"/>
    <xf numFmtId="0" fontId="33" fillId="43"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44"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2" fillId="37" borderId="0" applyNumberFormat="0" applyBorder="0" applyAlignment="0" applyProtection="0"/>
    <xf numFmtId="0" fontId="32" fillId="35" borderId="0" applyNumberFormat="0" applyBorder="0" applyAlignment="0" applyProtection="0"/>
    <xf numFmtId="0" fontId="32" fillId="30" borderId="0" applyNumberFormat="0" applyBorder="0" applyAlignment="0" applyProtection="0"/>
    <xf numFmtId="0" fontId="32" fillId="38" borderId="0" applyNumberFormat="0" applyBorder="0" applyAlignment="0" applyProtection="0"/>
    <xf numFmtId="0" fontId="33" fillId="30" borderId="0" applyNumberFormat="0" applyBorder="0" applyAlignment="0" applyProtection="0"/>
    <xf numFmtId="0" fontId="33" fillId="37"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6"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2" fillId="27" borderId="0" applyNumberFormat="0" applyBorder="0" applyAlignment="0" applyProtection="0"/>
    <xf numFmtId="0" fontId="32" fillId="40" borderId="0" applyNumberFormat="0" applyBorder="0" applyAlignment="0" applyProtection="0"/>
    <xf numFmtId="0" fontId="32" fillId="29" borderId="0" applyNumberFormat="0" applyBorder="0" applyAlignment="0" applyProtection="0"/>
    <xf numFmtId="0" fontId="33" fillId="29" borderId="0" applyNumberFormat="0" applyBorder="0" applyAlignment="0" applyProtection="0"/>
    <xf numFmtId="0" fontId="33" fillId="3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3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2" fillId="48" borderId="0" applyNumberFormat="0" applyBorder="0" applyAlignment="0" applyProtection="0"/>
    <xf numFmtId="0" fontId="32" fillId="36" borderId="0" applyNumberFormat="0" applyBorder="0" applyAlignment="0" applyProtection="0"/>
    <xf numFmtId="0" fontId="32" fillId="49"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4" fillId="36" borderId="0" applyNumberFormat="0" applyBorder="0" applyAlignment="0" applyProtection="0"/>
    <xf numFmtId="0" fontId="35" fillId="48" borderId="0" applyNumberFormat="0" applyBorder="0" applyAlignment="0" applyProtection="0"/>
    <xf numFmtId="0" fontId="30" fillId="0" borderId="0" applyFont="0" applyFill="0" applyBorder="0" applyAlignment="0" applyProtection="0">
      <alignment horizontal="right"/>
    </xf>
    <xf numFmtId="171" fontId="36" fillId="0" borderId="0" applyFill="0" applyBorder="0" applyAlignment="0"/>
    <xf numFmtId="0" fontId="37" fillId="53" borderId="81" applyNumberFormat="0" applyAlignment="0" applyProtection="0"/>
    <xf numFmtId="0" fontId="38" fillId="54" borderId="82" applyNumberFormat="0" applyAlignment="0" applyProtection="0"/>
    <xf numFmtId="0" fontId="39" fillId="38" borderId="83" applyNumberFormat="0" applyAlignment="0" applyProtection="0"/>
    <xf numFmtId="0" fontId="39" fillId="46" borderId="83" applyNumberFormat="0" applyAlignment="0" applyProtection="0"/>
    <xf numFmtId="41" fontId="6" fillId="55"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40" fillId="0" borderId="0" applyFont="0" applyFill="0" applyBorder="0" applyAlignment="0" applyProtection="0"/>
    <xf numFmtId="0" fontId="41" fillId="0" borderId="0"/>
    <xf numFmtId="0" fontId="41" fillId="0" borderId="0"/>
    <xf numFmtId="0" fontId="42" fillId="0" borderId="0"/>
    <xf numFmtId="3" fontId="43" fillId="0" borderId="0" applyFont="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172" fontId="44" fillId="0" borderId="0">
      <protection locked="0"/>
    </xf>
    <xf numFmtId="0" fontId="42" fillId="0" borderId="0"/>
    <xf numFmtId="0" fontId="45" fillId="0" borderId="0" applyNumberFormat="0" applyAlignment="0">
      <alignment horizontal="left"/>
    </xf>
    <xf numFmtId="0" fontId="9" fillId="0" borderId="0" applyNumberFormat="0" applyAlignment="0"/>
    <xf numFmtId="0" fontId="41" fillId="0" borderId="0"/>
    <xf numFmtId="0" fontId="42" fillId="0" borderId="0"/>
    <xf numFmtId="0" fontId="41" fillId="0" borderId="0"/>
    <xf numFmtId="0" fontId="42" fillId="0" borderId="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2" fillId="0" borderId="0" applyFont="0" applyFill="0" applyBorder="0" applyAlignment="0" applyProtection="0"/>
    <xf numFmtId="44" fontId="4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3" fontId="6" fillId="0" borderId="0" applyFont="0" applyFill="0" applyBorder="0" applyAlignment="0" applyProtection="0"/>
    <xf numFmtId="0" fontId="40"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7" fillId="56" borderId="0" applyNumberFormat="0" applyBorder="0" applyAlignment="0" applyProtection="0"/>
    <xf numFmtId="0" fontId="47" fillId="57" borderId="0" applyNumberFormat="0" applyBorder="0" applyAlignment="0" applyProtection="0"/>
    <xf numFmtId="0" fontId="47" fillId="58" borderId="0" applyNumberFormat="0" applyBorder="0" applyAlignment="0" applyProtection="0"/>
    <xf numFmtId="0" fontId="47" fillId="59" borderId="0" applyNumberFormat="0" applyBorder="0" applyAlignment="0" applyProtection="0"/>
    <xf numFmtId="0" fontId="47" fillId="60" borderId="0" applyNumberFormat="0" applyBorder="0" applyAlignment="0" applyProtection="0"/>
    <xf numFmtId="174" fontId="6" fillId="0" borderId="0"/>
    <xf numFmtId="175" fontId="6" fillId="0" borderId="0" applyFont="0" applyFill="0" applyBorder="0" applyAlignment="0" applyProtection="0">
      <alignment horizontal="left" wrapText="1"/>
    </xf>
    <xf numFmtId="0" fontId="48" fillId="0" borderId="0" applyNumberFormat="0" applyFill="0" applyBorder="0" applyAlignment="0" applyProtection="0"/>
    <xf numFmtId="2" fontId="40" fillId="0" borderId="0" applyFont="0" applyFill="0" applyBorder="0" applyAlignment="0" applyProtection="0"/>
    <xf numFmtId="0" fontId="41" fillId="0" borderId="0"/>
    <xf numFmtId="0" fontId="49" fillId="61" borderId="0" applyNumberFormat="0" applyBorder="0" applyAlignment="0" applyProtection="0"/>
    <xf numFmtId="0" fontId="32" fillId="42" borderId="0" applyNumberFormat="0" applyBorder="0" applyAlignment="0" applyProtection="0"/>
    <xf numFmtId="38" fontId="50" fillId="55" borderId="0" applyNumberFormat="0" applyBorder="0" applyAlignment="0" applyProtection="0"/>
    <xf numFmtId="38" fontId="50" fillId="55" borderId="0" applyNumberFormat="0" applyBorder="0" applyAlignment="0" applyProtection="0"/>
    <xf numFmtId="38" fontId="50" fillId="55" borderId="0" applyNumberFormat="0" applyBorder="0" applyAlignment="0" applyProtection="0"/>
    <xf numFmtId="38" fontId="50" fillId="55" borderId="0" applyNumberFormat="0" applyBorder="0" applyAlignment="0" applyProtection="0"/>
    <xf numFmtId="176" fontId="51" fillId="0" borderId="0" applyNumberFormat="0" applyFill="0" applyBorder="0" applyProtection="0">
      <alignment horizontal="right"/>
    </xf>
    <xf numFmtId="0" fontId="52" fillId="0" borderId="3" applyNumberFormat="0" applyAlignment="0" applyProtection="0">
      <alignment horizontal="left"/>
    </xf>
    <xf numFmtId="0" fontId="52" fillId="0" borderId="80">
      <alignment horizontal="left"/>
    </xf>
    <xf numFmtId="14" fontId="53" fillId="62" borderId="41">
      <alignment horizontal="center" vertical="center" wrapText="1"/>
    </xf>
    <xf numFmtId="0" fontId="54" fillId="0" borderId="84" applyNumberFormat="0" applyFill="0" applyAlignment="0" applyProtection="0"/>
    <xf numFmtId="0" fontId="55" fillId="0" borderId="85" applyNumberFormat="0" applyFill="0" applyAlignment="0" applyProtection="0"/>
    <xf numFmtId="0" fontId="55" fillId="0" borderId="86" applyNumberFormat="0" applyFill="0" applyAlignment="0" applyProtection="0"/>
    <xf numFmtId="0" fontId="56" fillId="0" borderId="87" applyNumberFormat="0" applyFill="0" applyAlignment="0" applyProtection="0"/>
    <xf numFmtId="0" fontId="56" fillId="0" borderId="88" applyNumberFormat="0" applyFill="0" applyAlignment="0" applyProtection="0"/>
    <xf numFmtId="0" fontId="56" fillId="0" borderId="0" applyNumberFormat="0" applyFill="0" applyBorder="0" applyAlignment="0" applyProtection="0"/>
    <xf numFmtId="38" fontId="57" fillId="0" borderId="0"/>
    <xf numFmtId="40" fontId="57" fillId="0" borderId="0"/>
    <xf numFmtId="10" fontId="50" fillId="63" borderId="89" applyNumberFormat="0" applyBorder="0" applyAlignment="0" applyProtection="0"/>
    <xf numFmtId="10" fontId="50" fillId="63" borderId="89" applyNumberFormat="0" applyBorder="0" applyAlignment="0" applyProtection="0"/>
    <xf numFmtId="10" fontId="50" fillId="63" borderId="89" applyNumberFormat="0" applyBorder="0" applyAlignment="0" applyProtection="0"/>
    <xf numFmtId="10" fontId="50" fillId="63" borderId="89" applyNumberFormat="0" applyBorder="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2"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41" fontId="59" fillId="64" borderId="90">
      <alignment horizontal="left"/>
      <protection locked="0"/>
    </xf>
    <xf numFmtId="10" fontId="59" fillId="64" borderId="90">
      <alignment horizontal="right"/>
      <protection locked="0"/>
    </xf>
    <xf numFmtId="41" fontId="59" fillId="64" borderId="90">
      <alignment horizontal="left"/>
      <protection locked="0"/>
    </xf>
    <xf numFmtId="0" fontId="50" fillId="55" borderId="0"/>
    <xf numFmtId="3" fontId="60" fillId="0" borderId="0" applyFill="0" applyBorder="0" applyAlignment="0" applyProtection="0"/>
    <xf numFmtId="0" fontId="61" fillId="0" borderId="91" applyNumberFormat="0" applyFill="0" applyAlignment="0" applyProtection="0"/>
    <xf numFmtId="0" fontId="49" fillId="0" borderId="92" applyNumberFormat="0" applyFill="0" applyAlignment="0" applyProtection="0"/>
    <xf numFmtId="44" fontId="53" fillId="0" borderId="93" applyNumberFormat="0" applyFont="0" applyAlignment="0">
      <alignment horizontal="center"/>
    </xf>
    <xf numFmtId="44" fontId="53" fillId="0" borderId="93" applyNumberFormat="0" applyFont="0" applyAlignment="0">
      <alignment horizontal="center"/>
    </xf>
    <xf numFmtId="44" fontId="53" fillId="0" borderId="93" applyNumberFormat="0" applyFont="0" applyAlignment="0">
      <alignment horizontal="center"/>
    </xf>
    <xf numFmtId="44" fontId="53" fillId="0" borderId="93" applyNumberFormat="0" applyFont="0" applyAlignment="0">
      <alignment horizontal="center"/>
    </xf>
    <xf numFmtId="44" fontId="53" fillId="0" borderId="94" applyNumberFormat="0" applyFont="0" applyAlignment="0">
      <alignment horizontal="center"/>
    </xf>
    <xf numFmtId="44" fontId="53" fillId="0" borderId="94" applyNumberFormat="0" applyFont="0" applyAlignment="0">
      <alignment horizontal="center"/>
    </xf>
    <xf numFmtId="44" fontId="53" fillId="0" borderId="94" applyNumberFormat="0" applyFont="0" applyAlignment="0">
      <alignment horizontal="center"/>
    </xf>
    <xf numFmtId="44" fontId="53" fillId="0" borderId="94" applyNumberFormat="0" applyFont="0" applyAlignment="0">
      <alignment horizontal="center"/>
    </xf>
    <xf numFmtId="0" fontId="62" fillId="49" borderId="0" applyNumberFormat="0" applyBorder="0" applyAlignment="0" applyProtection="0"/>
    <xf numFmtId="0" fontId="49" fillId="49" borderId="0" applyNumberFormat="0" applyBorder="0" applyAlignment="0" applyProtection="0"/>
    <xf numFmtId="37" fontId="63" fillId="0" borderId="0"/>
    <xf numFmtId="177" fontId="64" fillId="0" borderId="0"/>
    <xf numFmtId="178" fontId="6" fillId="0" borderId="0"/>
    <xf numFmtId="178" fontId="6" fillId="0" borderId="0"/>
    <xf numFmtId="178" fontId="6" fillId="0" borderId="0"/>
    <xf numFmtId="0" fontId="6" fillId="0" borderId="0"/>
    <xf numFmtId="0" fontId="1" fillId="0" borderId="0"/>
    <xf numFmtId="39" fontId="9" fillId="0" borderId="0"/>
    <xf numFmtId="0" fontId="6"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46" fillId="0" borderId="0"/>
    <xf numFmtId="39" fontId="9" fillId="0" borderId="0"/>
    <xf numFmtId="0" fontId="46"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 fillId="0" borderId="0"/>
    <xf numFmtId="0" fontId="1"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 fillId="0" borderId="0"/>
    <xf numFmtId="0" fontId="65" fillId="0" borderId="0"/>
    <xf numFmtId="0" fontId="65" fillId="0" borderId="0"/>
    <xf numFmtId="0" fontId="65" fillId="0" borderId="0"/>
    <xf numFmtId="0" fontId="6" fillId="0" borderId="0"/>
    <xf numFmtId="0" fontId="65" fillId="0" borderId="0"/>
    <xf numFmtId="0" fontId="65" fillId="0" borderId="0"/>
    <xf numFmtId="0" fontId="32"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6" fillId="0" borderId="0"/>
    <xf numFmtId="39" fontId="9" fillId="0" borderId="0"/>
    <xf numFmtId="39" fontId="9" fillId="0" borderId="0"/>
    <xf numFmtId="0" fontId="6" fillId="0" borderId="0"/>
    <xf numFmtId="0" fontId="6" fillId="0" borderId="0"/>
    <xf numFmtId="0" fontId="6" fillId="0" borderId="0"/>
    <xf numFmtId="0" fontId="6" fillId="0" borderId="0"/>
    <xf numFmtId="0" fontId="6"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32"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6"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167" fontId="6" fillId="0" borderId="0">
      <alignment horizontal="left" wrapText="1"/>
    </xf>
    <xf numFmtId="167" fontId="6" fillId="0" borderId="0">
      <alignment horizontal="left" wrapText="1"/>
    </xf>
    <xf numFmtId="167" fontId="6" fillId="0" borderId="0">
      <alignment horizontal="left" wrapText="1"/>
    </xf>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167" fontId="6" fillId="0" borderId="0">
      <alignment horizontal="left" wrapText="1"/>
    </xf>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39" fontId="9" fillId="0" borderId="0"/>
    <xf numFmtId="0" fontId="1" fillId="0" borderId="0"/>
    <xf numFmtId="0" fontId="6" fillId="0" borderId="0"/>
    <xf numFmtId="0" fontId="6" fillId="0" borderId="0"/>
    <xf numFmtId="167" fontId="6" fillId="0" borderId="0">
      <alignment horizontal="left" wrapText="1"/>
    </xf>
    <xf numFmtId="0" fontId="6" fillId="0" borderId="0"/>
    <xf numFmtId="0" fontId="1" fillId="0" borderId="0"/>
    <xf numFmtId="3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39" fontId="9" fillId="0" borderId="0"/>
    <xf numFmtId="0" fontId="1" fillId="0" borderId="0"/>
    <xf numFmtId="39" fontId="9" fillId="0" borderId="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6" fillId="48" borderId="95"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66" fillId="53" borderId="96" applyNumberFormat="0" applyAlignment="0" applyProtection="0"/>
    <xf numFmtId="0" fontId="66" fillId="54" borderId="96" applyNumberFormat="0" applyAlignment="0" applyProtection="0"/>
    <xf numFmtId="0" fontId="41" fillId="0" borderId="0"/>
    <xf numFmtId="0" fontId="41" fillId="0" borderId="0"/>
    <xf numFmtId="0" fontId="42" fillId="0" borderId="0"/>
    <xf numFmtId="179"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6" fillId="0" borderId="0" applyFont="0" applyFill="0" applyBorder="0" applyAlignment="0" applyProtection="0"/>
    <xf numFmtId="9" fontId="67" fillId="0" borderId="0" applyFont="0" applyFill="0" applyBorder="0" applyAlignment="0" applyProtection="0"/>
    <xf numFmtId="9" fontId="68" fillId="0" borderId="0" applyFont="0" applyFill="0" applyBorder="0" applyAlignment="0" applyProtection="0"/>
    <xf numFmtId="41" fontId="6" fillId="65" borderId="90"/>
    <xf numFmtId="0" fontId="67" fillId="0" borderId="0" applyNumberFormat="0" applyFont="0" applyFill="0" applyBorder="0" applyAlignment="0" applyProtection="0">
      <alignment horizontal="left"/>
    </xf>
    <xf numFmtId="15" fontId="67" fillId="0" borderId="0" applyFont="0" applyFill="0" applyBorder="0" applyAlignment="0" applyProtection="0"/>
    <xf numFmtId="4" fontId="67" fillId="0" borderId="0" applyFont="0" applyFill="0" applyBorder="0" applyAlignment="0" applyProtection="0"/>
    <xf numFmtId="0" fontId="69" fillId="0" borderId="41">
      <alignment horizontal="center"/>
    </xf>
    <xf numFmtId="3" fontId="67" fillId="0" borderId="0" applyFont="0" applyFill="0" applyBorder="0" applyAlignment="0" applyProtection="0"/>
    <xf numFmtId="0" fontId="67" fillId="66" borderId="0" applyNumberFormat="0" applyFont="0" applyBorder="0" applyAlignment="0" applyProtection="0"/>
    <xf numFmtId="0" fontId="42" fillId="0" borderId="0"/>
    <xf numFmtId="3" fontId="70" fillId="0" borderId="0" applyFill="0" applyBorder="0" applyAlignment="0" applyProtection="0"/>
    <xf numFmtId="0" fontId="71" fillId="0" borderId="0"/>
    <xf numFmtId="3" fontId="70" fillId="0" borderId="0" applyFill="0" applyBorder="0" applyAlignment="0" applyProtection="0"/>
    <xf numFmtId="42" fontId="6" fillId="63" borderId="0"/>
    <xf numFmtId="42" fontId="6" fillId="63" borderId="37">
      <alignment vertical="center"/>
    </xf>
    <xf numFmtId="0" fontId="53" fillId="63" borderId="23" applyNumberFormat="0">
      <alignment horizontal="center" vertical="center" wrapText="1"/>
    </xf>
    <xf numFmtId="10" fontId="6" fillId="63" borderId="0"/>
    <xf numFmtId="180" fontId="6" fillId="63" borderId="0"/>
    <xf numFmtId="164" fontId="57" fillId="0" borderId="0" applyBorder="0" applyAlignment="0"/>
    <xf numFmtId="42" fontId="6" fillId="63" borderId="79">
      <alignment horizontal="left"/>
    </xf>
    <xf numFmtId="180" fontId="7" fillId="63" borderId="79">
      <alignment horizontal="left"/>
    </xf>
    <xf numFmtId="164" fontId="57" fillId="0" borderId="0" applyBorder="0" applyAlignment="0"/>
    <xf numFmtId="14" fontId="68" fillId="0" borderId="0" applyNumberFormat="0" applyFill="0" applyBorder="0" applyAlignment="0" applyProtection="0">
      <alignment horizontal="left"/>
    </xf>
    <xf numFmtId="181" fontId="6" fillId="0" borderId="0" applyFont="0" applyFill="0" applyAlignment="0">
      <alignment horizontal="right"/>
    </xf>
    <xf numFmtId="4" fontId="72" fillId="67" borderId="97" applyNumberFormat="0" applyProtection="0">
      <alignment vertical="center"/>
    </xf>
    <xf numFmtId="4" fontId="50" fillId="67" borderId="82" applyNumberFormat="0" applyProtection="0">
      <alignment vertical="center"/>
    </xf>
    <xf numFmtId="4" fontId="73" fillId="67" borderId="97" applyNumberFormat="0" applyProtection="0">
      <alignment vertical="center"/>
    </xf>
    <xf numFmtId="4" fontId="74" fillId="64" borderId="82" applyNumberFormat="0" applyProtection="0">
      <alignment vertical="center"/>
    </xf>
    <xf numFmtId="4" fontId="72" fillId="67" borderId="97" applyNumberFormat="0" applyProtection="0">
      <alignment horizontal="left" vertical="center" indent="1"/>
    </xf>
    <xf numFmtId="4" fontId="50" fillId="64" borderId="82" applyNumberFormat="0" applyProtection="0">
      <alignment horizontal="left" vertical="center" indent="1"/>
    </xf>
    <xf numFmtId="0" fontId="72" fillId="67" borderId="97" applyNumberFormat="0" applyProtection="0">
      <alignment horizontal="left" vertical="top" indent="1"/>
    </xf>
    <xf numFmtId="0" fontId="75" fillId="67" borderId="97" applyNumberFormat="0" applyProtection="0">
      <alignment horizontal="left" vertical="top" indent="1"/>
    </xf>
    <xf numFmtId="4" fontId="72" fillId="17"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4" fontId="16" fillId="22" borderId="97" applyNumberFormat="0" applyProtection="0">
      <alignment horizontal="right" vertical="center"/>
    </xf>
    <xf numFmtId="4" fontId="50" fillId="22" borderId="82" applyNumberFormat="0" applyProtection="0">
      <alignment horizontal="right" vertical="center"/>
    </xf>
    <xf numFmtId="4" fontId="16" fillId="18" borderId="97" applyNumberFormat="0" applyProtection="0">
      <alignment horizontal="right" vertical="center"/>
    </xf>
    <xf numFmtId="4" fontId="50" fillId="68" borderId="82" applyNumberFormat="0" applyProtection="0">
      <alignment horizontal="right" vertical="center"/>
    </xf>
    <xf numFmtId="4" fontId="16" fillId="69" borderId="97" applyNumberFormat="0" applyProtection="0">
      <alignment horizontal="right" vertical="center"/>
    </xf>
    <xf numFmtId="4" fontId="50" fillId="69" borderId="98" applyNumberFormat="0" applyProtection="0">
      <alignment horizontal="right" vertical="center"/>
    </xf>
    <xf numFmtId="4" fontId="16" fillId="70" borderId="97" applyNumberFormat="0" applyProtection="0">
      <alignment horizontal="right" vertical="center"/>
    </xf>
    <xf numFmtId="4" fontId="50" fillId="70" borderId="82" applyNumberFormat="0" applyProtection="0">
      <alignment horizontal="right" vertical="center"/>
    </xf>
    <xf numFmtId="4" fontId="16" fillId="71" borderId="97" applyNumberFormat="0" applyProtection="0">
      <alignment horizontal="right" vertical="center"/>
    </xf>
    <xf numFmtId="4" fontId="50" fillId="71" borderId="82" applyNumberFormat="0" applyProtection="0">
      <alignment horizontal="right" vertical="center"/>
    </xf>
    <xf numFmtId="4" fontId="16" fillId="72" borderId="97" applyNumberFormat="0" applyProtection="0">
      <alignment horizontal="right" vertical="center"/>
    </xf>
    <xf numFmtId="4" fontId="50" fillId="72" borderId="82" applyNumberFormat="0" applyProtection="0">
      <alignment horizontal="right" vertical="center"/>
    </xf>
    <xf numFmtId="4" fontId="16" fillId="24" borderId="97" applyNumberFormat="0" applyProtection="0">
      <alignment horizontal="right" vertical="center"/>
    </xf>
    <xf numFmtId="4" fontId="50" fillId="24" borderId="82" applyNumberFormat="0" applyProtection="0">
      <alignment horizontal="right" vertical="center"/>
    </xf>
    <xf numFmtId="4" fontId="16" fillId="73" borderId="97" applyNumberFormat="0" applyProtection="0">
      <alignment horizontal="right" vertical="center"/>
    </xf>
    <xf numFmtId="4" fontId="50" fillId="73" borderId="82" applyNumberFormat="0" applyProtection="0">
      <alignment horizontal="right" vertical="center"/>
    </xf>
    <xf numFmtId="4" fontId="16" fillId="74" borderId="97" applyNumberFormat="0" applyProtection="0">
      <alignment horizontal="right" vertical="center"/>
    </xf>
    <xf numFmtId="4" fontId="50" fillId="74" borderId="82" applyNumberFormat="0" applyProtection="0">
      <alignment horizontal="right" vertical="center"/>
    </xf>
    <xf numFmtId="4" fontId="72" fillId="75" borderId="99" applyNumberFormat="0" applyProtection="0">
      <alignment horizontal="left" vertical="center" indent="1"/>
    </xf>
    <xf numFmtId="4" fontId="50" fillId="75" borderId="98" applyNumberFormat="0" applyProtection="0">
      <alignment horizontal="left" vertical="center" indent="1"/>
    </xf>
    <xf numFmtId="4" fontId="16" fillId="76" borderId="0" applyNumberFormat="0" applyProtection="0">
      <alignment horizontal="left" vertical="center" indent="1"/>
    </xf>
    <xf numFmtId="4" fontId="6" fillId="23" borderId="98" applyNumberFormat="0" applyProtection="0">
      <alignment horizontal="left" vertical="center" indent="1"/>
    </xf>
    <xf numFmtId="4" fontId="76" fillId="23" borderId="0" applyNumberFormat="0" applyProtection="0">
      <alignment horizontal="left" vertical="center" indent="1"/>
    </xf>
    <xf numFmtId="4" fontId="6" fillId="23" borderId="98" applyNumberFormat="0" applyProtection="0">
      <alignment horizontal="left" vertical="center" indent="1"/>
    </xf>
    <xf numFmtId="4" fontId="16" fillId="17" borderId="97" applyNumberFormat="0" applyProtection="0">
      <alignment horizontal="right" vertical="center"/>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4" fontId="16" fillId="76" borderId="0" applyNumberFormat="0" applyProtection="0">
      <alignment horizontal="left" vertical="center" indent="1"/>
    </xf>
    <xf numFmtId="4" fontId="16" fillId="76" borderId="0" applyNumberFormat="0" applyProtection="0">
      <alignment horizontal="left" vertical="center" indent="1"/>
    </xf>
    <xf numFmtId="4" fontId="50" fillId="76" borderId="98" applyNumberFormat="0" applyProtection="0">
      <alignment horizontal="left" vertical="center" indent="1"/>
    </xf>
    <xf numFmtId="4" fontId="16" fillId="17" borderId="0" applyNumberFormat="0" applyProtection="0">
      <alignment horizontal="left" vertical="center" indent="1"/>
    </xf>
    <xf numFmtId="4" fontId="16" fillId="17" borderId="0" applyNumberFormat="0" applyProtection="0">
      <alignment horizontal="left" vertical="center" indent="1"/>
    </xf>
    <xf numFmtId="4" fontId="50" fillId="17" borderId="98" applyNumberFormat="0" applyProtection="0">
      <alignment horizontal="left" vertical="center" indent="1"/>
    </xf>
    <xf numFmtId="0" fontId="6" fillId="23" borderId="97"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23" borderId="97" applyNumberFormat="0" applyProtection="0">
      <alignment horizontal="left" vertical="top"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17" borderId="97"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17" borderId="97" applyNumberFormat="0" applyProtection="0">
      <alignment horizontal="left" vertical="top"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21" borderId="97"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21" borderId="97" applyNumberFormat="0" applyProtection="0">
      <alignment horizontal="left" vertical="top"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76" borderId="97"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6" borderId="97" applyNumberFormat="0" applyProtection="0">
      <alignment horizontal="left" vertical="top"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20" borderId="89" applyNumberFormat="0">
      <protection locked="0"/>
    </xf>
    <xf numFmtId="0" fontId="50" fillId="20" borderId="100" applyNumberFormat="0">
      <protection locked="0"/>
    </xf>
    <xf numFmtId="0" fontId="57" fillId="23" borderId="101" applyBorder="0"/>
    <xf numFmtId="4" fontId="16" fillId="19" borderId="97" applyNumberFormat="0" applyProtection="0">
      <alignment vertical="center"/>
    </xf>
    <xf numFmtId="4" fontId="77" fillId="19" borderId="97" applyNumberFormat="0" applyProtection="0">
      <alignment vertical="center"/>
    </xf>
    <xf numFmtId="4" fontId="78" fillId="19" borderId="97" applyNumberFormat="0" applyProtection="0">
      <alignment vertical="center"/>
    </xf>
    <xf numFmtId="4" fontId="74" fillId="80" borderId="89" applyNumberFormat="0" applyProtection="0">
      <alignment vertical="center"/>
    </xf>
    <xf numFmtId="4" fontId="16" fillId="19" borderId="97" applyNumberFormat="0" applyProtection="0">
      <alignment horizontal="left" vertical="center" indent="1"/>
    </xf>
    <xf numFmtId="4" fontId="77" fillId="25" borderId="97" applyNumberFormat="0" applyProtection="0">
      <alignment horizontal="left" vertical="center" indent="1"/>
    </xf>
    <xf numFmtId="0" fontId="16" fillId="19" borderId="97" applyNumberFormat="0" applyProtection="0">
      <alignment horizontal="left" vertical="top" indent="1"/>
    </xf>
    <xf numFmtId="0" fontId="77" fillId="19" borderId="97" applyNumberFormat="0" applyProtection="0">
      <alignment horizontal="left" vertical="top" indent="1"/>
    </xf>
    <xf numFmtId="4" fontId="16" fillId="76" borderId="97" applyNumberFormat="0" applyProtection="0">
      <alignment horizontal="right" vertical="center"/>
    </xf>
    <xf numFmtId="4" fontId="50" fillId="0" borderId="82" applyNumberFormat="0" applyProtection="0">
      <alignment horizontal="right" vertical="center"/>
    </xf>
    <xf numFmtId="4" fontId="78" fillId="76" borderId="97" applyNumberFormat="0" applyProtection="0">
      <alignment horizontal="right" vertical="center"/>
    </xf>
    <xf numFmtId="4" fontId="74" fillId="63" borderId="82" applyNumberFormat="0" applyProtection="0">
      <alignment horizontal="right" vertical="center"/>
    </xf>
    <xf numFmtId="4" fontId="16" fillId="17" borderId="97"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16" fillId="17" borderId="97" applyNumberFormat="0" applyProtection="0">
      <alignment horizontal="left" vertical="top"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4" fontId="79" fillId="81" borderId="0" applyNumberFormat="0" applyProtection="0">
      <alignment horizontal="left" vertical="center" indent="1"/>
    </xf>
    <xf numFmtId="4" fontId="80" fillId="81" borderId="98" applyNumberFormat="0" applyProtection="0">
      <alignment horizontal="left" vertical="center" indent="1"/>
    </xf>
    <xf numFmtId="0" fontId="50" fillId="82" borderId="89"/>
    <xf numFmtId="4" fontId="81" fillId="76" borderId="97" applyNumberFormat="0" applyProtection="0">
      <alignment horizontal="right" vertical="center"/>
    </xf>
    <xf numFmtId="4" fontId="82" fillId="20" borderId="82" applyNumberFormat="0" applyProtection="0">
      <alignment horizontal="right" vertical="center"/>
    </xf>
    <xf numFmtId="39" fontId="6" fillId="83" borderId="0"/>
    <xf numFmtId="0" fontId="83" fillId="0" borderId="0" applyNumberFormat="0" applyFill="0" applyBorder="0" applyAlignment="0" applyProtection="0"/>
    <xf numFmtId="38" fontId="50" fillId="0" borderId="102"/>
    <xf numFmtId="38" fontId="50" fillId="0" borderId="102"/>
    <xf numFmtId="38" fontId="50" fillId="0" borderId="102"/>
    <xf numFmtId="38" fontId="50" fillId="0" borderId="102"/>
    <xf numFmtId="38" fontId="57" fillId="0" borderId="79"/>
    <xf numFmtId="39" fontId="68" fillId="84" borderId="0"/>
    <xf numFmtId="182" fontId="6" fillId="0" borderId="0">
      <alignment horizontal="left" wrapText="1"/>
    </xf>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40" fontId="84" fillId="0" borderId="0" applyBorder="0">
      <alignment horizontal="right"/>
    </xf>
    <xf numFmtId="41" fontId="85" fillId="63" borderId="0">
      <alignment horizontal="left"/>
    </xf>
    <xf numFmtId="0" fontId="86" fillId="0" borderId="0"/>
    <xf numFmtId="0" fontId="87" fillId="0" borderId="0" applyFill="0" applyBorder="0" applyProtection="0">
      <alignment horizontal="left" vertical="top"/>
    </xf>
    <xf numFmtId="0" fontId="83" fillId="0" borderId="0" applyNumberFormat="0" applyFill="0" applyBorder="0" applyAlignment="0" applyProtection="0"/>
    <xf numFmtId="183" fontId="88" fillId="63" borderId="0">
      <alignment horizontal="left" vertical="center"/>
    </xf>
    <xf numFmtId="0" fontId="53" fillId="63" borderId="0">
      <alignment horizontal="left" wrapText="1"/>
    </xf>
    <xf numFmtId="0" fontId="89" fillId="0" borderId="0">
      <alignment horizontal="left" vertical="center"/>
    </xf>
    <xf numFmtId="0" fontId="47" fillId="0" borderId="103" applyNumberFormat="0" applyFill="0" applyAlignment="0" applyProtection="0"/>
    <xf numFmtId="0" fontId="42" fillId="0" borderId="104"/>
    <xf numFmtId="0" fontId="90" fillId="0" borderId="0" applyNumberFormat="0" applyFill="0" applyBorder="0" applyAlignment="0" applyProtection="0"/>
    <xf numFmtId="0" fontId="91"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98">
    <xf numFmtId="0" fontId="0" fillId="0" borderId="0" xfId="0"/>
    <xf numFmtId="0" fontId="0" fillId="0" borderId="0" xfId="0" applyAlignment="1">
      <alignment horizontal="left"/>
    </xf>
    <xf numFmtId="0" fontId="0" fillId="0" borderId="0" xfId="0" applyFill="1"/>
    <xf numFmtId="0" fontId="3" fillId="15" borderId="2" xfId="0" applyFont="1" applyFill="1" applyBorder="1" applyAlignment="1">
      <alignment horizontal="center" wrapText="1"/>
    </xf>
    <xf numFmtId="0" fontId="3" fillId="15" borderId="3" xfId="0" applyFont="1" applyFill="1" applyBorder="1" applyAlignment="1">
      <alignment horizontal="center" wrapText="1"/>
    </xf>
    <xf numFmtId="0" fontId="3" fillId="15" borderId="3" xfId="0" applyFont="1" applyFill="1" applyBorder="1" applyAlignment="1">
      <alignment horizontal="center"/>
    </xf>
    <xf numFmtId="17" fontId="3" fillId="15" borderId="3" xfId="0" applyNumberFormat="1" applyFont="1" applyFill="1" applyBorder="1" applyAlignment="1">
      <alignment horizontal="center" wrapText="1"/>
    </xf>
    <xf numFmtId="17" fontId="3" fillId="15" borderId="4" xfId="0" applyNumberFormat="1" applyFont="1" applyFill="1" applyBorder="1" applyAlignment="1">
      <alignment horizontal="center" wrapText="1"/>
    </xf>
    <xf numFmtId="0" fontId="0" fillId="0" borderId="0" xfId="0" applyAlignment="1">
      <alignment horizontal="center" vertical="center" wrapText="1"/>
    </xf>
    <xf numFmtId="49" fontId="0" fillId="0" borderId="6" xfId="0" applyNumberFormat="1" applyFill="1" applyBorder="1" applyAlignment="1">
      <alignment horizontal="center"/>
    </xf>
    <xf numFmtId="0" fontId="0" fillId="0" borderId="6" xfId="0" applyFill="1" applyBorder="1"/>
    <xf numFmtId="0" fontId="0" fillId="0" borderId="8" xfId="0" applyFill="1" applyBorder="1" applyAlignment="1">
      <alignment horizontal="center"/>
    </xf>
    <xf numFmtId="164" fontId="0" fillId="0" borderId="6" xfId="0" applyNumberFormat="1" applyFill="1" applyBorder="1"/>
    <xf numFmtId="164" fontId="0" fillId="0" borderId="6" xfId="1" applyNumberFormat="1" applyFont="1" applyFill="1" applyBorder="1" applyAlignment="1">
      <alignment horizontal="center"/>
    </xf>
    <xf numFmtId="164" fontId="0" fillId="0" borderId="9" xfId="0" applyNumberFormat="1" applyFill="1" applyBorder="1"/>
    <xf numFmtId="43" fontId="7" fillId="0" borderId="5" xfId="2" applyFont="1" applyFill="1" applyBorder="1" applyAlignment="1" applyProtection="1">
      <alignment horizontal="justify"/>
    </xf>
    <xf numFmtId="17" fontId="0" fillId="0" borderId="12" xfId="0" applyNumberFormat="1" applyFill="1" applyBorder="1" applyAlignment="1">
      <alignment horizontal="center"/>
    </xf>
    <xf numFmtId="164" fontId="0" fillId="0" borderId="11" xfId="0" applyNumberFormat="1" applyFill="1" applyBorder="1"/>
    <xf numFmtId="164" fontId="0" fillId="0" borderId="13" xfId="0" applyNumberFormat="1" applyFill="1" applyBorder="1"/>
    <xf numFmtId="39" fontId="10" fillId="0" borderId="6" xfId="3" applyFont="1" applyFill="1" applyBorder="1" applyAlignment="1" applyProtection="1">
      <alignment horizontal="left"/>
    </xf>
    <xf numFmtId="165" fontId="0" fillId="0" borderId="16" xfId="0" applyNumberFormat="1" applyFill="1" applyBorder="1" applyAlignment="1">
      <alignment horizontal="center"/>
    </xf>
    <xf numFmtId="164" fontId="3" fillId="0" borderId="15" xfId="0" applyNumberFormat="1" applyFont="1" applyFill="1" applyBorder="1"/>
    <xf numFmtId="164" fontId="3" fillId="0" borderId="17" xfId="0" applyNumberFormat="1" applyFont="1" applyFill="1" applyBorder="1"/>
    <xf numFmtId="43" fontId="11" fillId="0" borderId="18" xfId="2" applyFont="1" applyFill="1" applyBorder="1" applyAlignment="1" applyProtection="1">
      <alignment horizontal="justify"/>
    </xf>
    <xf numFmtId="49" fontId="12" fillId="0" borderId="0" xfId="0" applyNumberFormat="1" applyFont="1" applyFill="1" applyBorder="1" applyAlignment="1">
      <alignment horizontal="center"/>
    </xf>
    <xf numFmtId="39" fontId="13" fillId="0" borderId="0" xfId="3" applyFont="1" applyFill="1" applyBorder="1" applyAlignment="1" applyProtection="1">
      <alignment horizontal="right"/>
    </xf>
    <xf numFmtId="0" fontId="14" fillId="16" borderId="19" xfId="0" applyFont="1" applyFill="1" applyBorder="1" applyAlignment="1">
      <alignment horizontal="center"/>
    </xf>
    <xf numFmtId="165" fontId="12" fillId="16" borderId="20" xfId="0" applyNumberFormat="1" applyFont="1" applyFill="1" applyBorder="1" applyAlignment="1">
      <alignment horizontal="center"/>
    </xf>
    <xf numFmtId="164" fontId="13" fillId="16" borderId="0" xfId="0" applyNumberFormat="1" applyFont="1" applyFill="1" applyBorder="1"/>
    <xf numFmtId="165" fontId="12" fillId="16" borderId="0" xfId="0" applyNumberFormat="1" applyFont="1" applyFill="1" applyBorder="1" applyAlignment="1">
      <alignment horizontal="center"/>
    </xf>
    <xf numFmtId="164" fontId="13" fillId="16" borderId="21" xfId="0" applyNumberFormat="1" applyFont="1" applyFill="1" applyBorder="1"/>
    <xf numFmtId="0" fontId="12" fillId="0" borderId="0" xfId="0" applyFont="1"/>
    <xf numFmtId="49" fontId="0" fillId="0" borderId="5" xfId="0" applyNumberFormat="1" applyFill="1" applyBorder="1" applyAlignment="1">
      <alignment horizontal="center"/>
    </xf>
    <xf numFmtId="164" fontId="0" fillId="0" borderId="6" xfId="1" applyNumberFormat="1" applyFont="1" applyFill="1" applyBorder="1"/>
    <xf numFmtId="164" fontId="0" fillId="0" borderId="9" xfId="1" applyNumberFormat="1" applyFont="1" applyFill="1" applyBorder="1"/>
    <xf numFmtId="0" fontId="0" fillId="0" borderId="0" xfId="0" applyBorder="1"/>
    <xf numFmtId="0" fontId="0" fillId="0" borderId="22" xfId="0" applyBorder="1" applyAlignment="1">
      <alignment horizontal="center"/>
    </xf>
    <xf numFmtId="164" fontId="0" fillId="0" borderId="23" xfId="0" applyNumberFormat="1" applyFill="1" applyBorder="1"/>
    <xf numFmtId="164" fontId="0" fillId="0" borderId="24" xfId="1" applyNumberFormat="1" applyFont="1" applyFill="1" applyBorder="1"/>
    <xf numFmtId="49" fontId="0" fillId="0" borderId="25" xfId="0" applyNumberFormat="1" applyFill="1" applyBorder="1" applyAlignment="1">
      <alignment horizontal="center"/>
    </xf>
    <xf numFmtId="49" fontId="0" fillId="0" borderId="15" xfId="0" applyNumberFormat="1" applyFill="1" applyBorder="1" applyAlignment="1">
      <alignment horizontal="center"/>
    </xf>
    <xf numFmtId="39" fontId="10" fillId="0" borderId="15" xfId="3" applyFont="1" applyFill="1" applyBorder="1" applyAlignment="1" applyProtection="1">
      <alignment horizontal="left"/>
    </xf>
    <xf numFmtId="0" fontId="0" fillId="0" borderId="16" xfId="0" applyFill="1" applyBorder="1" applyAlignment="1">
      <alignment horizontal="center"/>
    </xf>
    <xf numFmtId="49" fontId="14" fillId="0" borderId="18" xfId="0" applyNumberFormat="1" applyFont="1" applyFill="1" applyBorder="1" applyAlignment="1">
      <alignment horizontal="center"/>
    </xf>
    <xf numFmtId="49" fontId="14" fillId="0" borderId="0" xfId="0" applyNumberFormat="1" applyFont="1" applyFill="1" applyBorder="1" applyAlignment="1">
      <alignment horizontal="center"/>
    </xf>
    <xf numFmtId="0" fontId="14" fillId="16" borderId="26" xfId="0" applyFont="1" applyFill="1" applyBorder="1" applyAlignment="1">
      <alignment horizontal="center"/>
    </xf>
    <xf numFmtId="0" fontId="14" fillId="16" borderId="20" xfId="0" applyFont="1" applyFill="1" applyBorder="1" applyAlignment="1">
      <alignment horizontal="center"/>
    </xf>
    <xf numFmtId="43" fontId="12" fillId="16" borderId="0" xfId="0" applyNumberFormat="1" applyFont="1" applyFill="1" applyBorder="1" applyAlignment="1">
      <alignment horizontal="center"/>
    </xf>
    <xf numFmtId="0" fontId="14" fillId="16" borderId="0" xfId="0" applyFont="1" applyFill="1" applyBorder="1" applyAlignment="1">
      <alignment horizontal="center"/>
    </xf>
    <xf numFmtId="164" fontId="15" fillId="16" borderId="0" xfId="0" applyNumberFormat="1" applyFont="1" applyFill="1" applyBorder="1"/>
    <xf numFmtId="0" fontId="14" fillId="0" borderId="0" xfId="0" applyFont="1"/>
    <xf numFmtId="164" fontId="0" fillId="0" borderId="6" xfId="0" applyNumberFormat="1" applyFill="1" applyBorder="1" applyAlignment="1">
      <alignment horizontal="center"/>
    </xf>
    <xf numFmtId="164" fontId="0" fillId="0" borderId="6" xfId="0" applyNumberFormat="1" applyFont="1" applyFill="1" applyBorder="1"/>
    <xf numFmtId="164" fontId="0" fillId="0" borderId="9" xfId="0" applyNumberFormat="1" applyFont="1" applyFill="1" applyBorder="1"/>
    <xf numFmtId="0" fontId="0" fillId="0" borderId="27" xfId="0" applyFill="1" applyBorder="1"/>
    <xf numFmtId="0" fontId="0" fillId="0" borderId="29" xfId="0" applyFill="1" applyBorder="1"/>
    <xf numFmtId="164" fontId="3" fillId="0" borderId="28" xfId="0" applyNumberFormat="1" applyFont="1" applyFill="1" applyBorder="1"/>
    <xf numFmtId="164" fontId="3" fillId="0" borderId="30" xfId="0" applyNumberFormat="1" applyFont="1" applyFill="1" applyBorder="1"/>
    <xf numFmtId="0" fontId="3" fillId="0" borderId="15" xfId="0" applyFont="1" applyFill="1" applyBorder="1"/>
    <xf numFmtId="0" fontId="0" fillId="0" borderId="14" xfId="0" applyFill="1" applyBorder="1"/>
    <xf numFmtId="0" fontId="0" fillId="0" borderId="16" xfId="0" applyFill="1" applyBorder="1"/>
    <xf numFmtId="49" fontId="16" fillId="0" borderId="6" xfId="3" applyNumberFormat="1" applyFont="1" applyFill="1" applyBorder="1" applyAlignment="1">
      <alignment horizontal="center"/>
    </xf>
    <xf numFmtId="164" fontId="0" fillId="0" borderId="0" xfId="0" applyNumberFormat="1"/>
    <xf numFmtId="164" fontId="0" fillId="0" borderId="0" xfId="1" applyNumberFormat="1" applyFont="1" applyFill="1" applyBorder="1"/>
    <xf numFmtId="0" fontId="0" fillId="0" borderId="14" xfId="0" applyFill="1" applyBorder="1" applyAlignment="1">
      <alignment horizontal="center"/>
    </xf>
    <xf numFmtId="0" fontId="0" fillId="0" borderId="31" xfId="0" applyFill="1" applyBorder="1" applyAlignment="1">
      <alignment wrapText="1"/>
    </xf>
    <xf numFmtId="0" fontId="0" fillId="0" borderId="0" xfId="0" applyFill="1" applyBorder="1"/>
    <xf numFmtId="41" fontId="13" fillId="16" borderId="0" xfId="0" applyNumberFormat="1" applyFont="1" applyFill="1" applyBorder="1"/>
    <xf numFmtId="0" fontId="0" fillId="0" borderId="6" xfId="0" applyFont="1" applyFill="1" applyBorder="1"/>
    <xf numFmtId="0" fontId="3" fillId="0" borderId="6" xfId="0" applyFont="1" applyFill="1" applyBorder="1"/>
    <xf numFmtId="0" fontId="14" fillId="16" borderId="8" xfId="0" applyFont="1" applyFill="1" applyBorder="1" applyAlignment="1">
      <alignment horizontal="center"/>
    </xf>
    <xf numFmtId="0" fontId="14" fillId="16" borderId="6" xfId="0" applyFont="1" applyFill="1" applyBorder="1" applyAlignment="1">
      <alignment horizontal="center"/>
    </xf>
    <xf numFmtId="164" fontId="0" fillId="0" borderId="19" xfId="0" applyNumberFormat="1" applyFill="1" applyBorder="1"/>
    <xf numFmtId="164" fontId="13" fillId="16" borderId="6" xfId="0" applyNumberFormat="1" applyFont="1" applyFill="1" applyBorder="1"/>
    <xf numFmtId="0" fontId="0" fillId="0" borderId="14" xfId="0" applyFill="1" applyBorder="1" applyAlignment="1">
      <alignment wrapText="1"/>
    </xf>
    <xf numFmtId="164" fontId="3" fillId="0" borderId="0" xfId="0" applyNumberFormat="1" applyFont="1" applyFill="1" applyBorder="1"/>
    <xf numFmtId="0" fontId="0" fillId="0" borderId="5" xfId="0" applyBorder="1" applyAlignment="1">
      <alignment horizontal="left"/>
    </xf>
    <xf numFmtId="0" fontId="0" fillId="0" borderId="6" xfId="0" applyBorder="1" applyAlignment="1">
      <alignment horizontal="left"/>
    </xf>
    <xf numFmtId="164" fontId="0" fillId="0" borderId="24" xfId="0" applyNumberFormat="1" applyFill="1" applyBorder="1"/>
    <xf numFmtId="0" fontId="0" fillId="0" borderId="5" xfId="0" applyBorder="1"/>
    <xf numFmtId="0" fontId="0" fillId="0" borderId="6" xfId="0" applyBorder="1"/>
    <xf numFmtId="0" fontId="0" fillId="0" borderId="8" xfId="0" applyBorder="1"/>
    <xf numFmtId="164" fontId="0" fillId="0" borderId="6" xfId="0" quotePrefix="1" applyNumberFormat="1" applyFill="1" applyBorder="1" applyAlignment="1">
      <alignment horizontal="center"/>
    </xf>
    <xf numFmtId="0" fontId="0" fillId="0" borderId="33" xfId="0" applyBorder="1"/>
    <xf numFmtId="0" fontId="0" fillId="0" borderId="33" xfId="0" applyFill="1" applyBorder="1"/>
    <xf numFmtId="0" fontId="3" fillId="0" borderId="6" xfId="0" applyFont="1" applyBorder="1"/>
    <xf numFmtId="164" fontId="3" fillId="0" borderId="37" xfId="0" applyNumberFormat="1" applyFont="1" applyBorder="1"/>
    <xf numFmtId="164" fontId="3" fillId="0" borderId="39" xfId="0" applyNumberFormat="1" applyFont="1" applyBorder="1"/>
    <xf numFmtId="49" fontId="14" fillId="0" borderId="40" xfId="0" applyNumberFormat="1" applyFont="1" applyFill="1" applyBorder="1" applyAlignment="1">
      <alignment horizontal="center"/>
    </xf>
    <xf numFmtId="49" fontId="14" fillId="0" borderId="41" xfId="0" applyNumberFormat="1" applyFont="1" applyFill="1" applyBorder="1" applyAlignment="1">
      <alignment horizontal="center"/>
    </xf>
    <xf numFmtId="39" fontId="13" fillId="0" borderId="41" xfId="3" applyFont="1" applyFill="1" applyBorder="1" applyAlignment="1" applyProtection="1">
      <alignment horizontal="right"/>
    </xf>
    <xf numFmtId="0" fontId="14" fillId="16" borderId="41" xfId="0" applyFont="1" applyFill="1" applyBorder="1" applyAlignment="1">
      <alignment horizontal="center"/>
    </xf>
    <xf numFmtId="164" fontId="13" fillId="16" borderId="41" xfId="0" applyNumberFormat="1" applyFont="1" applyFill="1" applyBorder="1"/>
    <xf numFmtId="164" fontId="15" fillId="16" borderId="41" xfId="0" applyNumberFormat="1" applyFont="1" applyFill="1" applyBorder="1"/>
    <xf numFmtId="43" fontId="0" fillId="0" borderId="0" xfId="0" applyNumberFormat="1"/>
    <xf numFmtId="0" fontId="0" fillId="0" borderId="7" xfId="0" applyFill="1" applyBorder="1" applyAlignment="1">
      <alignment horizontal="center"/>
    </xf>
    <xf numFmtId="0" fontId="0" fillId="0" borderId="42" xfId="0" applyFill="1" applyBorder="1" applyAlignment="1">
      <alignment horizontal="center"/>
    </xf>
    <xf numFmtId="164" fontId="0" fillId="0" borderId="15" xfId="0" applyNumberFormat="1" applyFill="1" applyBorder="1" applyAlignment="1">
      <alignment horizontal="center"/>
    </xf>
    <xf numFmtId="0" fontId="0" fillId="0" borderId="10" xfId="0" applyFill="1" applyBorder="1" applyAlignment="1">
      <alignment horizontal="center"/>
    </xf>
    <xf numFmtId="17" fontId="0" fillId="0" borderId="43" xfId="0" applyNumberFormat="1" applyFill="1" applyBorder="1" applyAlignment="1">
      <alignment horizontal="center"/>
    </xf>
    <xf numFmtId="165" fontId="0" fillId="0" borderId="42" xfId="0" applyNumberFormat="1" applyFill="1" applyBorder="1" applyAlignment="1">
      <alignment horizontal="center"/>
    </xf>
    <xf numFmtId="0" fontId="12" fillId="16" borderId="19" xfId="0" applyFont="1" applyFill="1" applyBorder="1" applyAlignment="1">
      <alignment horizontal="center"/>
    </xf>
    <xf numFmtId="165" fontId="12" fillId="16" borderId="8" xfId="0" applyNumberFormat="1" applyFont="1" applyFill="1" applyBorder="1" applyAlignment="1">
      <alignment horizontal="center"/>
    </xf>
    <xf numFmtId="43" fontId="12" fillId="16" borderId="6" xfId="0" applyNumberFormat="1" applyFont="1" applyFill="1" applyBorder="1" applyAlignment="1">
      <alignment horizontal="center"/>
    </xf>
    <xf numFmtId="0" fontId="0" fillId="0" borderId="31" xfId="0" applyFill="1" applyBorder="1" applyAlignment="1">
      <alignment horizontal="center"/>
    </xf>
    <xf numFmtId="164" fontId="0" fillId="0" borderId="0" xfId="0" applyNumberFormat="1" applyFill="1" applyBorder="1" applyAlignment="1">
      <alignment horizontal="center"/>
    </xf>
    <xf numFmtId="0" fontId="0" fillId="0" borderId="14" xfId="0" applyFill="1" applyBorder="1" applyAlignment="1"/>
    <xf numFmtId="0" fontId="0" fillId="0" borderId="34" xfId="0" applyFill="1" applyBorder="1" applyAlignment="1">
      <alignment horizontal="center"/>
    </xf>
    <xf numFmtId="0" fontId="0" fillId="0" borderId="44" xfId="0" applyFill="1" applyBorder="1" applyAlignment="1">
      <alignment horizontal="center"/>
    </xf>
    <xf numFmtId="0" fontId="0" fillId="0" borderId="47" xfId="0" applyFill="1" applyBorder="1"/>
    <xf numFmtId="43" fontId="12" fillId="16" borderId="19" xfId="0" applyNumberFormat="1" applyFont="1" applyFill="1" applyBorder="1" applyAlignment="1">
      <alignment horizontal="center"/>
    </xf>
    <xf numFmtId="164" fontId="15" fillId="16" borderId="6" xfId="0" applyNumberFormat="1" applyFont="1" applyFill="1" applyBorder="1"/>
    <xf numFmtId="164" fontId="13" fillId="16" borderId="9" xfId="0" applyNumberFormat="1" applyFont="1" applyFill="1" applyBorder="1"/>
    <xf numFmtId="17" fontId="0" fillId="0" borderId="20" xfId="0" applyNumberFormat="1" applyFill="1" applyBorder="1" applyAlignment="1">
      <alignment horizontal="center"/>
    </xf>
    <xf numFmtId="164" fontId="0" fillId="0" borderId="0" xfId="0" applyNumberFormat="1" applyFont="1" applyFill="1" applyBorder="1"/>
    <xf numFmtId="164" fontId="0" fillId="0" borderId="10" xfId="0" applyNumberFormat="1" applyFont="1" applyFill="1" applyBorder="1"/>
    <xf numFmtId="164" fontId="0" fillId="0" borderId="11" xfId="0" applyNumberFormat="1" applyFont="1" applyFill="1" applyBorder="1"/>
    <xf numFmtId="164" fontId="0" fillId="0" borderId="13" xfId="0" applyNumberFormat="1" applyFont="1" applyFill="1" applyBorder="1"/>
    <xf numFmtId="0" fontId="0" fillId="0" borderId="8" xfId="0" applyFill="1" applyBorder="1"/>
    <xf numFmtId="49" fontId="14" fillId="0" borderId="5" xfId="0" applyNumberFormat="1" applyFont="1" applyFill="1" applyBorder="1" applyAlignment="1">
      <alignment horizontal="center"/>
    </xf>
    <xf numFmtId="49" fontId="14" fillId="0" borderId="6" xfId="0" applyNumberFormat="1" applyFont="1" applyFill="1" applyBorder="1" applyAlignment="1">
      <alignment horizontal="center"/>
    </xf>
    <xf numFmtId="39" fontId="13" fillId="0" borderId="48" xfId="3" applyFont="1" applyFill="1" applyBorder="1" applyAlignment="1" applyProtection="1">
      <alignment horizontal="right"/>
    </xf>
    <xf numFmtId="0" fontId="14" fillId="16" borderId="48" xfId="0" applyFont="1" applyFill="1" applyBorder="1" applyAlignment="1">
      <alignment horizontal="center"/>
    </xf>
    <xf numFmtId="0" fontId="14" fillId="0" borderId="0" xfId="0" applyFont="1" applyFill="1"/>
    <xf numFmtId="164" fontId="15" fillId="0" borderId="6" xfId="0" applyNumberFormat="1" applyFont="1" applyFill="1" applyBorder="1"/>
    <xf numFmtId="43" fontId="13" fillId="16" borderId="0" xfId="0" applyNumberFormat="1" applyFont="1" applyFill="1" applyBorder="1"/>
    <xf numFmtId="0" fontId="0" fillId="0" borderId="22" xfId="0" applyFill="1" applyBorder="1" applyAlignment="1">
      <alignment horizontal="center"/>
    </xf>
    <xf numFmtId="0" fontId="0" fillId="0" borderId="42" xfId="0" applyFill="1" applyBorder="1"/>
    <xf numFmtId="0" fontId="14" fillId="16" borderId="44" xfId="0" applyFont="1" applyFill="1" applyBorder="1" applyAlignment="1">
      <alignment horizontal="center"/>
    </xf>
    <xf numFmtId="0" fontId="0" fillId="0" borderId="19" xfId="0" applyFill="1" applyBorder="1" applyAlignment="1">
      <alignment horizontal="center"/>
    </xf>
    <xf numFmtId="17" fontId="0" fillId="0" borderId="8" xfId="0" applyNumberFormat="1" applyFill="1" applyBorder="1" applyAlignment="1">
      <alignment horizontal="center"/>
    </xf>
    <xf numFmtId="17" fontId="0" fillId="0" borderId="48" xfId="0" applyNumberFormat="1" applyFill="1" applyBorder="1" applyAlignment="1">
      <alignment horizontal="center"/>
    </xf>
    <xf numFmtId="17" fontId="0" fillId="0" borderId="32" xfId="0" applyNumberFormat="1" applyFill="1" applyBorder="1" applyAlignment="1">
      <alignment horizontal="center"/>
    </xf>
    <xf numFmtId="17" fontId="0" fillId="0" borderId="46" xfId="0" applyNumberFormat="1" applyFill="1" applyBorder="1" applyAlignment="1">
      <alignment horizontal="center"/>
    </xf>
    <xf numFmtId="0" fontId="0" fillId="0" borderId="5" xfId="0" applyFill="1" applyBorder="1" applyAlignment="1">
      <alignment horizontal="left"/>
    </xf>
    <xf numFmtId="0" fontId="0" fillId="0" borderId="6" xfId="0" applyFill="1" applyBorder="1" applyAlignment="1">
      <alignment horizontal="left"/>
    </xf>
    <xf numFmtId="0" fontId="0" fillId="0" borderId="5" xfId="0" applyFill="1" applyBorder="1"/>
    <xf numFmtId="164" fontId="0" fillId="0" borderId="21" xfId="0" applyNumberFormat="1" applyFill="1" applyBorder="1"/>
    <xf numFmtId="0" fontId="0" fillId="0" borderId="19" xfId="0" applyFill="1" applyBorder="1"/>
    <xf numFmtId="0" fontId="0" fillId="0" borderId="8" xfId="0" quotePrefix="1" applyFill="1" applyBorder="1" applyAlignment="1">
      <alignment horizontal="center"/>
    </xf>
    <xf numFmtId="0" fontId="0" fillId="0" borderId="48" xfId="0" quotePrefix="1" applyFill="1" applyBorder="1" applyAlignment="1">
      <alignment horizontal="center"/>
    </xf>
    <xf numFmtId="0" fontId="0" fillId="0" borderId="31" xfId="0" applyFill="1" applyBorder="1"/>
    <xf numFmtId="0" fontId="0" fillId="0" borderId="12" xfId="0" applyFill="1" applyBorder="1"/>
    <xf numFmtId="0" fontId="0" fillId="0" borderId="34" xfId="0" applyFill="1" applyBorder="1"/>
    <xf numFmtId="0" fontId="0" fillId="0" borderId="35" xfId="0" applyFill="1" applyBorder="1"/>
    <xf numFmtId="0" fontId="0" fillId="0" borderId="36" xfId="0" applyFill="1" applyBorder="1"/>
    <xf numFmtId="0" fontId="0" fillId="0" borderId="49" xfId="0" applyFill="1" applyBorder="1"/>
    <xf numFmtId="0" fontId="0" fillId="0" borderId="38" xfId="0" applyFill="1" applyBorder="1"/>
    <xf numFmtId="164" fontId="3" fillId="0" borderId="37" xfId="0" applyNumberFormat="1" applyFont="1" applyFill="1" applyBorder="1"/>
    <xf numFmtId="164" fontId="3" fillId="0" borderId="39" xfId="0" applyNumberFormat="1" applyFont="1" applyFill="1" applyBorder="1"/>
    <xf numFmtId="164" fontId="13" fillId="16" borderId="50" xfId="0" applyNumberFormat="1" applyFont="1" applyFill="1" applyBorder="1"/>
    <xf numFmtId="0" fontId="0" fillId="0" borderId="0" xfId="0" applyFill="1" applyAlignment="1">
      <alignment horizontal="left"/>
    </xf>
    <xf numFmtId="0" fontId="21" fillId="0" borderId="0" xfId="0" applyFont="1"/>
    <xf numFmtId="0" fontId="3" fillId="0" borderId="0" xfId="0" applyFont="1"/>
    <xf numFmtId="0" fontId="0" fillId="0" borderId="41" xfId="0" applyBorder="1"/>
    <xf numFmtId="0" fontId="3" fillId="15" borderId="54" xfId="0" applyFont="1" applyFill="1" applyBorder="1" applyAlignment="1">
      <alignment horizontal="center" wrapText="1"/>
    </xf>
    <xf numFmtId="17" fontId="3" fillId="15" borderId="55" xfId="0" applyNumberFormat="1" applyFont="1" applyFill="1" applyBorder="1" applyAlignment="1">
      <alignment horizontal="center" wrapText="1"/>
    </xf>
    <xf numFmtId="0" fontId="0" fillId="0" borderId="63" xfId="0" applyFill="1" applyBorder="1"/>
    <xf numFmtId="0" fontId="0" fillId="0" borderId="63" xfId="0" applyBorder="1"/>
    <xf numFmtId="0" fontId="0" fillId="0" borderId="48" xfId="0" applyBorder="1"/>
    <xf numFmtId="164" fontId="0" fillId="0" borderId="65" xfId="1" applyNumberFormat="1" applyFont="1" applyBorder="1"/>
    <xf numFmtId="0" fontId="3" fillId="0" borderId="8" xfId="0" applyFont="1" applyBorder="1"/>
    <xf numFmtId="164" fontId="3" fillId="0" borderId="38" xfId="0" applyNumberFormat="1" applyFont="1" applyFill="1" applyBorder="1"/>
    <xf numFmtId="0" fontId="3" fillId="0" borderId="38" xfId="0" applyFont="1" applyFill="1" applyBorder="1"/>
    <xf numFmtId="164" fontId="3" fillId="0" borderId="66" xfId="0" applyNumberFormat="1" applyFont="1" applyBorder="1"/>
    <xf numFmtId="0" fontId="0" fillId="0" borderId="67" xfId="0" applyBorder="1"/>
    <xf numFmtId="0" fontId="0" fillId="0" borderId="68" xfId="0" applyBorder="1"/>
    <xf numFmtId="0" fontId="12" fillId="0" borderId="69" xfId="0" applyFont="1" applyBorder="1" applyAlignment="1">
      <alignment horizontal="right"/>
    </xf>
    <xf numFmtId="164" fontId="12" fillId="0" borderId="69" xfId="0" applyNumberFormat="1" applyFont="1" applyFill="1" applyBorder="1"/>
    <xf numFmtId="0" fontId="14" fillId="0" borderId="69" xfId="0" applyFont="1" applyFill="1" applyBorder="1"/>
    <xf numFmtId="164" fontId="12" fillId="0" borderId="69" xfId="0" applyNumberFormat="1" applyFont="1" applyFill="1" applyBorder="1" applyAlignment="1">
      <alignment horizontal="right"/>
    </xf>
    <xf numFmtId="164" fontId="0" fillId="0" borderId="0" xfId="0" applyNumberFormat="1" applyFill="1"/>
    <xf numFmtId="41" fontId="24" fillId="0" borderId="0" xfId="0" applyNumberFormat="1" applyFont="1" applyFill="1" applyAlignment="1">
      <alignment horizontal="left"/>
    </xf>
    <xf numFmtId="41" fontId="24" fillId="0" borderId="0" xfId="0" applyNumberFormat="1" applyFont="1" applyAlignment="1">
      <alignment horizontal="left"/>
    </xf>
    <xf numFmtId="164" fontId="0" fillId="0" borderId="71" xfId="0" applyNumberFormat="1" applyFill="1" applyBorder="1"/>
    <xf numFmtId="164" fontId="0" fillId="0" borderId="23" xfId="1" applyNumberFormat="1" applyFont="1" applyFill="1" applyBorder="1"/>
    <xf numFmtId="0" fontId="0" fillId="0" borderId="21" xfId="0" applyBorder="1"/>
    <xf numFmtId="0" fontId="2" fillId="0" borderId="0" xfId="0" applyFont="1"/>
    <xf numFmtId="17" fontId="25" fillId="0" borderId="0" xfId="0" applyNumberFormat="1" applyFont="1" applyFill="1" applyBorder="1" applyAlignment="1">
      <alignment horizontal="center" wrapText="1"/>
    </xf>
    <xf numFmtId="164" fontId="12" fillId="0" borderId="0" xfId="0" applyNumberFormat="1" applyFont="1" applyFill="1" applyAlignment="1">
      <alignment horizontal="right"/>
    </xf>
    <xf numFmtId="0" fontId="0" fillId="0" borderId="48" xfId="0" applyFill="1" applyBorder="1"/>
    <xf numFmtId="164" fontId="0" fillId="0" borderId="65" xfId="1" applyNumberFormat="1" applyFont="1" applyFill="1" applyBorder="1"/>
    <xf numFmtId="164" fontId="26" fillId="0" borderId="0" xfId="0" applyNumberFormat="1" applyFont="1" applyFill="1" applyAlignment="1">
      <alignment horizontal="right"/>
    </xf>
    <xf numFmtId="0" fontId="3" fillId="0" borderId="8" xfId="0" applyFont="1" applyFill="1" applyBorder="1"/>
    <xf numFmtId="164" fontId="3" fillId="0" borderId="66" xfId="0" applyNumberFormat="1" applyFont="1" applyFill="1" applyBorder="1"/>
    <xf numFmtId="164" fontId="13" fillId="0" borderId="0" xfId="0" applyNumberFormat="1" applyFont="1" applyFill="1"/>
    <xf numFmtId="0" fontId="0" fillId="0" borderId="67" xfId="0" applyFill="1" applyBorder="1"/>
    <xf numFmtId="0" fontId="0" fillId="0" borderId="68" xfId="0" applyFill="1" applyBorder="1"/>
    <xf numFmtId="0" fontId="12" fillId="0" borderId="69" xfId="0" applyFont="1" applyFill="1" applyBorder="1" applyAlignment="1">
      <alignment horizontal="right"/>
    </xf>
    <xf numFmtId="164" fontId="2" fillId="0" borderId="69" xfId="0" applyNumberFormat="1" applyFont="1" applyFill="1" applyBorder="1"/>
    <xf numFmtId="0" fontId="2" fillId="0" borderId="69" xfId="0" applyFont="1" applyFill="1" applyBorder="1"/>
    <xf numFmtId="164" fontId="2" fillId="0" borderId="70" xfId="0" applyNumberFormat="1" applyFont="1" applyFill="1" applyBorder="1"/>
    <xf numFmtId="164" fontId="13" fillId="16" borderId="35" xfId="0" applyNumberFormat="1" applyFont="1" applyFill="1" applyBorder="1"/>
    <xf numFmtId="164" fontId="0" fillId="0" borderId="19" xfId="0" applyNumberFormat="1" applyFill="1" applyBorder="1" applyAlignment="1">
      <alignment horizontal="center"/>
    </xf>
    <xf numFmtId="164" fontId="0" fillId="0" borderId="0" xfId="0" applyNumberFormat="1" applyFill="1" applyBorder="1"/>
    <xf numFmtId="0" fontId="0" fillId="0" borderId="21" xfId="0" applyFill="1" applyBorder="1"/>
    <xf numFmtId="0" fontId="14" fillId="16" borderId="50" xfId="0" applyFont="1" applyFill="1" applyBorder="1"/>
    <xf numFmtId="0" fontId="0" fillId="0" borderId="52" xfId="0" applyFill="1" applyBorder="1" applyAlignment="1">
      <alignment horizontal="left"/>
    </xf>
    <xf numFmtId="0" fontId="0" fillId="0" borderId="15" xfId="0" applyFill="1" applyBorder="1" applyAlignment="1">
      <alignment horizontal="left"/>
    </xf>
    <xf numFmtId="0" fontId="3" fillId="0" borderId="6" xfId="0" applyFont="1" applyFill="1" applyBorder="1" applyAlignment="1">
      <alignment horizontal="left"/>
    </xf>
    <xf numFmtId="164" fontId="3" fillId="0" borderId="21" xfId="0" applyNumberFormat="1" applyFont="1" applyFill="1" applyBorder="1"/>
    <xf numFmtId="164" fontId="0" fillId="0" borderId="33" xfId="0" applyNumberFormat="1" applyFill="1" applyBorder="1"/>
    <xf numFmtId="164" fontId="0" fillId="0" borderId="33" xfId="1" applyNumberFormat="1" applyFont="1" applyFill="1" applyBorder="1" applyAlignment="1">
      <alignment horizontal="center"/>
    </xf>
    <xf numFmtId="0" fontId="0" fillId="0" borderId="0" xfId="0" applyNumberFormat="1" applyFill="1" applyBorder="1" applyAlignment="1">
      <alignment horizontal="left"/>
    </xf>
    <xf numFmtId="0" fontId="0" fillId="0" borderId="0" xfId="0" applyFill="1" applyBorder="1" applyAlignment="1">
      <alignment horizontal="left"/>
    </xf>
    <xf numFmtId="0" fontId="0" fillId="0" borderId="72" xfId="0" applyFill="1" applyBorder="1" applyAlignment="1">
      <alignment horizontal="left"/>
    </xf>
    <xf numFmtId="164" fontId="0" fillId="0" borderId="11" xfId="1" applyNumberFormat="1" applyFont="1" applyFill="1" applyBorder="1" applyAlignment="1">
      <alignment horizontal="center"/>
    </xf>
    <xf numFmtId="164" fontId="0" fillId="0" borderId="35" xfId="0" applyNumberFormat="1" applyFill="1" applyBorder="1"/>
    <xf numFmtId="0" fontId="0" fillId="15" borderId="51" xfId="0" applyFill="1" applyBorder="1"/>
    <xf numFmtId="17" fontId="3" fillId="15" borderId="56" xfId="0" applyNumberFormat="1" applyFont="1" applyFill="1" applyBorder="1" applyAlignment="1">
      <alignment horizontal="center" wrapText="1"/>
    </xf>
    <xf numFmtId="17" fontId="3" fillId="15" borderId="57" xfId="0" applyNumberFormat="1" applyFont="1" applyFill="1" applyBorder="1" applyAlignment="1">
      <alignment horizontal="center" wrapText="1"/>
    </xf>
    <xf numFmtId="17" fontId="3" fillId="15" borderId="58" xfId="0" applyNumberFormat="1" applyFont="1" applyFill="1" applyBorder="1" applyAlignment="1">
      <alignment horizontal="center" wrapText="1"/>
    </xf>
    <xf numFmtId="164" fontId="0" fillId="16" borderId="33" xfId="0" applyNumberFormat="1" applyFill="1" applyBorder="1"/>
    <xf numFmtId="164" fontId="0" fillId="16" borderId="33" xfId="1" applyNumberFormat="1" applyFont="1" applyFill="1" applyBorder="1" applyAlignment="1">
      <alignment horizontal="center"/>
    </xf>
    <xf numFmtId="164" fontId="3" fillId="16" borderId="33" xfId="1" applyNumberFormat="1" applyFont="1" applyFill="1" applyBorder="1" applyAlignment="1">
      <alignment horizontal="center"/>
    </xf>
    <xf numFmtId="164" fontId="3" fillId="16" borderId="33" xfId="0" applyNumberFormat="1" applyFont="1" applyFill="1" applyBorder="1"/>
    <xf numFmtId="164" fontId="3" fillId="16" borderId="9" xfId="0" applyNumberFormat="1" applyFont="1" applyFill="1" applyBorder="1"/>
    <xf numFmtId="0" fontId="3" fillId="0" borderId="0" xfId="0" applyFont="1" applyAlignment="1">
      <alignment horizontal="center"/>
    </xf>
    <xf numFmtId="0" fontId="4" fillId="0" borderId="0" xfId="0" applyFont="1" applyAlignment="1">
      <alignment horizontal="center"/>
    </xf>
    <xf numFmtId="49" fontId="0" fillId="0" borderId="59" xfId="0" applyNumberFormat="1" applyBorder="1" applyAlignment="1">
      <alignment horizontal="left" vertical="top"/>
    </xf>
    <xf numFmtId="49" fontId="0" fillId="0" borderId="60" xfId="0" applyNumberFormat="1" applyBorder="1" applyAlignment="1">
      <alignment horizontal="left" vertical="top"/>
    </xf>
    <xf numFmtId="39" fontId="0" fillId="0" borderId="61" xfId="0" applyNumberFormat="1" applyBorder="1" applyAlignment="1">
      <alignment vertical="top"/>
    </xf>
    <xf numFmtId="164" fontId="0" fillId="0" borderId="61" xfId="1" applyNumberFormat="1" applyFont="1" applyFill="1" applyBorder="1" applyAlignment="1">
      <alignment vertical="top"/>
    </xf>
    <xf numFmtId="164" fontId="0" fillId="0" borderId="62" xfId="1" applyNumberFormat="1" applyFont="1" applyFill="1" applyBorder="1" applyAlignment="1">
      <alignment vertical="top"/>
    </xf>
    <xf numFmtId="49" fontId="0" fillId="0" borderId="63" xfId="0" applyNumberFormat="1" applyBorder="1" applyAlignment="1">
      <alignment horizontal="left" vertical="top"/>
    </xf>
    <xf numFmtId="49" fontId="0" fillId="0" borderId="8" xfId="0" applyNumberFormat="1" applyBorder="1" applyAlignment="1">
      <alignment horizontal="left" vertical="top"/>
    </xf>
    <xf numFmtId="0" fontId="0" fillId="0" borderId="8" xfId="0" applyBorder="1" applyAlignment="1">
      <alignment vertical="top"/>
    </xf>
    <xf numFmtId="164" fontId="0" fillId="0" borderId="8" xfId="1" applyNumberFormat="1" applyFont="1" applyFill="1" applyBorder="1" applyAlignment="1">
      <alignment vertical="top"/>
    </xf>
    <xf numFmtId="164" fontId="0" fillId="0" borderId="64" xfId="1" applyNumberFormat="1" applyFont="1" applyFill="1" applyBorder="1" applyAlignment="1">
      <alignment vertical="top"/>
    </xf>
    <xf numFmtId="0" fontId="0" fillId="0" borderId="63" xfId="0" applyFill="1" applyBorder="1" applyAlignment="1">
      <alignment horizontal="left" vertical="top"/>
    </xf>
    <xf numFmtId="0" fontId="0" fillId="0" borderId="8" xfId="0" applyFill="1" applyBorder="1" applyAlignment="1">
      <alignment vertical="top"/>
    </xf>
    <xf numFmtId="0" fontId="0" fillId="0" borderId="63" xfId="0" applyBorder="1" applyAlignment="1">
      <alignment horizontal="left" vertical="top"/>
    </xf>
    <xf numFmtId="0" fontId="0" fillId="0" borderId="6" xfId="0" applyBorder="1" applyAlignment="1">
      <alignment horizontal="left" vertical="top" wrapText="1"/>
    </xf>
    <xf numFmtId="0" fontId="0" fillId="0" borderId="6" xfId="0" applyFill="1" applyBorder="1" applyAlignment="1">
      <alignment vertical="top"/>
    </xf>
    <xf numFmtId="0" fontId="0" fillId="0" borderId="48" xfId="0" applyBorder="1" applyAlignment="1">
      <alignment horizontal="left" vertical="top"/>
    </xf>
    <xf numFmtId="49" fontId="0" fillId="0" borderId="5" xfId="0" applyNumberFormat="1" applyFill="1" applyBorder="1" applyAlignment="1">
      <alignment horizontal="left"/>
    </xf>
    <xf numFmtId="49" fontId="0" fillId="0" borderId="6" xfId="0" applyNumberFormat="1" applyFill="1" applyBorder="1" applyAlignment="1">
      <alignment horizontal="left"/>
    </xf>
    <xf numFmtId="0" fontId="0" fillId="0" borderId="6" xfId="0" applyFont="1" applyFill="1" applyBorder="1" applyAlignment="1">
      <alignment horizontal="left"/>
    </xf>
    <xf numFmtId="49" fontId="14" fillId="0" borderId="18" xfId="0" applyNumberFormat="1" applyFont="1" applyFill="1" applyBorder="1" applyAlignment="1">
      <alignment horizontal="left"/>
    </xf>
    <xf numFmtId="49" fontId="14" fillId="0" borderId="0" xfId="0" applyNumberFormat="1" applyFont="1" applyFill="1" applyBorder="1" applyAlignment="1">
      <alignment horizontal="left"/>
    </xf>
    <xf numFmtId="39" fontId="13" fillId="0" borderId="0" xfId="3" applyFont="1" applyFill="1" applyBorder="1" applyAlignment="1" applyProtection="1">
      <alignment horizontal="left"/>
    </xf>
    <xf numFmtId="0" fontId="3" fillId="0" borderId="6" xfId="0" applyFont="1" applyBorder="1" applyAlignment="1">
      <alignment horizontal="left"/>
    </xf>
    <xf numFmtId="49" fontId="0" fillId="0" borderId="5" xfId="0" applyNumberFormat="1" applyFill="1" applyBorder="1" applyAlignment="1">
      <alignment vertical="top"/>
    </xf>
    <xf numFmtId="49" fontId="0" fillId="0" borderId="6" xfId="0" applyNumberFormat="1" applyFill="1" applyBorder="1" applyAlignment="1">
      <alignment vertical="top"/>
    </xf>
    <xf numFmtId="0" fontId="0" fillId="0" borderId="20" xfId="0" applyFill="1" applyBorder="1" applyAlignment="1">
      <alignment horizontal="center" vertical="top" wrapText="1"/>
    </xf>
    <xf numFmtId="164" fontId="0" fillId="0" borderId="6" xfId="0" applyNumberFormat="1" applyFill="1" applyBorder="1" applyAlignment="1">
      <alignment vertical="top"/>
    </xf>
    <xf numFmtId="164" fontId="0" fillId="0" borderId="0" xfId="0" applyNumberFormat="1" applyFill="1" applyBorder="1" applyAlignment="1">
      <alignment horizontal="center" vertical="top" wrapText="1"/>
    </xf>
    <xf numFmtId="164" fontId="0" fillId="0" borderId="9" xfId="0" applyNumberFormat="1" applyFont="1" applyFill="1" applyBorder="1" applyAlignment="1">
      <alignment vertical="top"/>
    </xf>
    <xf numFmtId="0" fontId="0" fillId="0" borderId="16" xfId="0" applyFill="1" applyBorder="1" applyAlignment="1">
      <alignment horizontal="center" vertical="top" wrapText="1"/>
    </xf>
    <xf numFmtId="0" fontId="0" fillId="0" borderId="6" xfId="0" applyFont="1" applyFill="1" applyBorder="1" applyAlignment="1">
      <alignment vertical="top"/>
    </xf>
    <xf numFmtId="0" fontId="0" fillId="0" borderId="10" xfId="0" applyFill="1" applyBorder="1" applyAlignment="1">
      <alignment vertical="top"/>
    </xf>
    <xf numFmtId="17" fontId="0" fillId="0" borderId="12" xfId="0" applyNumberFormat="1" applyFill="1" applyBorder="1" applyAlignment="1">
      <alignment horizontal="center" vertical="top"/>
    </xf>
    <xf numFmtId="164" fontId="0" fillId="0" borderId="23" xfId="0" applyNumberFormat="1" applyFill="1" applyBorder="1" applyAlignment="1">
      <alignment vertical="top"/>
    </xf>
    <xf numFmtId="164" fontId="0" fillId="0" borderId="11" xfId="0" applyNumberFormat="1" applyFill="1" applyBorder="1" applyAlignment="1">
      <alignment vertical="top"/>
    </xf>
    <xf numFmtId="164" fontId="0" fillId="0" borderId="13" xfId="0" applyNumberFormat="1" applyFont="1" applyFill="1" applyBorder="1" applyAlignment="1">
      <alignment vertical="top"/>
    </xf>
    <xf numFmtId="0" fontId="3" fillId="0" borderId="6" xfId="0" applyFont="1" applyFill="1" applyBorder="1" applyAlignment="1">
      <alignment vertical="top"/>
    </xf>
    <xf numFmtId="0" fontId="0" fillId="0" borderId="27" xfId="0" applyFill="1" applyBorder="1" applyAlignment="1">
      <alignment vertical="top"/>
    </xf>
    <xf numFmtId="0" fontId="0" fillId="0" borderId="29" xfId="0" applyFill="1" applyBorder="1" applyAlignment="1">
      <alignment vertical="top"/>
    </xf>
    <xf numFmtId="164" fontId="3" fillId="0" borderId="28" xfId="0" applyNumberFormat="1" applyFont="1" applyFill="1" applyBorder="1" applyAlignment="1">
      <alignment vertical="top"/>
    </xf>
    <xf numFmtId="164" fontId="3" fillId="0" borderId="17" xfId="0" applyNumberFormat="1" applyFont="1" applyFill="1" applyBorder="1" applyAlignment="1">
      <alignment vertical="top"/>
    </xf>
    <xf numFmtId="49" fontId="14" fillId="0" borderId="18" xfId="0" applyNumberFormat="1" applyFont="1" applyFill="1" applyBorder="1" applyAlignment="1">
      <alignment vertical="top"/>
    </xf>
    <xf numFmtId="49" fontId="14" fillId="0" borderId="0" xfId="0" applyNumberFormat="1" applyFont="1" applyFill="1" applyBorder="1" applyAlignment="1">
      <alignment vertical="top"/>
    </xf>
    <xf numFmtId="39" fontId="13" fillId="0" borderId="0" xfId="3" applyFont="1" applyFill="1" applyBorder="1" applyAlignment="1" applyProtection="1">
      <alignment vertical="top"/>
    </xf>
    <xf numFmtId="0" fontId="14" fillId="16" borderId="26" xfId="0" applyFont="1" applyFill="1" applyBorder="1" applyAlignment="1">
      <alignment vertical="top"/>
    </xf>
    <xf numFmtId="0" fontId="14" fillId="16" borderId="20" xfId="0" applyFont="1" applyFill="1" applyBorder="1" applyAlignment="1">
      <alignment horizontal="center" vertical="top"/>
    </xf>
    <xf numFmtId="164" fontId="13" fillId="16" borderId="0" xfId="0" applyNumberFormat="1" applyFont="1" applyFill="1" applyBorder="1" applyAlignment="1">
      <alignment vertical="top"/>
    </xf>
    <xf numFmtId="0" fontId="14" fillId="16" borderId="0" xfId="0" applyFont="1" applyFill="1" applyBorder="1" applyAlignment="1">
      <alignment horizontal="center" vertical="top"/>
    </xf>
    <xf numFmtId="164" fontId="15" fillId="16" borderId="0" xfId="0" applyNumberFormat="1" applyFont="1" applyFill="1" applyBorder="1" applyAlignment="1">
      <alignment vertical="top"/>
    </xf>
    <xf numFmtId="41" fontId="13" fillId="16" borderId="0" xfId="0" applyNumberFormat="1" applyFont="1" applyFill="1" applyBorder="1" applyAlignment="1">
      <alignment vertical="top"/>
    </xf>
    <xf numFmtId="164" fontId="13" fillId="16" borderId="9" xfId="0" applyNumberFormat="1" applyFont="1" applyFill="1" applyBorder="1" applyAlignment="1">
      <alignment vertical="top"/>
    </xf>
    <xf numFmtId="0" fontId="0" fillId="0" borderId="31" xfId="0" applyFill="1" applyBorder="1" applyAlignment="1">
      <alignment vertical="top"/>
    </xf>
    <xf numFmtId="0" fontId="0" fillId="0" borderId="8" xfId="0" applyFill="1" applyBorder="1" applyAlignment="1">
      <alignment horizontal="center" vertical="top"/>
    </xf>
    <xf numFmtId="164" fontId="0" fillId="0" borderId="6" xfId="0" applyNumberFormat="1" applyFill="1" applyBorder="1" applyAlignment="1">
      <alignment horizontal="center" vertical="top"/>
    </xf>
    <xf numFmtId="0" fontId="14" fillId="16" borderId="8" xfId="0" applyFont="1" applyFill="1" applyBorder="1" applyAlignment="1">
      <alignment horizontal="center" vertical="top"/>
    </xf>
    <xf numFmtId="164" fontId="13" fillId="16" borderId="6" xfId="0" applyNumberFormat="1" applyFont="1" applyFill="1" applyBorder="1" applyAlignment="1">
      <alignment vertical="top"/>
    </xf>
    <xf numFmtId="0" fontId="14" fillId="16" borderId="6" xfId="0" applyFont="1" applyFill="1" applyBorder="1" applyAlignment="1">
      <alignment horizontal="center" vertical="top"/>
    </xf>
    <xf numFmtId="0" fontId="0" fillId="0" borderId="31" xfId="0" applyFill="1" applyBorder="1" applyAlignment="1">
      <alignment vertical="top" wrapText="1"/>
    </xf>
    <xf numFmtId="0" fontId="0" fillId="0" borderId="20" xfId="0" applyFill="1" applyBorder="1" applyAlignment="1">
      <alignment horizontal="center" vertical="top"/>
    </xf>
    <xf numFmtId="164" fontId="0" fillId="0" borderId="6" xfId="0" applyNumberFormat="1" applyFont="1" applyFill="1" applyBorder="1" applyAlignment="1">
      <alignment vertical="top"/>
    </xf>
    <xf numFmtId="0" fontId="0" fillId="0" borderId="14" xfId="0" applyFill="1" applyBorder="1" applyAlignment="1">
      <alignment vertical="top" wrapText="1"/>
    </xf>
    <xf numFmtId="0" fontId="0" fillId="0" borderId="5" xfId="0" applyFill="1" applyBorder="1" applyAlignment="1">
      <alignment vertical="top"/>
    </xf>
    <xf numFmtId="164" fontId="0" fillId="0" borderId="23" xfId="0" applyNumberFormat="1" applyFill="1" applyBorder="1" applyAlignment="1">
      <alignment horizontal="center" vertical="top"/>
    </xf>
    <xf numFmtId="43" fontId="13" fillId="16" borderId="0" xfId="0" applyNumberFormat="1" applyFont="1" applyFill="1" applyBorder="1" applyAlignment="1">
      <alignment vertical="top"/>
    </xf>
    <xf numFmtId="0" fontId="0" fillId="0" borderId="19" xfId="0" applyFill="1" applyBorder="1" applyAlignment="1">
      <alignment vertical="top" wrapText="1"/>
    </xf>
    <xf numFmtId="0" fontId="0" fillId="0" borderId="32" xfId="0" applyFill="1" applyBorder="1" applyAlignment="1">
      <alignment vertical="top"/>
    </xf>
    <xf numFmtId="0" fontId="0" fillId="0" borderId="19" xfId="0" applyFill="1" applyBorder="1" applyAlignment="1">
      <alignment vertical="top"/>
    </xf>
    <xf numFmtId="0" fontId="0" fillId="0" borderId="8" xfId="0" quotePrefix="1" applyFill="1" applyBorder="1" applyAlignment="1">
      <alignment horizontal="center" vertical="top"/>
    </xf>
    <xf numFmtId="164" fontId="0" fillId="0" borderId="6" xfId="0" quotePrefix="1" applyNumberFormat="1" applyFill="1" applyBorder="1" applyAlignment="1">
      <alignment horizontal="center" vertical="top"/>
    </xf>
    <xf numFmtId="0" fontId="0" fillId="0" borderId="16" xfId="0" applyFill="1"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31" xfId="0" applyBorder="1" applyAlignment="1">
      <alignment vertical="top"/>
    </xf>
    <xf numFmtId="0" fontId="0" fillId="0" borderId="34" xfId="0" applyBorder="1" applyAlignment="1">
      <alignment vertical="top"/>
    </xf>
    <xf numFmtId="0" fontId="0" fillId="0" borderId="33" xfId="0" applyBorder="1" applyAlignment="1">
      <alignment vertical="top"/>
    </xf>
    <xf numFmtId="0" fontId="0" fillId="0" borderId="33" xfId="0" applyFill="1" applyBorder="1" applyAlignment="1">
      <alignment vertical="top"/>
    </xf>
    <xf numFmtId="0" fontId="0" fillId="0" borderId="21" xfId="0" applyBorder="1" applyAlignment="1">
      <alignment vertical="top"/>
    </xf>
    <xf numFmtId="0" fontId="3" fillId="0" borderId="6" xfId="0" applyFont="1" applyBorder="1" applyAlignment="1">
      <alignment vertical="top"/>
    </xf>
    <xf numFmtId="0" fontId="0" fillId="0" borderId="36" xfId="0" applyBorder="1" applyAlignment="1">
      <alignment vertical="top"/>
    </xf>
    <xf numFmtId="0" fontId="0" fillId="0" borderId="38" xfId="0" applyBorder="1" applyAlignment="1">
      <alignment vertical="top"/>
    </xf>
    <xf numFmtId="164" fontId="3" fillId="0" borderId="37" xfId="0" applyNumberFormat="1" applyFont="1" applyBorder="1" applyAlignment="1">
      <alignment vertical="top"/>
    </xf>
    <xf numFmtId="164" fontId="3" fillId="0" borderId="39" xfId="0" applyNumberFormat="1" applyFont="1" applyBorder="1" applyAlignment="1">
      <alignment vertical="top"/>
    </xf>
    <xf numFmtId="49" fontId="0" fillId="0" borderId="59" xfId="0" applyNumberFormat="1" applyFill="1" applyBorder="1" applyAlignment="1">
      <alignment horizontal="left" vertical="top"/>
    </xf>
    <xf numFmtId="49" fontId="0" fillId="0" borderId="60" xfId="0" applyNumberFormat="1" applyFill="1" applyBorder="1" applyAlignment="1">
      <alignment horizontal="left" vertical="top"/>
    </xf>
    <xf numFmtId="39" fontId="0" fillId="0" borderId="61" xfId="0" applyNumberFormat="1" applyFill="1" applyBorder="1" applyAlignment="1">
      <alignment horizontal="left" vertical="top"/>
    </xf>
    <xf numFmtId="164" fontId="0" fillId="0" borderId="61" xfId="1" applyNumberFormat="1" applyFont="1" applyFill="1" applyBorder="1" applyAlignment="1">
      <alignment horizontal="left" vertical="top"/>
    </xf>
    <xf numFmtId="164" fontId="0" fillId="0" borderId="62" xfId="1" applyNumberFormat="1" applyFont="1" applyFill="1" applyBorder="1" applyAlignment="1">
      <alignment horizontal="left" vertical="top"/>
    </xf>
    <xf numFmtId="49" fontId="0" fillId="0" borderId="63" xfId="0" applyNumberFormat="1" applyFill="1" applyBorder="1" applyAlignment="1">
      <alignment horizontal="left" vertical="top" wrapText="1"/>
    </xf>
    <xf numFmtId="49" fontId="0" fillId="0" borderId="8" xfId="0" applyNumberFormat="1" applyFill="1" applyBorder="1" applyAlignment="1">
      <alignment horizontal="left" vertical="top"/>
    </xf>
    <xf numFmtId="0" fontId="0" fillId="0" borderId="6" xfId="0" applyFill="1" applyBorder="1" applyAlignment="1">
      <alignment horizontal="left" vertical="top"/>
    </xf>
    <xf numFmtId="164" fontId="0" fillId="0" borderId="8" xfId="1" applyNumberFormat="1" applyFont="1" applyFill="1" applyBorder="1" applyAlignment="1">
      <alignment horizontal="left" vertical="top"/>
    </xf>
    <xf numFmtId="164" fontId="0" fillId="0" borderId="64" xfId="1" applyNumberFormat="1" applyFont="1" applyFill="1" applyBorder="1" applyAlignment="1">
      <alignment horizontal="left" vertical="top"/>
    </xf>
    <xf numFmtId="0" fontId="0" fillId="0" borderId="8" xfId="0" applyFill="1" applyBorder="1" applyAlignment="1">
      <alignment horizontal="left" vertical="top"/>
    </xf>
    <xf numFmtId="49" fontId="0" fillId="0" borderId="5" xfId="0" applyNumberFormat="1" applyFill="1" applyBorder="1" applyAlignment="1">
      <alignment horizontal="left" vertical="top"/>
    </xf>
    <xf numFmtId="0" fontId="0" fillId="0" borderId="48" xfId="0" applyFill="1" applyBorder="1" applyAlignment="1">
      <alignment horizontal="left" vertical="top"/>
    </xf>
    <xf numFmtId="0" fontId="0" fillId="0" borderId="7" xfId="0" applyFill="1" applyBorder="1" applyAlignment="1">
      <alignment horizontal="left"/>
    </xf>
    <xf numFmtId="43" fontId="7" fillId="0" borderId="5" xfId="2" applyFont="1" applyFill="1" applyBorder="1" applyAlignment="1" applyProtection="1">
      <alignment horizontal="left"/>
    </xf>
    <xf numFmtId="0" fontId="0" fillId="0" borderId="10" xfId="0" applyFill="1" applyBorder="1" applyAlignment="1">
      <alignment horizontal="left"/>
    </xf>
    <xf numFmtId="0" fontId="0" fillId="0" borderId="14" xfId="0" applyFill="1" applyBorder="1" applyAlignment="1">
      <alignment horizontal="left"/>
    </xf>
    <xf numFmtId="43" fontId="11" fillId="0" borderId="18" xfId="2" applyFont="1" applyFill="1" applyBorder="1" applyAlignment="1" applyProtection="1">
      <alignment horizontal="left"/>
    </xf>
    <xf numFmtId="49" fontId="12" fillId="0" borderId="0" xfId="0" applyNumberFormat="1" applyFont="1" applyFill="1" applyBorder="1" applyAlignment="1">
      <alignment horizontal="left"/>
    </xf>
    <xf numFmtId="0" fontId="12" fillId="16" borderId="19" xfId="0" applyFont="1" applyFill="1" applyBorder="1" applyAlignment="1">
      <alignment horizontal="left"/>
    </xf>
    <xf numFmtId="49" fontId="0" fillId="0" borderId="25" xfId="0" applyNumberFormat="1" applyFill="1" applyBorder="1" applyAlignment="1">
      <alignment horizontal="left"/>
    </xf>
    <xf numFmtId="49" fontId="0" fillId="0" borderId="15" xfId="0" applyNumberFormat="1" applyFill="1" applyBorder="1" applyAlignment="1">
      <alignment horizontal="left"/>
    </xf>
    <xf numFmtId="0" fontId="14" fillId="16" borderId="26" xfId="0" applyFont="1" applyFill="1" applyBorder="1" applyAlignment="1">
      <alignment horizontal="left"/>
    </xf>
    <xf numFmtId="0" fontId="0" fillId="0" borderId="31" xfId="0" applyFill="1" applyBorder="1" applyAlignment="1">
      <alignment horizontal="left"/>
    </xf>
    <xf numFmtId="0" fontId="0" fillId="0" borderId="27" xfId="0" applyFill="1" applyBorder="1" applyAlignment="1">
      <alignment horizontal="left"/>
    </xf>
    <xf numFmtId="49" fontId="14" fillId="0" borderId="5" xfId="0" applyNumberFormat="1" applyFont="1" applyFill="1" applyBorder="1" applyAlignment="1">
      <alignment horizontal="left"/>
    </xf>
    <xf numFmtId="49" fontId="14" fillId="0" borderId="6" xfId="0" applyNumberFormat="1" applyFont="1" applyFill="1" applyBorder="1" applyAlignment="1">
      <alignment horizontal="left"/>
    </xf>
    <xf numFmtId="39" fontId="13" fillId="0" borderId="48" xfId="3" applyFont="1" applyFill="1" applyBorder="1" applyAlignment="1" applyProtection="1">
      <alignment horizontal="left"/>
    </xf>
    <xf numFmtId="0" fontId="14" fillId="16" borderId="19" xfId="0" applyFont="1" applyFill="1" applyBorder="1" applyAlignment="1">
      <alignment horizontal="left"/>
    </xf>
    <xf numFmtId="0" fontId="0" fillId="0" borderId="22" xfId="0" applyFill="1" applyBorder="1" applyAlignment="1">
      <alignment horizontal="left"/>
    </xf>
    <xf numFmtId="0" fontId="3" fillId="0" borderId="15" xfId="0" applyFont="1" applyFill="1" applyBorder="1" applyAlignment="1">
      <alignment horizontal="left"/>
    </xf>
    <xf numFmtId="0" fontId="0" fillId="0" borderId="19" xfId="0" applyFill="1" applyBorder="1" applyAlignment="1">
      <alignment horizontal="left"/>
    </xf>
    <xf numFmtId="0" fontId="0" fillId="0" borderId="14" xfId="0" applyFill="1" applyBorder="1" applyAlignment="1">
      <alignment horizontal="left" wrapText="1"/>
    </xf>
    <xf numFmtId="0" fontId="0" fillId="0" borderId="36" xfId="0" applyFill="1" applyBorder="1" applyAlignment="1">
      <alignment horizontal="left"/>
    </xf>
    <xf numFmtId="0" fontId="3" fillId="0" borderId="0" xfId="0" applyFont="1" applyAlignment="1">
      <alignment horizontal="centerContinuous"/>
    </xf>
    <xf numFmtId="0" fontId="4" fillId="0" borderId="0" xfId="0" applyFont="1" applyAlignment="1">
      <alignment horizontal="centerContinuous"/>
    </xf>
    <xf numFmtId="41" fontId="24" fillId="0" borderId="0" xfId="0" applyNumberFormat="1" applyFont="1" applyFill="1" applyAlignment="1">
      <alignment horizontal="left" indent="3"/>
    </xf>
    <xf numFmtId="0" fontId="0" fillId="0" borderId="0" xfId="0" applyBorder="1" applyAlignment="1">
      <alignment horizontal="centerContinuous"/>
    </xf>
    <xf numFmtId="0" fontId="92" fillId="0" borderId="0" xfId="0" applyFont="1"/>
    <xf numFmtId="0" fontId="93" fillId="0" borderId="0" xfId="0" applyFont="1" applyAlignment="1">
      <alignment horizontal="centerContinuous"/>
    </xf>
    <xf numFmtId="0" fontId="0" fillId="0" borderId="0" xfId="0" applyFont="1"/>
    <xf numFmtId="0" fontId="0" fillId="0" borderId="0" xfId="0" applyFont="1" applyAlignment="1">
      <alignment horizontal="center"/>
    </xf>
    <xf numFmtId="0" fontId="0" fillId="0" borderId="0" xfId="0" applyFont="1" applyAlignment="1">
      <alignment horizontal="left"/>
    </xf>
    <xf numFmtId="9" fontId="1" fillId="0" borderId="0" xfId="2276" applyFont="1" applyAlignment="1">
      <alignment horizontal="right"/>
    </xf>
    <xf numFmtId="0" fontId="0" fillId="0" borderId="0" xfId="0" applyFont="1" applyAlignment="1">
      <alignment horizontal="right"/>
    </xf>
    <xf numFmtId="164" fontId="0" fillId="0" borderId="0" xfId="0" applyNumberFormat="1" applyFont="1" applyAlignment="1">
      <alignment horizontal="center"/>
    </xf>
    <xf numFmtId="0" fontId="0" fillId="0" borderId="0" xfId="0" applyFont="1" applyFill="1" applyBorder="1" applyAlignment="1">
      <alignment horizontal="right"/>
    </xf>
    <xf numFmtId="41" fontId="2" fillId="0" borderId="0" xfId="0" applyNumberFormat="1" applyFont="1"/>
    <xf numFmtId="41" fontId="94" fillId="0" borderId="0" xfId="0" applyNumberFormat="1" applyFont="1" applyAlignment="1">
      <alignment horizontal="center"/>
    </xf>
    <xf numFmtId="0" fontId="94" fillId="0" borderId="0" xfId="0" applyFont="1" applyAlignment="1">
      <alignment horizontal="right"/>
    </xf>
    <xf numFmtId="0" fontId="51" fillId="0" borderId="0" xfId="1065" applyFont="1" applyFill="1" applyBorder="1" applyAlignment="1" applyProtection="1">
      <alignment horizontal="right" wrapText="1"/>
    </xf>
    <xf numFmtId="0" fontId="0" fillId="0" borderId="0" xfId="0" applyFont="1" applyBorder="1"/>
    <xf numFmtId="164" fontId="1" fillId="0" borderId="106" xfId="1" applyNumberFormat="1" applyFont="1" applyFill="1" applyBorder="1" applyAlignment="1">
      <alignment horizontal="center"/>
    </xf>
    <xf numFmtId="164" fontId="1" fillId="0" borderId="107" xfId="1" applyNumberFormat="1" applyFont="1" applyFill="1" applyBorder="1" applyAlignment="1">
      <alignment horizontal="center"/>
    </xf>
    <xf numFmtId="0" fontId="0" fillId="0" borderId="41" xfId="0" applyFont="1" applyFill="1" applyBorder="1"/>
    <xf numFmtId="49" fontId="0" fillId="0" borderId="41" xfId="0" applyNumberFormat="1" applyFont="1" applyFill="1" applyBorder="1" applyAlignment="1">
      <alignment horizontal="center"/>
    </xf>
    <xf numFmtId="49" fontId="0" fillId="0" borderId="40" xfId="0" applyNumberFormat="1" applyFont="1" applyBorder="1" applyAlignment="1">
      <alignment horizontal="center"/>
    </xf>
    <xf numFmtId="0" fontId="0" fillId="0" borderId="108" xfId="0" applyFont="1" applyFill="1" applyBorder="1" applyAlignment="1">
      <alignment horizontal="center"/>
    </xf>
    <xf numFmtId="164" fontId="1" fillId="0" borderId="108" xfId="1" applyNumberFormat="1" applyFont="1" applyFill="1" applyBorder="1" applyAlignment="1">
      <alignment horizontal="center"/>
    </xf>
    <xf numFmtId="0" fontId="0" fillId="0" borderId="0" xfId="0" applyFont="1" applyFill="1" applyBorder="1"/>
    <xf numFmtId="49" fontId="0" fillId="0" borderId="0" xfId="0" applyNumberFormat="1" applyFont="1" applyFill="1" applyBorder="1" applyAlignment="1">
      <alignment horizontal="center"/>
    </xf>
    <xf numFmtId="49" fontId="0" fillId="0" borderId="18" xfId="0" applyNumberFormat="1" applyFont="1" applyBorder="1" applyAlignment="1">
      <alignment horizontal="center"/>
    </xf>
    <xf numFmtId="0" fontId="0" fillId="0" borderId="106" xfId="0" applyFont="1" applyFill="1" applyBorder="1" applyAlignment="1">
      <alignment horizontal="center"/>
    </xf>
    <xf numFmtId="0" fontId="0" fillId="0" borderId="23" xfId="0" applyFont="1" applyFill="1" applyBorder="1"/>
    <xf numFmtId="49" fontId="0" fillId="0" borderId="23" xfId="0" applyNumberFormat="1" applyFont="1" applyFill="1" applyBorder="1" applyAlignment="1">
      <alignment horizontal="center"/>
    </xf>
    <xf numFmtId="49" fontId="0" fillId="0" borderId="109" xfId="0" applyNumberFormat="1" applyFont="1" applyBorder="1" applyAlignment="1">
      <alignment horizontal="center"/>
    </xf>
    <xf numFmtId="49" fontId="0" fillId="0" borderId="18" xfId="0" applyNumberFormat="1" applyFont="1" applyFill="1" applyBorder="1" applyAlignment="1">
      <alignment horizontal="center"/>
    </xf>
    <xf numFmtId="49" fontId="0" fillId="0" borderId="109" xfId="0" applyNumberFormat="1" applyFont="1" applyFill="1" applyBorder="1" applyAlignment="1">
      <alignment horizontal="center"/>
    </xf>
    <xf numFmtId="0" fontId="0" fillId="0" borderId="0" xfId="0" applyFont="1" applyAlignment="1">
      <alignment horizontal="center" vertical="center" wrapText="1"/>
    </xf>
    <xf numFmtId="0" fontId="3" fillId="15" borderId="4" xfId="0" applyFont="1" applyFill="1" applyBorder="1" applyAlignment="1">
      <alignment horizontal="center" wrapText="1"/>
    </xf>
    <xf numFmtId="0" fontId="0" fillId="0" borderId="0" xfId="0" applyAlignment="1">
      <alignment horizontal="center"/>
    </xf>
    <xf numFmtId="0" fontId="50" fillId="0" borderId="0" xfId="730" applyNumberFormat="1" applyFont="1" applyFill="1" applyBorder="1" applyAlignment="1" applyProtection="1">
      <alignment horizontal="center"/>
    </xf>
    <xf numFmtId="0" fontId="95" fillId="0" borderId="0" xfId="730" applyNumberFormat="1" applyFont="1" applyFill="1" applyBorder="1" applyAlignment="1" applyProtection="1">
      <alignment horizontal="left"/>
    </xf>
    <xf numFmtId="164" fontId="12" fillId="0" borderId="0" xfId="0" applyNumberFormat="1" applyFont="1"/>
    <xf numFmtId="164" fontId="3" fillId="0" borderId="105" xfId="1" applyNumberFormat="1" applyFont="1" applyBorder="1" applyAlignment="1">
      <alignment horizontal="center"/>
    </xf>
    <xf numFmtId="0" fontId="53" fillId="0" borderId="0" xfId="1065" applyFont="1" applyFill="1" applyBorder="1" applyAlignment="1" applyProtection="1">
      <alignment horizontal="right" wrapText="1"/>
    </xf>
    <xf numFmtId="0" fontId="53" fillId="0" borderId="0" xfId="1065" applyFont="1" applyFill="1" applyAlignment="1" applyProtection="1">
      <alignment horizontal="right" wrapText="1"/>
    </xf>
    <xf numFmtId="164" fontId="1" fillId="0" borderId="78" xfId="1" applyNumberFormat="1" applyFont="1" applyBorder="1"/>
    <xf numFmtId="0" fontId="0" fillId="0" borderId="106" xfId="0" applyBorder="1" applyAlignment="1">
      <alignment horizontal="center"/>
    </xf>
    <xf numFmtId="0" fontId="0" fillId="0" borderId="23" xfId="0" applyFill="1" applyBorder="1"/>
    <xf numFmtId="0" fontId="0" fillId="0" borderId="23" xfId="0" applyBorder="1"/>
    <xf numFmtId="0" fontId="0" fillId="0" borderId="77" xfId="0" applyBorder="1" applyAlignment="1">
      <alignment horizontal="left"/>
    </xf>
    <xf numFmtId="164" fontId="1" fillId="0" borderId="76" xfId="1" applyNumberFormat="1" applyFont="1" applyBorder="1"/>
    <xf numFmtId="0" fontId="0" fillId="0" borderId="108" xfId="0" applyBorder="1" applyAlignment="1">
      <alignment horizontal="center"/>
    </xf>
    <xf numFmtId="0" fontId="0" fillId="0" borderId="75" xfId="0" applyBorder="1" applyAlignment="1">
      <alignment horizontal="left"/>
    </xf>
    <xf numFmtId="0" fontId="0" fillId="0" borderId="76" xfId="0" applyFill="1" applyBorder="1"/>
    <xf numFmtId="0" fontId="0" fillId="0" borderId="108" xfId="0" applyFill="1" applyBorder="1" applyAlignment="1">
      <alignment horizontal="center"/>
    </xf>
    <xf numFmtId="0" fontId="96" fillId="0" borderId="0" xfId="0" applyFont="1" applyFill="1" applyBorder="1" applyAlignment="1">
      <alignment horizontal="center"/>
    </xf>
    <xf numFmtId="0" fontId="0" fillId="0" borderId="75" xfId="0" applyFill="1" applyBorder="1" applyAlignment="1">
      <alignment horizontal="left"/>
    </xf>
    <xf numFmtId="0" fontId="0" fillId="0" borderId="74" xfId="0" applyFill="1" applyBorder="1" applyAlignment="1">
      <alignment horizontal="center"/>
    </xf>
    <xf numFmtId="0" fontId="0" fillId="0" borderId="110" xfId="0" applyFill="1" applyBorder="1" applyAlignment="1">
      <alignment horizontal="center"/>
    </xf>
    <xf numFmtId="0" fontId="0" fillId="0" borderId="79" xfId="0" applyFill="1" applyBorder="1"/>
    <xf numFmtId="49" fontId="0" fillId="0" borderId="79" xfId="0" applyNumberFormat="1" applyFill="1" applyBorder="1" applyAlignment="1">
      <alignment horizontal="center"/>
    </xf>
    <xf numFmtId="49" fontId="0" fillId="0" borderId="73" xfId="0" applyNumberFormat="1" applyFill="1" applyBorder="1" applyAlignment="1">
      <alignment horizontal="center"/>
    </xf>
    <xf numFmtId="0" fontId="0" fillId="0" borderId="106" xfId="0" applyFill="1" applyBorder="1" applyAlignment="1">
      <alignment horizontal="center"/>
    </xf>
    <xf numFmtId="0" fontId="0" fillId="0" borderId="23" xfId="0" applyFill="1" applyBorder="1" applyAlignment="1">
      <alignment horizontal="left"/>
    </xf>
    <xf numFmtId="0" fontId="0" fillId="0" borderId="77" xfId="0" applyFill="1" applyBorder="1" applyAlignment="1">
      <alignment horizontal="left"/>
    </xf>
    <xf numFmtId="0" fontId="0" fillId="0" borderId="109" xfId="0" applyFill="1" applyBorder="1" applyAlignment="1">
      <alignment horizontal="left"/>
    </xf>
    <xf numFmtId="0" fontId="0" fillId="0" borderId="80" xfId="0" applyFill="1" applyBorder="1"/>
    <xf numFmtId="0" fontId="97" fillId="0" borderId="0" xfId="0" applyFont="1" applyFill="1" applyBorder="1"/>
    <xf numFmtId="0" fontId="0" fillId="0" borderId="18" xfId="0" applyFill="1" applyBorder="1" applyAlignment="1">
      <alignment horizontal="left"/>
    </xf>
    <xf numFmtId="49" fontId="0" fillId="0" borderId="0" xfId="0" applyNumberFormat="1" applyFill="1" applyBorder="1" applyAlignment="1">
      <alignment horizontal="center"/>
    </xf>
    <xf numFmtId="49" fontId="0" fillId="0" borderId="18" xfId="0" applyNumberFormat="1" applyFill="1" applyBorder="1" applyAlignment="1">
      <alignment horizontal="center"/>
    </xf>
    <xf numFmtId="164" fontId="1" fillId="0" borderId="106" xfId="1" applyNumberFormat="1" applyFont="1" applyFill="1" applyBorder="1" applyAlignment="1">
      <alignment horizontal="right"/>
    </xf>
    <xf numFmtId="0" fontId="0" fillId="0" borderId="24" xfId="0" applyFill="1" applyBorder="1"/>
    <xf numFmtId="164" fontId="1" fillId="0" borderId="108" xfId="1" applyNumberFormat="1" applyFont="1" applyFill="1" applyBorder="1" applyAlignment="1">
      <alignment horizontal="right"/>
    </xf>
    <xf numFmtId="0" fontId="0" fillId="0" borderId="111" xfId="0" applyFill="1" applyBorder="1"/>
    <xf numFmtId="49" fontId="0" fillId="0" borderId="112" xfId="0" applyNumberFormat="1" applyFill="1" applyBorder="1" applyAlignment="1">
      <alignment horizontal="center"/>
    </xf>
    <xf numFmtId="164" fontId="1" fillId="0" borderId="113" xfId="1" applyNumberFormat="1" applyFont="1" applyFill="1" applyBorder="1" applyAlignment="1">
      <alignment horizontal="right"/>
    </xf>
    <xf numFmtId="164" fontId="1" fillId="0" borderId="113" xfId="1" applyNumberFormat="1" applyFont="1" applyFill="1" applyBorder="1" applyAlignment="1">
      <alignment horizontal="center"/>
    </xf>
    <xf numFmtId="0" fontId="1" fillId="0" borderId="0" xfId="1063"/>
    <xf numFmtId="0" fontId="3" fillId="0" borderId="0" xfId="1063" applyFont="1"/>
    <xf numFmtId="184" fontId="1" fillId="0" borderId="0" xfId="762" applyNumberFormat="1" applyFont="1"/>
    <xf numFmtId="184" fontId="1" fillId="0" borderId="0" xfId="762" applyNumberFormat="1" applyFont="1" applyFill="1"/>
    <xf numFmtId="0" fontId="1" fillId="0" borderId="0" xfId="1063" applyFill="1"/>
    <xf numFmtId="0" fontId="3" fillId="0" borderId="0" xfId="1063" applyFont="1" applyFill="1"/>
    <xf numFmtId="184" fontId="6" fillId="0" borderId="0" xfId="762" applyNumberFormat="1" applyFont="1" applyFill="1"/>
    <xf numFmtId="0" fontId="98" fillId="0" borderId="0" xfId="1063" applyFont="1" applyFill="1"/>
    <xf numFmtId="0" fontId="99" fillId="0" borderId="0" xfId="1063" applyFont="1" applyFill="1"/>
    <xf numFmtId="37" fontId="100" fillId="0" borderId="0" xfId="0" applyNumberFormat="1" applyFont="1" applyFill="1"/>
    <xf numFmtId="41" fontId="101" fillId="0" borderId="0" xfId="0" applyNumberFormat="1" applyFont="1" applyFill="1" applyAlignment="1">
      <alignment horizontal="center"/>
    </xf>
    <xf numFmtId="0" fontId="101" fillId="0" borderId="0" xfId="0" applyFont="1" applyFill="1" applyAlignment="1">
      <alignment horizontal="center"/>
    </xf>
    <xf numFmtId="37" fontId="6" fillId="0" borderId="0" xfId="0" applyNumberFormat="1" applyFont="1" applyFill="1"/>
    <xf numFmtId="37" fontId="3" fillId="0" borderId="0" xfId="1063" applyNumberFormat="1" applyFont="1" applyFill="1"/>
    <xf numFmtId="37" fontId="53" fillId="0" borderId="0" xfId="0" applyNumberFormat="1" applyFont="1" applyFill="1"/>
    <xf numFmtId="0" fontId="6" fillId="0" borderId="0" xfId="0" applyFont="1" applyFill="1"/>
    <xf numFmtId="0" fontId="2" fillId="0" borderId="0" xfId="1063" applyFont="1" applyFill="1"/>
    <xf numFmtId="37" fontId="102" fillId="0" borderId="0" xfId="0" applyNumberFormat="1" applyFont="1" applyFill="1"/>
    <xf numFmtId="0" fontId="99" fillId="0" borderId="0" xfId="1063" applyFont="1"/>
    <xf numFmtId="184" fontId="103" fillId="0" borderId="0" xfId="762" applyNumberFormat="1" applyFont="1" applyFill="1" applyBorder="1" applyAlignment="1">
      <alignment horizontal="center" wrapText="1"/>
    </xf>
    <xf numFmtId="0" fontId="5" fillId="0" borderId="0" xfId="1063" applyFont="1" applyFill="1"/>
    <xf numFmtId="184" fontId="53" fillId="0" borderId="23" xfId="762" applyNumberFormat="1" applyFont="1" applyFill="1" applyBorder="1" applyAlignment="1">
      <alignment horizontal="center" wrapText="1"/>
    </xf>
    <xf numFmtId="0" fontId="98" fillId="0" borderId="0" xfId="1063" applyFont="1" applyFill="1" applyAlignment="1">
      <alignment horizontal="center"/>
    </xf>
    <xf numFmtId="0" fontId="104" fillId="0" borderId="0" xfId="1063" applyFont="1"/>
    <xf numFmtId="42" fontId="92" fillId="0" borderId="0" xfId="0" applyNumberFormat="1" applyFont="1"/>
    <xf numFmtId="42" fontId="92" fillId="0" borderId="37" xfId="0" applyNumberFormat="1" applyFont="1" applyBorder="1"/>
    <xf numFmtId="0" fontId="93" fillId="0" borderId="23" xfId="0" applyFont="1" applyBorder="1" applyAlignment="1">
      <alignment horizontal="center"/>
    </xf>
    <xf numFmtId="0" fontId="105" fillId="0" borderId="0" xfId="0" applyFont="1" applyAlignment="1">
      <alignment vertical="center"/>
    </xf>
    <xf numFmtId="0" fontId="93" fillId="0" borderId="0" xfId="0" applyFont="1" applyBorder="1" applyAlignment="1">
      <alignment horizontal="center"/>
    </xf>
    <xf numFmtId="42" fontId="92" fillId="0" borderId="0" xfId="2275" applyNumberFormat="1" applyFont="1" applyAlignment="1"/>
    <xf numFmtId="41" fontId="105" fillId="0" borderId="41" xfId="0" applyNumberFormat="1" applyFont="1" applyBorder="1" applyAlignment="1">
      <alignment vertical="center"/>
    </xf>
    <xf numFmtId="41" fontId="105" fillId="0" borderId="0" xfId="0" applyNumberFormat="1" applyFont="1" applyBorder="1" applyAlignment="1">
      <alignment vertical="center"/>
    </xf>
    <xf numFmtId="9" fontId="92" fillId="0" borderId="41" xfId="0" applyNumberFormat="1" applyFont="1" applyBorder="1"/>
    <xf numFmtId="41" fontId="106" fillId="0" borderId="105" xfId="0" applyNumberFormat="1" applyFont="1" applyBorder="1" applyAlignment="1">
      <alignment vertical="center"/>
    </xf>
    <xf numFmtId="0" fontId="105" fillId="0" borderId="0" xfId="0" applyFont="1" applyAlignment="1">
      <alignment horizontal="left" vertical="center" indent="1"/>
    </xf>
    <xf numFmtId="0" fontId="92" fillId="0" borderId="0" xfId="0" applyFont="1" applyAlignment="1">
      <alignment horizontal="centerContinuous"/>
    </xf>
    <xf numFmtId="0" fontId="92" fillId="0" borderId="0" xfId="0" applyFont="1" applyAlignment="1">
      <alignment horizontal="left" indent="1"/>
    </xf>
    <xf numFmtId="41" fontId="105" fillId="0" borderId="0" xfId="0" applyNumberFormat="1" applyFont="1" applyBorder="1" applyAlignment="1">
      <alignment horizontal="right" vertical="center"/>
    </xf>
    <xf numFmtId="42" fontId="106" fillId="0" borderId="105" xfId="0" applyNumberFormat="1" applyFont="1" applyBorder="1" applyAlignment="1">
      <alignment vertical="center"/>
    </xf>
    <xf numFmtId="0" fontId="106" fillId="0" borderId="0" xfId="0" applyFont="1" applyAlignment="1">
      <alignment horizontal="left" vertical="center"/>
    </xf>
    <xf numFmtId="0" fontId="92" fillId="0" borderId="0" xfId="0" applyFont="1" applyAlignment="1">
      <alignment horizontal="left" indent="6"/>
    </xf>
    <xf numFmtId="0" fontId="0" fillId="0" borderId="31" xfId="0" applyFill="1" applyBorder="1" applyAlignment="1">
      <alignment vertical="top" wrapText="1"/>
    </xf>
    <xf numFmtId="0" fontId="0" fillId="0" borderId="14" xfId="0" applyFill="1" applyBorder="1" applyAlignment="1">
      <alignment vertical="top" wrapText="1"/>
    </xf>
    <xf numFmtId="0" fontId="0" fillId="0" borderId="20" xfId="0" applyFill="1" applyBorder="1" applyAlignment="1">
      <alignment horizontal="center" vertical="top" wrapText="1"/>
    </xf>
    <xf numFmtId="0" fontId="0" fillId="0" borderId="16" xfId="0" applyFill="1" applyBorder="1" applyAlignment="1">
      <alignment horizontal="center" vertical="top" wrapText="1"/>
    </xf>
    <xf numFmtId="41" fontId="92" fillId="0" borderId="0" xfId="0" applyNumberFormat="1" applyFont="1"/>
    <xf numFmtId="185" fontId="92" fillId="0" borderId="0" xfId="0" applyNumberFormat="1" applyFont="1"/>
    <xf numFmtId="42" fontId="92" fillId="0" borderId="79" xfId="0" applyNumberFormat="1" applyFont="1" applyBorder="1"/>
    <xf numFmtId="14" fontId="92" fillId="0" borderId="0" xfId="0" applyNumberFormat="1" applyFont="1"/>
    <xf numFmtId="44" fontId="92" fillId="0" borderId="79" xfId="0" applyNumberFormat="1" applyFont="1" applyBorder="1"/>
    <xf numFmtId="0" fontId="0" fillId="0" borderId="31" xfId="0" applyFill="1" applyBorder="1" applyAlignment="1">
      <alignment horizontal="left"/>
    </xf>
    <xf numFmtId="0" fontId="0" fillId="0" borderId="33" xfId="0" applyBorder="1" applyAlignment="1">
      <alignment horizontal="left"/>
    </xf>
    <xf numFmtId="0" fontId="0" fillId="0" borderId="33" xfId="0" applyFill="1" applyBorder="1" applyAlignment="1">
      <alignment horizontal="left"/>
    </xf>
    <xf numFmtId="14" fontId="0" fillId="0" borderId="0" xfId="0" applyNumberFormat="1"/>
    <xf numFmtId="14" fontId="0" fillId="0" borderId="0" xfId="0" applyNumberFormat="1" applyFill="1" applyBorder="1" applyAlignment="1">
      <alignment horizontal="left"/>
    </xf>
    <xf numFmtId="43" fontId="0" fillId="0" borderId="0" xfId="1" applyFont="1"/>
    <xf numFmtId="49" fontId="0" fillId="0" borderId="5" xfId="0" applyNumberFormat="1" applyBorder="1" applyAlignment="1">
      <alignment horizontal="center" vertical="top"/>
    </xf>
    <xf numFmtId="49" fontId="0" fillId="0" borderId="6" xfId="0" applyNumberFormat="1" applyFill="1" applyBorder="1" applyAlignment="1">
      <alignment horizontal="center" vertical="top"/>
    </xf>
    <xf numFmtId="0" fontId="0" fillId="0" borderId="7" xfId="0" applyBorder="1" applyAlignment="1">
      <alignment horizontal="center" vertical="top"/>
    </xf>
    <xf numFmtId="164" fontId="0" fillId="0" borderId="6" xfId="1" applyNumberFormat="1" applyFont="1" applyFill="1" applyBorder="1" applyAlignment="1">
      <alignment horizontal="center" vertical="top"/>
    </xf>
    <xf numFmtId="164" fontId="0" fillId="0" borderId="9" xfId="0" applyNumberFormat="1" applyFill="1" applyBorder="1" applyAlignment="1">
      <alignment vertical="top"/>
    </xf>
    <xf numFmtId="43" fontId="7" fillId="0" borderId="5" xfId="2" applyFont="1" applyFill="1" applyBorder="1" applyAlignment="1" applyProtection="1">
      <alignment horizontal="justify" vertical="top"/>
    </xf>
    <xf numFmtId="0" fontId="0" fillId="0" borderId="10" xfId="0" applyBorder="1" applyAlignment="1">
      <alignment horizontal="center" vertical="top"/>
    </xf>
    <xf numFmtId="164" fontId="0" fillId="0" borderId="13" xfId="0" applyNumberFormat="1" applyFill="1" applyBorder="1" applyAlignment="1">
      <alignment vertical="top"/>
    </xf>
    <xf numFmtId="39" fontId="10" fillId="0" borderId="6" xfId="3" applyFont="1" applyFill="1" applyBorder="1" applyAlignment="1" applyProtection="1">
      <alignment horizontal="left" vertical="top"/>
    </xf>
    <xf numFmtId="0" fontId="0" fillId="0" borderId="14" xfId="0" applyBorder="1" applyAlignment="1">
      <alignment horizontal="center" vertical="top"/>
    </xf>
    <xf numFmtId="165" fontId="0" fillId="0" borderId="16" xfId="0" applyNumberFormat="1" applyFill="1" applyBorder="1" applyAlignment="1">
      <alignment horizontal="center" vertical="top"/>
    </xf>
    <xf numFmtId="164" fontId="3" fillId="0" borderId="15" xfId="0" applyNumberFormat="1" applyFont="1" applyFill="1" applyBorder="1" applyAlignment="1">
      <alignment vertical="top"/>
    </xf>
    <xf numFmtId="43" fontId="11" fillId="0" borderId="18" xfId="2" applyFont="1" applyFill="1" applyBorder="1" applyAlignment="1" applyProtection="1">
      <alignment horizontal="justify" vertical="top"/>
    </xf>
    <xf numFmtId="49" fontId="12" fillId="0" borderId="0" xfId="0" applyNumberFormat="1" applyFont="1" applyFill="1" applyBorder="1" applyAlignment="1">
      <alignment horizontal="center" vertical="top"/>
    </xf>
    <xf numFmtId="39" fontId="13" fillId="0" borderId="0" xfId="3" applyFont="1" applyFill="1" applyBorder="1" applyAlignment="1" applyProtection="1">
      <alignment horizontal="right" vertical="top"/>
    </xf>
    <xf numFmtId="0" fontId="14" fillId="16" borderId="19" xfId="0" applyFont="1" applyFill="1" applyBorder="1" applyAlignment="1">
      <alignment horizontal="center" vertical="top"/>
    </xf>
    <xf numFmtId="165" fontId="12" fillId="16" borderId="20" xfId="0" applyNumberFormat="1" applyFont="1" applyFill="1" applyBorder="1" applyAlignment="1">
      <alignment horizontal="center" vertical="top"/>
    </xf>
    <xf numFmtId="165" fontId="12" fillId="16" borderId="0" xfId="0" applyNumberFormat="1" applyFont="1" applyFill="1" applyBorder="1" applyAlignment="1">
      <alignment horizontal="center" vertical="top"/>
    </xf>
    <xf numFmtId="164" fontId="13" fillId="16" borderId="21" xfId="0" applyNumberFormat="1" applyFont="1" applyFill="1" applyBorder="1" applyAlignment="1">
      <alignment vertical="top"/>
    </xf>
    <xf numFmtId="49" fontId="0" fillId="0" borderId="5" xfId="0" applyNumberFormat="1" applyFill="1" applyBorder="1" applyAlignment="1">
      <alignment horizontal="center" vertical="top"/>
    </xf>
    <xf numFmtId="164" fontId="0" fillId="0" borderId="6" xfId="1" applyNumberFormat="1" applyFont="1" applyFill="1" applyBorder="1" applyAlignment="1">
      <alignment vertical="top"/>
    </xf>
    <xf numFmtId="164" fontId="0" fillId="0" borderId="9" xfId="1" applyNumberFormat="1" applyFont="1" applyFill="1" applyBorder="1" applyAlignment="1">
      <alignment vertical="top"/>
    </xf>
    <xf numFmtId="0" fontId="0" fillId="0" borderId="22" xfId="0" applyBorder="1" applyAlignment="1">
      <alignment horizontal="center" vertical="top"/>
    </xf>
    <xf numFmtId="164" fontId="0" fillId="0" borderId="24" xfId="1" applyNumberFormat="1" applyFont="1" applyFill="1" applyBorder="1" applyAlignment="1">
      <alignment vertical="top"/>
    </xf>
    <xf numFmtId="49" fontId="0" fillId="0" borderId="25" xfId="0" applyNumberFormat="1" applyFill="1" applyBorder="1" applyAlignment="1">
      <alignment horizontal="center" vertical="top"/>
    </xf>
    <xf numFmtId="49" fontId="0" fillId="0" borderId="15" xfId="0" applyNumberFormat="1" applyFill="1" applyBorder="1" applyAlignment="1">
      <alignment horizontal="center" vertical="top"/>
    </xf>
    <xf numFmtId="39" fontId="10" fillId="0" borderId="15" xfId="3" applyFont="1" applyFill="1" applyBorder="1" applyAlignment="1" applyProtection="1">
      <alignment horizontal="left" vertical="top"/>
    </xf>
    <xf numFmtId="0" fontId="0" fillId="0" borderId="16" xfId="0" applyFill="1" applyBorder="1" applyAlignment="1">
      <alignment horizontal="center" vertical="top"/>
    </xf>
    <xf numFmtId="49" fontId="14" fillId="0" borderId="18" xfId="0" applyNumberFormat="1" applyFont="1" applyFill="1" applyBorder="1" applyAlignment="1">
      <alignment horizontal="center" vertical="top"/>
    </xf>
    <xf numFmtId="49" fontId="14" fillId="0" borderId="0" xfId="0" applyNumberFormat="1" applyFont="1" applyFill="1" applyBorder="1" applyAlignment="1">
      <alignment horizontal="center" vertical="top"/>
    </xf>
    <xf numFmtId="0" fontId="14" fillId="16" borderId="26" xfId="0" applyFont="1" applyFill="1" applyBorder="1" applyAlignment="1">
      <alignment horizontal="center" vertical="top"/>
    </xf>
    <xf numFmtId="164" fontId="3" fillId="0" borderId="30" xfId="0" applyNumberFormat="1" applyFont="1" applyFill="1" applyBorder="1" applyAlignment="1">
      <alignment vertical="top"/>
    </xf>
    <xf numFmtId="0" fontId="3" fillId="0" borderId="15" xfId="0" applyFont="1" applyFill="1" applyBorder="1" applyAlignment="1">
      <alignment vertical="top"/>
    </xf>
    <xf numFmtId="0" fontId="0" fillId="0" borderId="14" xfId="0" applyFill="1" applyBorder="1" applyAlignment="1">
      <alignment vertical="top"/>
    </xf>
    <xf numFmtId="43" fontId="13" fillId="16" borderId="21" xfId="0" applyNumberFormat="1" applyFont="1" applyFill="1" applyBorder="1" applyAlignment="1">
      <alignment vertical="top"/>
    </xf>
    <xf numFmtId="49" fontId="16" fillId="0" borderId="6" xfId="3" applyNumberFormat="1" applyFont="1" applyFill="1" applyBorder="1" applyAlignment="1">
      <alignment horizontal="center" vertical="top"/>
    </xf>
    <xf numFmtId="0" fontId="0" fillId="0" borderId="14" xfId="0" applyFill="1" applyBorder="1" applyAlignment="1">
      <alignment horizontal="center" vertical="top"/>
    </xf>
    <xf numFmtId="164" fontId="0" fillId="0" borderId="19" xfId="0" applyNumberFormat="1" applyFill="1" applyBorder="1" applyAlignment="1">
      <alignment vertical="top"/>
    </xf>
    <xf numFmtId="0" fontId="0" fillId="0" borderId="6" xfId="0" applyFill="1" applyBorder="1" applyAlignment="1">
      <alignment horizontal="center" vertical="top"/>
    </xf>
    <xf numFmtId="0" fontId="0" fillId="0" borderId="5" xfId="0" applyBorder="1" applyAlignment="1">
      <alignment horizontal="left" vertical="top"/>
    </xf>
    <xf numFmtId="164" fontId="0" fillId="0" borderId="24" xfId="0" applyNumberFormat="1" applyFill="1" applyBorder="1" applyAlignment="1">
      <alignment vertical="top"/>
    </xf>
    <xf numFmtId="164" fontId="0" fillId="0" borderId="11" xfId="0" applyNumberFormat="1" applyBorder="1" applyAlignment="1">
      <alignment vertical="top"/>
    </xf>
    <xf numFmtId="0" fontId="0" fillId="0" borderId="27" xfId="0" applyBorder="1" applyAlignment="1">
      <alignment vertical="top"/>
    </xf>
    <xf numFmtId="0" fontId="0" fillId="0" borderId="29" xfId="0" applyBorder="1" applyAlignment="1">
      <alignment vertical="top"/>
    </xf>
    <xf numFmtId="0" fontId="0" fillId="0" borderId="12" xfId="0" applyFill="1" applyBorder="1" applyAlignment="1">
      <alignment horizontal="center" vertical="top"/>
    </xf>
    <xf numFmtId="0" fontId="0" fillId="0" borderId="14" xfId="0" applyBorder="1" applyAlignment="1">
      <alignment vertical="top"/>
    </xf>
    <xf numFmtId="0" fontId="0" fillId="0" borderId="16" xfId="0" applyBorder="1" applyAlignment="1">
      <alignment vertical="top"/>
    </xf>
    <xf numFmtId="0" fontId="0" fillId="0" borderId="19" xfId="0" applyBorder="1" applyAlignment="1">
      <alignment vertical="top"/>
    </xf>
    <xf numFmtId="0" fontId="0" fillId="0" borderId="8" xfId="0" quotePrefix="1" applyBorder="1" applyAlignment="1">
      <alignment horizontal="center" vertical="top"/>
    </xf>
    <xf numFmtId="0" fontId="0" fillId="0" borderId="35" xfId="0" applyBorder="1" applyAlignment="1">
      <alignment vertical="top"/>
    </xf>
    <xf numFmtId="49" fontId="14" fillId="0" borderId="40" xfId="0" applyNumberFormat="1" applyFont="1" applyFill="1" applyBorder="1" applyAlignment="1">
      <alignment horizontal="center" vertical="top"/>
    </xf>
    <xf numFmtId="49" fontId="14" fillId="0" borderId="41" xfId="0" applyNumberFormat="1" applyFont="1" applyFill="1" applyBorder="1" applyAlignment="1">
      <alignment horizontal="center" vertical="top"/>
    </xf>
    <xf numFmtId="39" fontId="13" fillId="0" borderId="41" xfId="3" applyFont="1" applyFill="1" applyBorder="1" applyAlignment="1" applyProtection="1">
      <alignment horizontal="right" vertical="top"/>
    </xf>
    <xf numFmtId="0" fontId="14" fillId="16" borderId="41" xfId="0" applyFont="1" applyFill="1" applyBorder="1" applyAlignment="1">
      <alignment horizontal="center" vertical="top"/>
    </xf>
    <xf numFmtId="164" fontId="13" fillId="16" borderId="41" xfId="0" applyNumberFormat="1" applyFont="1" applyFill="1" applyBorder="1" applyAlignment="1">
      <alignment vertical="top"/>
    </xf>
    <xf numFmtId="164" fontId="15" fillId="16" borderId="41" xfId="0" applyNumberFormat="1" applyFont="1" applyFill="1" applyBorder="1" applyAlignment="1">
      <alignment vertical="top"/>
    </xf>
    <xf numFmtId="0" fontId="0" fillId="0" borderId="22" xfId="0" applyFill="1" applyBorder="1" applyAlignment="1">
      <alignment horizontal="center"/>
    </xf>
    <xf numFmtId="17" fontId="0" fillId="0" borderId="8" xfId="0" applyNumberFormat="1" applyFill="1" applyBorder="1" applyAlignment="1">
      <alignment horizontal="center"/>
    </xf>
    <xf numFmtId="17" fontId="0" fillId="0" borderId="32" xfId="0" applyNumberFormat="1" applyFill="1" applyBorder="1" applyAlignment="1">
      <alignment horizontal="center"/>
    </xf>
    <xf numFmtId="0" fontId="0" fillId="0" borderId="19" xfId="0" applyFill="1" applyBorder="1" applyAlignment="1">
      <alignment horizontal="center"/>
    </xf>
    <xf numFmtId="164" fontId="0" fillId="0" borderId="33" xfId="0" quotePrefix="1" applyNumberFormat="1" applyFill="1" applyBorder="1" applyAlignment="1">
      <alignment horizontal="center"/>
    </xf>
    <xf numFmtId="0" fontId="0" fillId="0" borderId="45" xfId="0" quotePrefix="1" applyFill="1" applyBorder="1" applyAlignment="1">
      <alignment horizontal="center"/>
    </xf>
    <xf numFmtId="0" fontId="2" fillId="0" borderId="0" xfId="0" applyFont="1" applyAlignment="1">
      <alignment horizontal="right"/>
    </xf>
    <xf numFmtId="0" fontId="12" fillId="0" borderId="0" xfId="0" applyFont="1" applyAlignment="1">
      <alignment horizontal="right"/>
    </xf>
    <xf numFmtId="164" fontId="12" fillId="0" borderId="0" xfId="0" applyNumberFormat="1" applyFont="1" applyAlignment="1">
      <alignment horizontal="right"/>
    </xf>
    <xf numFmtId="164" fontId="12" fillId="0" borderId="0" xfId="0" applyNumberFormat="1" applyFont="1" applyAlignment="1">
      <alignment horizontal="center"/>
    </xf>
    <xf numFmtId="41" fontId="12" fillId="0" borderId="70" xfId="0" applyNumberFormat="1" applyFont="1" applyBorder="1"/>
    <xf numFmtId="164" fontId="2" fillId="0" borderId="0" xfId="0" applyNumberFormat="1" applyFont="1" applyBorder="1"/>
    <xf numFmtId="164" fontId="12" fillId="0" borderId="0" xfId="0" applyNumberFormat="1" applyFont="1" applyBorder="1"/>
    <xf numFmtId="0" fontId="92" fillId="0" borderId="0" xfId="0" applyNumberFormat="1" applyFont="1"/>
    <xf numFmtId="41" fontId="108" fillId="0" borderId="0" xfId="0" applyNumberFormat="1" applyFont="1" applyAlignment="1">
      <alignment horizontal="center"/>
    </xf>
    <xf numFmtId="0" fontId="109" fillId="0" borderId="0" xfId="0" applyFont="1" applyAlignment="1">
      <alignment vertical="center"/>
    </xf>
    <xf numFmtId="43" fontId="0" fillId="0" borderId="0" xfId="0" applyNumberFormat="1" applyFont="1" applyAlignment="1">
      <alignment horizontal="center"/>
    </xf>
    <xf numFmtId="43" fontId="0" fillId="0" borderId="114" xfId="0" applyNumberFormat="1" applyFont="1" applyBorder="1" applyAlignment="1">
      <alignment horizontal="center"/>
    </xf>
    <xf numFmtId="164" fontId="0" fillId="0" borderId="0" xfId="0" applyNumberFormat="1" applyFont="1"/>
    <xf numFmtId="164" fontId="0" fillId="0" borderId="114" xfId="0" applyNumberFormat="1" applyBorder="1" applyAlignment="1">
      <alignment horizontal="center"/>
    </xf>
    <xf numFmtId="164" fontId="3" fillId="0" borderId="0" xfId="0" applyNumberFormat="1" applyFont="1" applyFill="1" applyBorder="1" applyAlignment="1">
      <alignment horizontal="center"/>
    </xf>
    <xf numFmtId="43" fontId="0" fillId="0" borderId="0" xfId="0" applyNumberFormat="1" applyFont="1"/>
    <xf numFmtId="0" fontId="0" fillId="0" borderId="8" xfId="0" applyFill="1" applyBorder="1" applyAlignment="1">
      <alignment horizontal="center" vertical="top"/>
    </xf>
    <xf numFmtId="0" fontId="0" fillId="0" borderId="8" xfId="0" applyFill="1" applyBorder="1" applyAlignment="1">
      <alignment horizontal="center" vertical="top"/>
    </xf>
    <xf numFmtId="49" fontId="0" fillId="0" borderId="60" xfId="0" applyNumberFormat="1" applyBorder="1" applyAlignment="1">
      <alignment horizontal="center" vertical="top"/>
    </xf>
    <xf numFmtId="0" fontId="0" fillId="0" borderId="8" xfId="0" applyBorder="1" applyAlignment="1">
      <alignment horizontal="center" vertical="top"/>
    </xf>
    <xf numFmtId="0" fontId="3" fillId="15" borderId="115" xfId="0" applyFont="1" applyFill="1" applyBorder="1" applyAlignment="1">
      <alignment horizontal="center"/>
    </xf>
    <xf numFmtId="49" fontId="0" fillId="0" borderId="34" xfId="0" applyNumberFormat="1" applyBorder="1" applyAlignment="1">
      <alignment horizontal="center" vertical="top"/>
    </xf>
    <xf numFmtId="2" fontId="0" fillId="0" borderId="0" xfId="0" applyNumberFormat="1"/>
    <xf numFmtId="2" fontId="97" fillId="0" borderId="0" xfId="0" applyNumberFormat="1" applyFont="1" applyBorder="1"/>
    <xf numFmtId="0" fontId="97" fillId="0" borderId="0" xfId="0" applyFont="1"/>
    <xf numFmtId="0" fontId="96" fillId="0" borderId="0" xfId="0" applyFont="1"/>
    <xf numFmtId="0" fontId="114" fillId="0" borderId="0" xfId="0" applyFont="1" applyAlignment="1">
      <alignment horizontal="center"/>
    </xf>
    <xf numFmtId="0" fontId="116" fillId="0" borderId="0" xfId="0" applyFont="1"/>
    <xf numFmtId="0" fontId="114" fillId="0" borderId="0" xfId="0" applyFont="1" applyAlignment="1">
      <alignment horizontal="center"/>
    </xf>
    <xf numFmtId="0" fontId="3" fillId="0" borderId="41" xfId="0" applyFont="1" applyBorder="1" applyAlignment="1">
      <alignment horizontal="center"/>
    </xf>
    <xf numFmtId="0" fontId="22" fillId="0" borderId="0" xfId="1063" applyFont="1" applyAlignment="1">
      <alignment horizontal="center"/>
    </xf>
    <xf numFmtId="0" fontId="115" fillId="0" borderId="0" xfId="0" applyFont="1" applyAlignment="1">
      <alignment horizontal="center"/>
    </xf>
    <xf numFmtId="0" fontId="0" fillId="0" borderId="31" xfId="0" applyFill="1" applyBorder="1" applyAlignment="1">
      <alignment horizontal="center" vertical="top" wrapText="1"/>
    </xf>
    <xf numFmtId="0" fontId="0" fillId="0" borderId="14" xfId="0" applyFill="1" applyBorder="1" applyAlignment="1">
      <alignment horizontal="center" vertical="top" wrapText="1"/>
    </xf>
    <xf numFmtId="0" fontId="0" fillId="0" borderId="20" xfId="0" applyFill="1" applyBorder="1" applyAlignment="1">
      <alignment horizontal="center" vertical="top" wrapText="1"/>
    </xf>
    <xf numFmtId="0" fontId="0" fillId="0" borderId="16" xfId="0" applyFill="1" applyBorder="1" applyAlignment="1">
      <alignment horizontal="center" vertical="top" wrapText="1"/>
    </xf>
    <xf numFmtId="0" fontId="0" fillId="0" borderId="19" xfId="0" applyBorder="1" applyAlignment="1">
      <alignment horizontal="center" vertical="top"/>
    </xf>
    <xf numFmtId="0" fontId="0" fillId="0" borderId="8" xfId="0" applyFill="1" applyBorder="1" applyAlignment="1">
      <alignment horizontal="center" vertical="top"/>
    </xf>
    <xf numFmtId="0" fontId="0" fillId="0" borderId="31" xfId="0" applyFill="1" applyBorder="1" applyAlignment="1">
      <alignment horizontal="center"/>
    </xf>
    <xf numFmtId="0" fontId="0" fillId="0" borderId="26" xfId="0" applyFill="1" applyBorder="1" applyAlignment="1">
      <alignment horizontal="center"/>
    </xf>
    <xf numFmtId="0" fontId="0" fillId="0" borderId="14" xfId="0" applyFill="1" applyBorder="1" applyAlignment="1">
      <alignment horizontal="center"/>
    </xf>
    <xf numFmtId="17" fontId="0" fillId="0" borderId="20" xfId="0" applyNumberFormat="1" applyFill="1" applyBorder="1" applyAlignment="1">
      <alignment horizontal="center"/>
    </xf>
    <xf numFmtId="17" fontId="0" fillId="0" borderId="16" xfId="0" applyNumberFormat="1" applyFill="1" applyBorder="1" applyAlignment="1">
      <alignment horizontal="center"/>
    </xf>
    <xf numFmtId="0" fontId="0" fillId="0" borderId="20" xfId="0" applyFill="1" applyBorder="1" applyAlignment="1">
      <alignment horizontal="center"/>
    </xf>
    <xf numFmtId="0" fontId="0" fillId="0" borderId="16" xfId="0" applyFill="1" applyBorder="1" applyAlignment="1">
      <alignment horizontal="center"/>
    </xf>
    <xf numFmtId="0" fontId="0" fillId="0" borderId="8" xfId="0" applyFill="1" applyBorder="1" applyAlignment="1">
      <alignment horizontal="center"/>
    </xf>
    <xf numFmtId="0" fontId="0" fillId="0" borderId="44" xfId="0" applyFill="1" applyBorder="1" applyAlignment="1">
      <alignment horizontal="center"/>
    </xf>
    <xf numFmtId="0" fontId="0" fillId="0" borderId="42" xfId="0" applyFill="1" applyBorder="1" applyAlignment="1">
      <alignment horizontal="center"/>
    </xf>
    <xf numFmtId="0" fontId="0" fillId="0" borderId="22" xfId="0" applyFill="1" applyBorder="1" applyAlignment="1">
      <alignment horizontal="center"/>
    </xf>
    <xf numFmtId="17" fontId="0" fillId="0" borderId="8" xfId="0" applyNumberFormat="1" applyFill="1" applyBorder="1" applyAlignment="1">
      <alignment horizontal="center"/>
    </xf>
    <xf numFmtId="17" fontId="0" fillId="0" borderId="12" xfId="0" applyNumberFormat="1" applyFill="1" applyBorder="1" applyAlignment="1">
      <alignment horizontal="center"/>
    </xf>
    <xf numFmtId="17" fontId="0" fillId="0" borderId="45" xfId="0" applyNumberFormat="1" applyFill="1" applyBorder="1" applyAlignment="1">
      <alignment horizontal="center"/>
    </xf>
    <xf numFmtId="17" fontId="0" fillId="0" borderId="44" xfId="0" applyNumberFormat="1" applyFill="1" applyBorder="1" applyAlignment="1">
      <alignment horizontal="center"/>
    </xf>
    <xf numFmtId="17" fontId="0" fillId="0" borderId="46" xfId="0" applyNumberFormat="1" applyFill="1" applyBorder="1" applyAlignment="1">
      <alignment horizontal="center"/>
    </xf>
    <xf numFmtId="17" fontId="0" fillId="0" borderId="34" xfId="0" applyNumberFormat="1" applyFill="1" applyBorder="1" applyAlignment="1">
      <alignment horizontal="center"/>
    </xf>
    <xf numFmtId="17" fontId="0" fillId="0" borderId="32" xfId="0" applyNumberFormat="1" applyFill="1" applyBorder="1" applyAlignment="1">
      <alignment horizontal="center"/>
    </xf>
    <xf numFmtId="0" fontId="21" fillId="0" borderId="0" xfId="0" applyFont="1" applyAlignment="1">
      <alignment horizontal="center"/>
    </xf>
    <xf numFmtId="0" fontId="22" fillId="15" borderId="52" xfId="0" applyFont="1" applyFill="1" applyBorder="1" applyAlignment="1">
      <alignment horizontal="center"/>
    </xf>
    <xf numFmtId="0" fontId="22" fillId="15" borderId="53" xfId="0" applyFont="1" applyFill="1" applyBorder="1" applyAlignment="1">
      <alignment horizontal="center"/>
    </xf>
    <xf numFmtId="0" fontId="0" fillId="0" borderId="31" xfId="0" applyFill="1" applyBorder="1" applyAlignment="1">
      <alignment vertical="top" wrapText="1"/>
    </xf>
    <xf numFmtId="0" fontId="0" fillId="0" borderId="14" xfId="0" applyFill="1" applyBorder="1" applyAlignment="1">
      <alignment vertical="top" wrapText="1"/>
    </xf>
    <xf numFmtId="0" fontId="3" fillId="0" borderId="0" xfId="0" applyFont="1" applyAlignment="1">
      <alignment horizontal="center"/>
    </xf>
    <xf numFmtId="0" fontId="4" fillId="0" borderId="0" xfId="0" applyFont="1" applyAlignment="1">
      <alignment horizontal="center"/>
    </xf>
    <xf numFmtId="0" fontId="0" fillId="0" borderId="19" xfId="0" applyBorder="1" applyAlignment="1">
      <alignment horizontal="center"/>
    </xf>
    <xf numFmtId="0" fontId="0" fillId="0" borderId="19" xfId="0" applyFill="1" applyBorder="1" applyAlignment="1">
      <alignment horizontal="center"/>
    </xf>
    <xf numFmtId="0" fontId="0" fillId="0" borderId="31" xfId="0" applyFill="1" applyBorder="1" applyAlignment="1">
      <alignment horizontal="left"/>
    </xf>
    <xf numFmtId="0" fontId="0" fillId="0" borderId="26" xfId="0" applyFill="1" applyBorder="1" applyAlignment="1">
      <alignment horizontal="left"/>
    </xf>
    <xf numFmtId="0" fontId="0" fillId="0" borderId="14" xfId="0" applyFill="1" applyBorder="1" applyAlignment="1">
      <alignment horizontal="left"/>
    </xf>
    <xf numFmtId="0" fontId="0" fillId="0" borderId="22" xfId="0" applyFill="1" applyBorder="1" applyAlignment="1">
      <alignment horizontal="left"/>
    </xf>
  </cellXfs>
  <cellStyles count="2277">
    <cellStyle name="_x0013_" xfId="13"/>
    <cellStyle name="_09GRC Gas Transport For Review" xfId="14"/>
    <cellStyle name="_4.06E Pass Throughs" xfId="15"/>
    <cellStyle name="_4.06E Pass Throughs_04 07E Wild Horse Wind Expansion (C) (2)" xfId="16"/>
    <cellStyle name="_4.06E Pass Throughs_3.01 Income Statement" xfId="17"/>
    <cellStyle name="_4.06E Pass Throughs_4 31 Regulatory Assets and Liabilities  7 06- Exhibit D" xfId="18"/>
    <cellStyle name="_4.06E Pass Throughs_4 32 Regulatory Assets and Liabilities  7 06- Exhibit D" xfId="19"/>
    <cellStyle name="_4.06E Pass Throughs_Book9" xfId="20"/>
    <cellStyle name="_4.13E Montana Energy Tax" xfId="21"/>
    <cellStyle name="_4.13E Montana Energy Tax_04 07E Wild Horse Wind Expansion (C) (2)" xfId="22"/>
    <cellStyle name="_4.13E Montana Energy Tax_3.01 Income Statement" xfId="23"/>
    <cellStyle name="_4.13E Montana Energy Tax_4 31 Regulatory Assets and Liabilities  7 06- Exhibit D" xfId="24"/>
    <cellStyle name="_4.13E Montana Energy Tax_4 32 Regulatory Assets and Liabilities  7 06- Exhibit D" xfId="25"/>
    <cellStyle name="_4.13E Montana Energy Tax_Book9" xfId="26"/>
    <cellStyle name="_AURORA WIP" xfId="27"/>
    <cellStyle name="_Book1" xfId="28"/>
    <cellStyle name="_Book1 (2)" xfId="29"/>
    <cellStyle name="_Book1 (2)_04 07E Wild Horse Wind Expansion (C) (2)" xfId="30"/>
    <cellStyle name="_Book1 (2)_3.01 Income Statement" xfId="31"/>
    <cellStyle name="_Book1 (2)_4 31 Regulatory Assets and Liabilities  7 06- Exhibit D" xfId="32"/>
    <cellStyle name="_Book1 (2)_4 32 Regulatory Assets and Liabilities  7 06- Exhibit D" xfId="33"/>
    <cellStyle name="_Book1 (2)_Book9" xfId="34"/>
    <cellStyle name="_Book1_3.01 Income Statement" xfId="35"/>
    <cellStyle name="_Book1_4 31 Regulatory Assets and Liabilities  7 06- Exhibit D" xfId="36"/>
    <cellStyle name="_Book1_4 32 Regulatory Assets and Liabilities  7 06- Exhibit D" xfId="37"/>
    <cellStyle name="_Book1_Book9" xfId="38"/>
    <cellStyle name="_Book2" xfId="39"/>
    <cellStyle name="_Book2_04 07E Wild Horse Wind Expansion (C) (2)" xfId="40"/>
    <cellStyle name="_Book2_3.01 Income Statement" xfId="41"/>
    <cellStyle name="_Book2_4 31 Regulatory Assets and Liabilities  7 06- Exhibit D" xfId="42"/>
    <cellStyle name="_Book2_4 32 Regulatory Assets and Liabilities  7 06- Exhibit D" xfId="43"/>
    <cellStyle name="_Book2_Book9" xfId="44"/>
    <cellStyle name="_Book3" xfId="45"/>
    <cellStyle name="_Book5" xfId="46"/>
    <cellStyle name="_Chelan Debt Forecast 12.19.05" xfId="47"/>
    <cellStyle name="_Chelan Debt Forecast 12.19.05_3.01 Income Statement" xfId="48"/>
    <cellStyle name="_Chelan Debt Forecast 12.19.05_4 31 Regulatory Assets and Liabilities  7 06- Exhibit D" xfId="49"/>
    <cellStyle name="_Chelan Debt Forecast 12.19.05_4 32 Regulatory Assets and Liabilities  7 06- Exhibit D" xfId="50"/>
    <cellStyle name="_Chelan Debt Forecast 12.19.05_Book9" xfId="51"/>
    <cellStyle name="_Copy 11-9 Sumas Proforma - Current" xfId="52"/>
    <cellStyle name="_Costs not in AURORA 06GRC" xfId="53"/>
    <cellStyle name="_Costs not in AURORA 06GRC_04 07E Wild Horse Wind Expansion (C) (2)" xfId="54"/>
    <cellStyle name="_Costs not in AURORA 06GRC_3.01 Income Statement" xfId="55"/>
    <cellStyle name="_Costs not in AURORA 06GRC_4 31 Regulatory Assets and Liabilities  7 06- Exhibit D" xfId="56"/>
    <cellStyle name="_Costs not in AURORA 06GRC_4 32 Regulatory Assets and Liabilities  7 06- Exhibit D" xfId="57"/>
    <cellStyle name="_Costs not in AURORA 06GRC_Book9" xfId="58"/>
    <cellStyle name="_Costs not in AURORA 2006GRC 6.15.06" xfId="59"/>
    <cellStyle name="_Costs not in AURORA 2006GRC 6.15.06_04 07E Wild Horse Wind Expansion (C) (2)" xfId="60"/>
    <cellStyle name="_Costs not in AURORA 2006GRC 6.15.06_3.01 Income Statement" xfId="61"/>
    <cellStyle name="_Costs not in AURORA 2006GRC 6.15.06_4 31 Regulatory Assets and Liabilities  7 06- Exhibit D" xfId="62"/>
    <cellStyle name="_Costs not in AURORA 2006GRC 6.15.06_4 32 Regulatory Assets and Liabilities  7 06- Exhibit D" xfId="63"/>
    <cellStyle name="_Costs not in AURORA 2006GRC 6.15.06_Book9" xfId="64"/>
    <cellStyle name="_Costs not in AURORA 2006GRC w gas price updated" xfId="65"/>
    <cellStyle name="_Costs not in AURORA 2007 Rate Case" xfId="66"/>
    <cellStyle name="_Costs not in AURORA 2007 Rate Case_3.01 Income Statement" xfId="67"/>
    <cellStyle name="_Costs not in AURORA 2007 Rate Case_4 31 Regulatory Assets and Liabilities  7 06- Exhibit D" xfId="68"/>
    <cellStyle name="_Costs not in AURORA 2007 Rate Case_4 32 Regulatory Assets and Liabilities  7 06- Exhibit D" xfId="69"/>
    <cellStyle name="_Costs not in AURORA 2007 Rate Case_Book9" xfId="70"/>
    <cellStyle name="_Costs not in KWI3000 '06Budget" xfId="71"/>
    <cellStyle name="_Costs not in KWI3000 '06Budget_3.01 Income Statement" xfId="72"/>
    <cellStyle name="_Costs not in KWI3000 '06Budget_4 31 Regulatory Assets and Liabilities  7 06- Exhibit D" xfId="73"/>
    <cellStyle name="_Costs not in KWI3000 '06Budget_4 32 Regulatory Assets and Liabilities  7 06- Exhibit D" xfId="74"/>
    <cellStyle name="_Costs not in KWI3000 '06Budget_Book9" xfId="75"/>
    <cellStyle name="_DEM-WP (C) Power Cost 2006GRC Order" xfId="76"/>
    <cellStyle name="_DEM-WP (C) Power Cost 2006GRC Order_04 07E Wild Horse Wind Expansion (C) (2)" xfId="77"/>
    <cellStyle name="_DEM-WP (C) Power Cost 2006GRC Order_3.01 Income Statement" xfId="78"/>
    <cellStyle name="_DEM-WP (C) Power Cost 2006GRC Order_4 31 Regulatory Assets and Liabilities  7 06- Exhibit D" xfId="79"/>
    <cellStyle name="_DEM-WP (C) Power Cost 2006GRC Order_4 32 Regulatory Assets and Liabilities  7 06- Exhibit D" xfId="80"/>
    <cellStyle name="_DEM-WP (C) Power Cost 2006GRC Order_Book9" xfId="81"/>
    <cellStyle name="_DEM-WP Revised (HC) Wild Horse 2006GRC" xfId="82"/>
    <cellStyle name="_DEM-WP(C) Colstrip FOR" xfId="83"/>
    <cellStyle name="_DEM-WP(C) Costs not in AURORA 2006GRC" xfId="84"/>
    <cellStyle name="_DEM-WP(C) Costs not in AURORA 2006GRC_3.01 Income Statement" xfId="85"/>
    <cellStyle name="_DEM-WP(C) Costs not in AURORA 2006GRC_4 31 Regulatory Assets and Liabilities  7 06- Exhibit D" xfId="86"/>
    <cellStyle name="_DEM-WP(C) Costs not in AURORA 2006GRC_4 32 Regulatory Assets and Liabilities  7 06- Exhibit D" xfId="87"/>
    <cellStyle name="_DEM-WP(C) Costs not in AURORA 2006GRC_Book9" xfId="88"/>
    <cellStyle name="_DEM-WP(C) Costs not in AURORA 2007GRC" xfId="89"/>
    <cellStyle name="_DEM-WP(C) Costs not in AURORA 2007PCORC-5.07Update" xfId="90"/>
    <cellStyle name="_DEM-WP(C) Costs not in AURORA 2007PCORC-5.07Update_DEM-WP(C) Production O&amp;M 2009GRC Rebuttal" xfId="91"/>
    <cellStyle name="_DEM-WP(C) Prod O&amp;M 2007GRC" xfId="92"/>
    <cellStyle name="_DEM-WP(C) Rate Year Sumas by Month Update Corrected" xfId="93"/>
    <cellStyle name="_DEM-WP(C) Sumas Proforma 11.5.07" xfId="94"/>
    <cellStyle name="_DEM-WP(C) Westside Hydro Data_051007" xfId="95"/>
    <cellStyle name="_Fixed Gas Transport 1 19 09" xfId="96"/>
    <cellStyle name="_Fuel Prices 4-14" xfId="97"/>
    <cellStyle name="_Fuel Prices 4-14_04 07E Wild Horse Wind Expansion (C) (2)" xfId="98"/>
    <cellStyle name="_Fuel Prices 4-14_3.01 Income Statement" xfId="99"/>
    <cellStyle name="_Fuel Prices 4-14_4 31 Regulatory Assets and Liabilities  7 06- Exhibit D" xfId="100"/>
    <cellStyle name="_Fuel Prices 4-14_4 32 Regulatory Assets and Liabilities  7 06- Exhibit D" xfId="101"/>
    <cellStyle name="_Fuel Prices 4-14_Book9" xfId="102"/>
    <cellStyle name="_Gas Transportation Charges_2009GRC_120308" xfId="103"/>
    <cellStyle name="_NIM 06 Base Case Current Trends" xfId="104"/>
    <cellStyle name="_Portfolio SPlan Base Case.xls Chart 1" xfId="105"/>
    <cellStyle name="_Portfolio SPlan Base Case.xls Chart 2" xfId="106"/>
    <cellStyle name="_Portfolio SPlan Base Case.xls Chart 3" xfId="107"/>
    <cellStyle name="_Power Cost Value Copy 11.30.05 gas 1.09.06 AURORA at 1.10.06" xfId="108"/>
    <cellStyle name="_Power Cost Value Copy 11.30.05 gas 1.09.06 AURORA at 1.10.06_04 07E Wild Horse Wind Expansion (C) (2)" xfId="109"/>
    <cellStyle name="_Power Cost Value Copy 11.30.05 gas 1.09.06 AURORA at 1.10.06_3.01 Income Statement" xfId="110"/>
    <cellStyle name="_Power Cost Value Copy 11.30.05 gas 1.09.06 AURORA at 1.10.06_4 31 Regulatory Assets and Liabilities  7 06- Exhibit D" xfId="111"/>
    <cellStyle name="_Power Cost Value Copy 11.30.05 gas 1.09.06 AURORA at 1.10.06_4 32 Regulatory Assets and Liabilities  7 06- Exhibit D" xfId="112"/>
    <cellStyle name="_Power Cost Value Copy 11.30.05 gas 1.09.06 AURORA at 1.10.06_Book9" xfId="113"/>
    <cellStyle name="_Pro Forma Rev 07 GRC" xfId="114"/>
    <cellStyle name="_Recon to Darrin's 5.11.05 proforma" xfId="115"/>
    <cellStyle name="_Recon to Darrin's 5.11.05 proforma_3.01 Income Statement" xfId="116"/>
    <cellStyle name="_Recon to Darrin's 5.11.05 proforma_4 31 Regulatory Assets and Liabilities  7 06- Exhibit D" xfId="117"/>
    <cellStyle name="_Recon to Darrin's 5.11.05 proforma_4 32 Regulatory Assets and Liabilities  7 06- Exhibit D" xfId="118"/>
    <cellStyle name="_Recon to Darrin's 5.11.05 proforma_Book9" xfId="119"/>
    <cellStyle name="_Revenue" xfId="120"/>
    <cellStyle name="_Revenue_Data" xfId="121"/>
    <cellStyle name="_Revenue_Data_1" xfId="122"/>
    <cellStyle name="_Revenue_Data_Pro Forma Rev 09 GRC" xfId="123"/>
    <cellStyle name="_Revenue_Data_Pro Forma Rev 2010 GRC" xfId="124"/>
    <cellStyle name="_Revenue_Data_Pro Forma Rev 2010 GRC_Preliminary" xfId="125"/>
    <cellStyle name="_Revenue_Data_Revenue (Feb 09 - Jan 10)" xfId="126"/>
    <cellStyle name="_Revenue_Data_Revenue (Jan 09 - Dec 09)" xfId="127"/>
    <cellStyle name="_Revenue_Data_Revenue (Mar 09 - Feb 10)" xfId="128"/>
    <cellStyle name="_Revenue_Data_Volume Exhibit (Jan09 - Dec09)" xfId="129"/>
    <cellStyle name="_Revenue_Mins" xfId="130"/>
    <cellStyle name="_Revenue_Pro Forma Rev 07 GRC" xfId="131"/>
    <cellStyle name="_Revenue_Pro Forma Rev 08 GRC" xfId="132"/>
    <cellStyle name="_Revenue_Pro Forma Rev 09 GRC" xfId="133"/>
    <cellStyle name="_Revenue_Pro Forma Rev 2010 GRC" xfId="134"/>
    <cellStyle name="_Revenue_Pro Forma Rev 2010 GRC_Preliminary" xfId="135"/>
    <cellStyle name="_Revenue_Revenue (Feb 09 - Jan 10)" xfId="136"/>
    <cellStyle name="_Revenue_Revenue (Jan 09 - Dec 09)" xfId="137"/>
    <cellStyle name="_Revenue_Revenue (Mar 09 - Feb 10)" xfId="138"/>
    <cellStyle name="_Revenue_Sheet2" xfId="139"/>
    <cellStyle name="_Revenue_Therms Data" xfId="140"/>
    <cellStyle name="_Revenue_Therms Data Rerun" xfId="141"/>
    <cellStyle name="_Revenue_Volume Exhibit (Jan09 - Dec09)" xfId="142"/>
    <cellStyle name="_Sumas Proforma - 11-09-07" xfId="143"/>
    <cellStyle name="_Sumas Property Taxes v1" xfId="144"/>
    <cellStyle name="_Tenaska Comparison" xfId="145"/>
    <cellStyle name="_Tenaska Comparison_3.01 Income Statement" xfId="146"/>
    <cellStyle name="_Tenaska Comparison_4 31 Regulatory Assets and Liabilities  7 06- Exhibit D" xfId="147"/>
    <cellStyle name="_Tenaska Comparison_4 32 Regulatory Assets and Liabilities  7 06- Exhibit D" xfId="148"/>
    <cellStyle name="_Tenaska Comparison_Book9" xfId="149"/>
    <cellStyle name="_Therms Data" xfId="150"/>
    <cellStyle name="_Therms Data_Pro Forma Rev 09 GRC" xfId="151"/>
    <cellStyle name="_Therms Data_Pro Forma Rev 2010 GRC" xfId="152"/>
    <cellStyle name="_Therms Data_Pro Forma Rev 2010 GRC_Preliminary" xfId="153"/>
    <cellStyle name="_Therms Data_Revenue (Feb 09 - Jan 10)" xfId="154"/>
    <cellStyle name="_Therms Data_Revenue (Jan 09 - Dec 09)" xfId="155"/>
    <cellStyle name="_Therms Data_Revenue (Mar 09 - Feb 10)" xfId="156"/>
    <cellStyle name="_Therms Data_Volume Exhibit (Jan09 - Dec09)" xfId="157"/>
    <cellStyle name="_Value Copy 11 30 05 gas 12 09 05 AURORA at 12 14 05" xfId="158"/>
    <cellStyle name="_Value Copy 11 30 05 gas 12 09 05 AURORA at 12 14 05_04 07E Wild Horse Wind Expansion (C) (2)" xfId="159"/>
    <cellStyle name="_Value Copy 11 30 05 gas 12 09 05 AURORA at 12 14 05_3.01 Income Statement" xfId="160"/>
    <cellStyle name="_Value Copy 11 30 05 gas 12 09 05 AURORA at 12 14 05_4 31 Regulatory Assets and Liabilities  7 06- Exhibit D" xfId="161"/>
    <cellStyle name="_Value Copy 11 30 05 gas 12 09 05 AURORA at 12 14 05_4 32 Regulatory Assets and Liabilities  7 06- Exhibit D" xfId="162"/>
    <cellStyle name="_Value Copy 11 30 05 gas 12 09 05 AURORA at 12 14 05_Book9" xfId="163"/>
    <cellStyle name="_VC 6.15.06 update on 06GRC power costs.xls Chart 1" xfId="164"/>
    <cellStyle name="_VC 6.15.06 update on 06GRC power costs.xls Chart 1_04 07E Wild Horse Wind Expansion (C) (2)" xfId="165"/>
    <cellStyle name="_VC 6.15.06 update on 06GRC power costs.xls Chart 1_3.01 Income Statement" xfId="166"/>
    <cellStyle name="_VC 6.15.06 update on 06GRC power costs.xls Chart 1_4 31 Regulatory Assets and Liabilities  7 06- Exhibit D" xfId="167"/>
    <cellStyle name="_VC 6.15.06 update on 06GRC power costs.xls Chart 1_4 32 Regulatory Assets and Liabilities  7 06- Exhibit D" xfId="168"/>
    <cellStyle name="_VC 6.15.06 update on 06GRC power costs.xls Chart 1_Book9" xfId="169"/>
    <cellStyle name="_VC 6.15.06 update on 06GRC power costs.xls Chart 2" xfId="170"/>
    <cellStyle name="_VC 6.15.06 update on 06GRC power costs.xls Chart 2_04 07E Wild Horse Wind Expansion (C) (2)" xfId="171"/>
    <cellStyle name="_VC 6.15.06 update on 06GRC power costs.xls Chart 2_3.01 Income Statement" xfId="172"/>
    <cellStyle name="_VC 6.15.06 update on 06GRC power costs.xls Chart 2_4 31 Regulatory Assets and Liabilities  7 06- Exhibit D" xfId="173"/>
    <cellStyle name="_VC 6.15.06 update on 06GRC power costs.xls Chart 2_4 32 Regulatory Assets and Liabilities  7 06- Exhibit D" xfId="174"/>
    <cellStyle name="_VC 6.15.06 update on 06GRC power costs.xls Chart 2_Book9" xfId="175"/>
    <cellStyle name="_VC 6.15.06 update on 06GRC power costs.xls Chart 3" xfId="176"/>
    <cellStyle name="_VC 6.15.06 update on 06GRC power costs.xls Chart 3_04 07E Wild Horse Wind Expansion (C) (2)" xfId="177"/>
    <cellStyle name="_VC 6.15.06 update on 06GRC power costs.xls Chart 3_3.01 Income Statement" xfId="178"/>
    <cellStyle name="_VC 6.15.06 update on 06GRC power costs.xls Chart 3_4 31 Regulatory Assets and Liabilities  7 06- Exhibit D" xfId="179"/>
    <cellStyle name="_VC 6.15.06 update on 06GRC power costs.xls Chart 3_4 32 Regulatory Assets and Liabilities  7 06- Exhibit D" xfId="180"/>
    <cellStyle name="_VC 6.15.06 update on 06GRC power costs.xls Chart 3_Book9" xfId="181"/>
    <cellStyle name="0,0_x000d__x000a_NA_x000d__x000a_" xfId="182"/>
    <cellStyle name="0000" xfId="183"/>
    <cellStyle name="000000" xfId="184"/>
    <cellStyle name="20% - Accent1 2" xfId="185"/>
    <cellStyle name="20% - Accent1 3" xfId="186"/>
    <cellStyle name="20% - Accent2 2" xfId="187"/>
    <cellStyle name="20% - Accent2 3" xfId="188"/>
    <cellStyle name="20% - Accent3 2" xfId="189"/>
    <cellStyle name="20% - Accent3 3" xfId="190"/>
    <cellStyle name="20% - Accent4 2" xfId="191"/>
    <cellStyle name="20% - Accent4 3" xfId="192"/>
    <cellStyle name="20% - Accent5 2" xfId="193"/>
    <cellStyle name="20% - Accent5 3" xfId="194"/>
    <cellStyle name="20% - Accent6 2" xfId="195"/>
    <cellStyle name="20% - Accent6 3" xfId="196"/>
    <cellStyle name="40% - Accent1 2" xfId="197"/>
    <cellStyle name="40% - Accent1 3" xfId="198"/>
    <cellStyle name="40% - Accent2 2" xfId="199"/>
    <cellStyle name="40% - Accent2 3" xfId="200"/>
    <cellStyle name="40% - Accent3 2" xfId="201"/>
    <cellStyle name="40% - Accent3 3" xfId="202"/>
    <cellStyle name="40% - Accent4 2" xfId="203"/>
    <cellStyle name="40% - Accent4 3" xfId="204"/>
    <cellStyle name="40% - Accent5 2" xfId="205"/>
    <cellStyle name="40% - Accent5 3" xfId="206"/>
    <cellStyle name="40% - Accent6 2" xfId="207"/>
    <cellStyle name="40% - Accent6 3" xfId="208"/>
    <cellStyle name="60% - Accent1 2" xfId="209"/>
    <cellStyle name="60% - Accent2 2" xfId="210"/>
    <cellStyle name="60% - Accent3 2" xfId="211"/>
    <cellStyle name="60% - Accent4 2" xfId="212"/>
    <cellStyle name="60% - Accent5 2" xfId="213"/>
    <cellStyle name="60% - Accent6 2" xfId="214"/>
    <cellStyle name="Accent1 - 20%" xfId="215"/>
    <cellStyle name="Accent1 - 20% 2" xfId="216"/>
    <cellStyle name="Accent1 - 40%" xfId="217"/>
    <cellStyle name="Accent1 - 40% 2" xfId="218"/>
    <cellStyle name="Accent1 - 60%" xfId="219"/>
    <cellStyle name="Accent1 - 60% 2" xfId="220"/>
    <cellStyle name="Accent1 10" xfId="221"/>
    <cellStyle name="Accent1 11" xfId="222"/>
    <cellStyle name="Accent1 12" xfId="223"/>
    <cellStyle name="Accent1 13" xfId="224"/>
    <cellStyle name="Accent1 14" xfId="225"/>
    <cellStyle name="Accent1 15" xfId="226"/>
    <cellStyle name="Accent1 16" xfId="227"/>
    <cellStyle name="Accent1 17" xfId="228"/>
    <cellStyle name="Accent1 18" xfId="229"/>
    <cellStyle name="Accent1 19" xfId="230"/>
    <cellStyle name="Accent1 2" xfId="231"/>
    <cellStyle name="Accent1 20" xfId="232"/>
    <cellStyle name="Accent1 21" xfId="233"/>
    <cellStyle name="Accent1 22" xfId="234"/>
    <cellStyle name="Accent1 23" xfId="235"/>
    <cellStyle name="Accent1 24" xfId="236"/>
    <cellStyle name="Accent1 25" xfId="237"/>
    <cellStyle name="Accent1 26" xfId="238"/>
    <cellStyle name="Accent1 27" xfId="239"/>
    <cellStyle name="Accent1 28" xfId="240"/>
    <cellStyle name="Accent1 29" xfId="241"/>
    <cellStyle name="Accent1 3" xfId="242"/>
    <cellStyle name="Accent1 30" xfId="243"/>
    <cellStyle name="Accent1 31" xfId="244"/>
    <cellStyle name="Accent1 32" xfId="245"/>
    <cellStyle name="Accent1 33" xfId="246"/>
    <cellStyle name="Accent1 34" xfId="247"/>
    <cellStyle name="Accent1 35" xfId="248"/>
    <cellStyle name="Accent1 36" xfId="249"/>
    <cellStyle name="Accent1 37" xfId="250"/>
    <cellStyle name="Accent1 38" xfId="251"/>
    <cellStyle name="Accent1 39" xfId="252"/>
    <cellStyle name="Accent1 4" xfId="253"/>
    <cellStyle name="Accent1 40" xfId="254"/>
    <cellStyle name="Accent1 41" xfId="255"/>
    <cellStyle name="Accent1 42" xfId="256"/>
    <cellStyle name="Accent1 43" xfId="257"/>
    <cellStyle name="Accent1 44" xfId="258"/>
    <cellStyle name="Accent1 45" xfId="259"/>
    <cellStyle name="Accent1 46" xfId="260"/>
    <cellStyle name="Accent1 47" xfId="261"/>
    <cellStyle name="Accent1 48" xfId="262"/>
    <cellStyle name="Accent1 49" xfId="263"/>
    <cellStyle name="Accent1 5" xfId="264"/>
    <cellStyle name="Accent1 50" xfId="265"/>
    <cellStyle name="Accent1 51" xfId="266"/>
    <cellStyle name="Accent1 52" xfId="267"/>
    <cellStyle name="Accent1 53" xfId="268"/>
    <cellStyle name="Accent1 54" xfId="269"/>
    <cellStyle name="Accent1 55" xfId="270"/>
    <cellStyle name="Accent1 56" xfId="271"/>
    <cellStyle name="Accent1 57" xfId="272"/>
    <cellStyle name="Accent1 58" xfId="273"/>
    <cellStyle name="Accent1 59" xfId="274"/>
    <cellStyle name="Accent1 6" xfId="275"/>
    <cellStyle name="Accent1 60" xfId="276"/>
    <cellStyle name="Accent1 61" xfId="277"/>
    <cellStyle name="Accent1 62" xfId="278"/>
    <cellStyle name="Accent1 63" xfId="279"/>
    <cellStyle name="Accent1 64" xfId="280"/>
    <cellStyle name="Accent1 65" xfId="281"/>
    <cellStyle name="Accent1 66" xfId="282"/>
    <cellStyle name="Accent1 67" xfId="283"/>
    <cellStyle name="Accent1 68" xfId="284"/>
    <cellStyle name="Accent1 69" xfId="285"/>
    <cellStyle name="Accent1 7" xfId="286"/>
    <cellStyle name="Accent1 70" xfId="287"/>
    <cellStyle name="Accent1 71" xfId="288"/>
    <cellStyle name="Accent1 72" xfId="289"/>
    <cellStyle name="Accent1 73" xfId="290"/>
    <cellStyle name="Accent1 74" xfId="291"/>
    <cellStyle name="Accent1 75" xfId="292"/>
    <cellStyle name="Accent1 8" xfId="293"/>
    <cellStyle name="Accent1 9" xfId="294"/>
    <cellStyle name="Accent2 - 20%" xfId="295"/>
    <cellStyle name="Accent2 - 20% 2" xfId="296"/>
    <cellStyle name="Accent2 - 40%" xfId="297"/>
    <cellStyle name="Accent2 - 40% 2" xfId="298"/>
    <cellStyle name="Accent2 - 60%" xfId="299"/>
    <cellStyle name="Accent2 - 60% 2" xfId="300"/>
    <cellStyle name="Accent2 10" xfId="301"/>
    <cellStyle name="Accent2 11" xfId="302"/>
    <cellStyle name="Accent2 12" xfId="303"/>
    <cellStyle name="Accent2 13" xfId="304"/>
    <cellStyle name="Accent2 14" xfId="305"/>
    <cellStyle name="Accent2 15" xfId="306"/>
    <cellStyle name="Accent2 16" xfId="307"/>
    <cellStyle name="Accent2 17" xfId="308"/>
    <cellStyle name="Accent2 18" xfId="309"/>
    <cellStyle name="Accent2 19" xfId="310"/>
    <cellStyle name="Accent2 2" xfId="311"/>
    <cellStyle name="Accent2 20" xfId="312"/>
    <cellStyle name="Accent2 21" xfId="313"/>
    <cellStyle name="Accent2 22" xfId="314"/>
    <cellStyle name="Accent2 23" xfId="315"/>
    <cellStyle name="Accent2 24" xfId="316"/>
    <cellStyle name="Accent2 25" xfId="317"/>
    <cellStyle name="Accent2 26" xfId="318"/>
    <cellStyle name="Accent2 27" xfId="319"/>
    <cellStyle name="Accent2 28" xfId="320"/>
    <cellStyle name="Accent2 29" xfId="321"/>
    <cellStyle name="Accent2 3" xfId="322"/>
    <cellStyle name="Accent2 30" xfId="323"/>
    <cellStyle name="Accent2 31" xfId="324"/>
    <cellStyle name="Accent2 32" xfId="325"/>
    <cellStyle name="Accent2 33" xfId="326"/>
    <cellStyle name="Accent2 34" xfId="327"/>
    <cellStyle name="Accent2 35" xfId="328"/>
    <cellStyle name="Accent2 36" xfId="329"/>
    <cellStyle name="Accent2 37" xfId="330"/>
    <cellStyle name="Accent2 38" xfId="331"/>
    <cellStyle name="Accent2 39" xfId="332"/>
    <cellStyle name="Accent2 4" xfId="333"/>
    <cellStyle name="Accent2 40" xfId="334"/>
    <cellStyle name="Accent2 41" xfId="335"/>
    <cellStyle name="Accent2 42" xfId="336"/>
    <cellStyle name="Accent2 43" xfId="337"/>
    <cellStyle name="Accent2 44" xfId="338"/>
    <cellStyle name="Accent2 45" xfId="339"/>
    <cellStyle name="Accent2 46" xfId="340"/>
    <cellStyle name="Accent2 47" xfId="341"/>
    <cellStyle name="Accent2 48" xfId="342"/>
    <cellStyle name="Accent2 49" xfId="343"/>
    <cellStyle name="Accent2 5" xfId="344"/>
    <cellStyle name="Accent2 50" xfId="345"/>
    <cellStyle name="Accent2 51" xfId="346"/>
    <cellStyle name="Accent2 52" xfId="347"/>
    <cellStyle name="Accent2 53" xfId="348"/>
    <cellStyle name="Accent2 54" xfId="349"/>
    <cellStyle name="Accent2 55" xfId="350"/>
    <cellStyle name="Accent2 56" xfId="351"/>
    <cellStyle name="Accent2 57" xfId="352"/>
    <cellStyle name="Accent2 58" xfId="353"/>
    <cellStyle name="Accent2 59" xfId="354"/>
    <cellStyle name="Accent2 6" xfId="355"/>
    <cellStyle name="Accent2 60" xfId="356"/>
    <cellStyle name="Accent2 61" xfId="357"/>
    <cellStyle name="Accent2 62" xfId="358"/>
    <cellStyle name="Accent2 63" xfId="359"/>
    <cellStyle name="Accent2 64" xfId="360"/>
    <cellStyle name="Accent2 65" xfId="361"/>
    <cellStyle name="Accent2 66" xfId="362"/>
    <cellStyle name="Accent2 67" xfId="363"/>
    <cellStyle name="Accent2 68" xfId="364"/>
    <cellStyle name="Accent2 69" xfId="365"/>
    <cellStyle name="Accent2 7" xfId="366"/>
    <cellStyle name="Accent2 70" xfId="367"/>
    <cellStyle name="Accent2 71" xfId="368"/>
    <cellStyle name="Accent2 72" xfId="369"/>
    <cellStyle name="Accent2 73" xfId="370"/>
    <cellStyle name="Accent2 74" xfId="371"/>
    <cellStyle name="Accent2 75" xfId="372"/>
    <cellStyle name="Accent2 8" xfId="373"/>
    <cellStyle name="Accent2 9" xfId="374"/>
    <cellStyle name="Accent3 - 20%" xfId="375"/>
    <cellStyle name="Accent3 - 20% 2" xfId="376"/>
    <cellStyle name="Accent3 - 40%" xfId="377"/>
    <cellStyle name="Accent3 - 40% 2" xfId="378"/>
    <cellStyle name="Accent3 - 60%" xfId="379"/>
    <cellStyle name="Accent3 - 60% 2" xfId="380"/>
    <cellStyle name="Accent3 10" xfId="381"/>
    <cellStyle name="Accent3 11" xfId="382"/>
    <cellStyle name="Accent3 12" xfId="383"/>
    <cellStyle name="Accent3 13" xfId="384"/>
    <cellStyle name="Accent3 14" xfId="385"/>
    <cellStyle name="Accent3 15" xfId="386"/>
    <cellStyle name="Accent3 16" xfId="387"/>
    <cellStyle name="Accent3 17" xfId="388"/>
    <cellStyle name="Accent3 18" xfId="389"/>
    <cellStyle name="Accent3 19" xfId="390"/>
    <cellStyle name="Accent3 2" xfId="391"/>
    <cellStyle name="Accent3 2 2" xfId="392"/>
    <cellStyle name="Accent3 20" xfId="393"/>
    <cellStyle name="Accent3 21" xfId="394"/>
    <cellStyle name="Accent3 22" xfId="395"/>
    <cellStyle name="Accent3 23" xfId="396"/>
    <cellStyle name="Accent3 24" xfId="397"/>
    <cellStyle name="Accent3 25" xfId="398"/>
    <cellStyle name="Accent3 26" xfId="399"/>
    <cellStyle name="Accent3 27" xfId="400"/>
    <cellStyle name="Accent3 28" xfId="401"/>
    <cellStyle name="Accent3 29" xfId="402"/>
    <cellStyle name="Accent3 3" xfId="403"/>
    <cellStyle name="Accent3 30" xfId="404"/>
    <cellStyle name="Accent3 31" xfId="405"/>
    <cellStyle name="Accent3 32" xfId="406"/>
    <cellStyle name="Accent3 33" xfId="407"/>
    <cellStyle name="Accent3 34" xfId="408"/>
    <cellStyle name="Accent3 35" xfId="409"/>
    <cellStyle name="Accent3 36" xfId="410"/>
    <cellStyle name="Accent3 37" xfId="411"/>
    <cellStyle name="Accent3 38" xfId="412"/>
    <cellStyle name="Accent3 39" xfId="413"/>
    <cellStyle name="Accent3 4" xfId="414"/>
    <cellStyle name="Accent3 40" xfId="415"/>
    <cellStyle name="Accent3 41" xfId="416"/>
    <cellStyle name="Accent3 42" xfId="417"/>
    <cellStyle name="Accent3 43" xfId="418"/>
    <cellStyle name="Accent3 44" xfId="419"/>
    <cellStyle name="Accent3 45" xfId="420"/>
    <cellStyle name="Accent3 46" xfId="421"/>
    <cellStyle name="Accent3 47" xfId="422"/>
    <cellStyle name="Accent3 48" xfId="423"/>
    <cellStyle name="Accent3 49" xfId="424"/>
    <cellStyle name="Accent3 5" xfId="425"/>
    <cellStyle name="Accent3 50" xfId="426"/>
    <cellStyle name="Accent3 51" xfId="427"/>
    <cellStyle name="Accent3 52" xfId="428"/>
    <cellStyle name="Accent3 53" xfId="429"/>
    <cellStyle name="Accent3 54" xfId="430"/>
    <cellStyle name="Accent3 55" xfId="431"/>
    <cellStyle name="Accent3 56" xfId="432"/>
    <cellStyle name="Accent3 57" xfId="433"/>
    <cellStyle name="Accent3 58" xfId="434"/>
    <cellStyle name="Accent3 59" xfId="435"/>
    <cellStyle name="Accent3 6" xfId="436"/>
    <cellStyle name="Accent3 60" xfId="437"/>
    <cellStyle name="Accent3 61" xfId="438"/>
    <cellStyle name="Accent3 62" xfId="439"/>
    <cellStyle name="Accent3 63" xfId="440"/>
    <cellStyle name="Accent3 64" xfId="441"/>
    <cellStyle name="Accent3 65" xfId="442"/>
    <cellStyle name="Accent3 66" xfId="443"/>
    <cellStyle name="Accent3 67" xfId="444"/>
    <cellStyle name="Accent3 68" xfId="445"/>
    <cellStyle name="Accent3 69" xfId="446"/>
    <cellStyle name="Accent3 7" xfId="447"/>
    <cellStyle name="Accent3 70" xfId="448"/>
    <cellStyle name="Accent3 71" xfId="449"/>
    <cellStyle name="Accent3 72" xfId="450"/>
    <cellStyle name="Accent3 73" xfId="451"/>
    <cellStyle name="Accent3 74" xfId="452"/>
    <cellStyle name="Accent3 75" xfId="453"/>
    <cellStyle name="Accent3 8" xfId="454"/>
    <cellStyle name="Accent3 9" xfId="455"/>
    <cellStyle name="Accent4 - 20%" xfId="456"/>
    <cellStyle name="Accent4 - 20% 2" xfId="457"/>
    <cellStyle name="Accent4 - 40%" xfId="458"/>
    <cellStyle name="Accent4 - 40% 2" xfId="459"/>
    <cellStyle name="Accent4 - 60%" xfId="460"/>
    <cellStyle name="Accent4 - 60% 2" xfId="461"/>
    <cellStyle name="Accent4 10" xfId="462"/>
    <cellStyle name="Accent4 11" xfId="463"/>
    <cellStyle name="Accent4 12" xfId="464"/>
    <cellStyle name="Accent4 13" xfId="465"/>
    <cellStyle name="Accent4 14" xfId="466"/>
    <cellStyle name="Accent4 15" xfId="467"/>
    <cellStyle name="Accent4 16" xfId="468"/>
    <cellStyle name="Accent4 17" xfId="469"/>
    <cellStyle name="Accent4 18" xfId="470"/>
    <cellStyle name="Accent4 19" xfId="471"/>
    <cellStyle name="Accent4 2" xfId="472"/>
    <cellStyle name="Accent4 2 2" xfId="473"/>
    <cellStyle name="Accent4 20" xfId="474"/>
    <cellStyle name="Accent4 21" xfId="475"/>
    <cellStyle name="Accent4 22" xfId="476"/>
    <cellStyle name="Accent4 23" xfId="477"/>
    <cellStyle name="Accent4 24" xfId="478"/>
    <cellStyle name="Accent4 25" xfId="479"/>
    <cellStyle name="Accent4 26" xfId="480"/>
    <cellStyle name="Accent4 27" xfId="481"/>
    <cellStyle name="Accent4 28" xfId="482"/>
    <cellStyle name="Accent4 29" xfId="483"/>
    <cellStyle name="Accent4 3" xfId="484"/>
    <cellStyle name="Accent4 30" xfId="485"/>
    <cellStyle name="Accent4 31" xfId="486"/>
    <cellStyle name="Accent4 32" xfId="487"/>
    <cellStyle name="Accent4 33" xfId="488"/>
    <cellStyle name="Accent4 34" xfId="489"/>
    <cellStyle name="Accent4 35" xfId="490"/>
    <cellStyle name="Accent4 36" xfId="491"/>
    <cellStyle name="Accent4 37" xfId="492"/>
    <cellStyle name="Accent4 38" xfId="493"/>
    <cellStyle name="Accent4 39" xfId="494"/>
    <cellStyle name="Accent4 4" xfId="495"/>
    <cellStyle name="Accent4 40" xfId="496"/>
    <cellStyle name="Accent4 41" xfId="497"/>
    <cellStyle name="Accent4 42" xfId="498"/>
    <cellStyle name="Accent4 43" xfId="499"/>
    <cellStyle name="Accent4 44" xfId="500"/>
    <cellStyle name="Accent4 45" xfId="501"/>
    <cellStyle name="Accent4 46" xfId="502"/>
    <cellStyle name="Accent4 47" xfId="503"/>
    <cellStyle name="Accent4 48" xfId="504"/>
    <cellStyle name="Accent4 49" xfId="505"/>
    <cellStyle name="Accent4 5" xfId="506"/>
    <cellStyle name="Accent4 50" xfId="507"/>
    <cellStyle name="Accent4 51" xfId="508"/>
    <cellStyle name="Accent4 52" xfId="509"/>
    <cellStyle name="Accent4 53" xfId="510"/>
    <cellStyle name="Accent4 54" xfId="511"/>
    <cellStyle name="Accent4 55" xfId="512"/>
    <cellStyle name="Accent4 56" xfId="513"/>
    <cellStyle name="Accent4 57" xfId="514"/>
    <cellStyle name="Accent4 58" xfId="515"/>
    <cellStyle name="Accent4 59" xfId="516"/>
    <cellStyle name="Accent4 6" xfId="517"/>
    <cellStyle name="Accent4 60" xfId="518"/>
    <cellStyle name="Accent4 61" xfId="519"/>
    <cellStyle name="Accent4 62" xfId="520"/>
    <cellStyle name="Accent4 63" xfId="521"/>
    <cellStyle name="Accent4 64" xfId="522"/>
    <cellStyle name="Accent4 65" xfId="523"/>
    <cellStyle name="Accent4 66" xfId="524"/>
    <cellStyle name="Accent4 67" xfId="525"/>
    <cellStyle name="Accent4 68" xfId="526"/>
    <cellStyle name="Accent4 69" xfId="527"/>
    <cellStyle name="Accent4 7" xfId="528"/>
    <cellStyle name="Accent4 70" xfId="529"/>
    <cellStyle name="Accent4 71" xfId="530"/>
    <cellStyle name="Accent4 72" xfId="531"/>
    <cellStyle name="Accent4 73" xfId="532"/>
    <cellStyle name="Accent4 74" xfId="533"/>
    <cellStyle name="Accent4 75" xfId="534"/>
    <cellStyle name="Accent4 8" xfId="535"/>
    <cellStyle name="Accent4 9" xfId="536"/>
    <cellStyle name="Accent5 - 20%" xfId="537"/>
    <cellStyle name="Accent5 - 20% 2" xfId="538"/>
    <cellStyle name="Accent5 - 40%" xfId="539"/>
    <cellStyle name="Accent5 - 60%" xfId="540"/>
    <cellStyle name="Accent5 - 60% 2" xfId="541"/>
    <cellStyle name="Accent5 10" xfId="542"/>
    <cellStyle name="Accent5 11" xfId="543"/>
    <cellStyle name="Accent5 12" xfId="544"/>
    <cellStyle name="Accent5 13" xfId="545"/>
    <cellStyle name="Accent5 14" xfId="546"/>
    <cellStyle name="Accent5 15" xfId="547"/>
    <cellStyle name="Accent5 16" xfId="548"/>
    <cellStyle name="Accent5 17" xfId="549"/>
    <cellStyle name="Accent5 18" xfId="550"/>
    <cellStyle name="Accent5 19" xfId="551"/>
    <cellStyle name="Accent5 2" xfId="552"/>
    <cellStyle name="Accent5 2 2" xfId="553"/>
    <cellStyle name="Accent5 20" xfId="554"/>
    <cellStyle name="Accent5 21" xfId="555"/>
    <cellStyle name="Accent5 22" xfId="556"/>
    <cellStyle name="Accent5 23" xfId="557"/>
    <cellStyle name="Accent5 24" xfId="558"/>
    <cellStyle name="Accent5 25" xfId="559"/>
    <cellStyle name="Accent5 26" xfId="560"/>
    <cellStyle name="Accent5 27" xfId="561"/>
    <cellStyle name="Accent5 28" xfId="562"/>
    <cellStyle name="Accent5 29" xfId="563"/>
    <cellStyle name="Accent5 3" xfId="564"/>
    <cellStyle name="Accent5 30" xfId="565"/>
    <cellStyle name="Accent5 31" xfId="566"/>
    <cellStyle name="Accent5 32" xfId="567"/>
    <cellStyle name="Accent5 33" xfId="568"/>
    <cellStyle name="Accent5 34" xfId="569"/>
    <cellStyle name="Accent5 35" xfId="570"/>
    <cellStyle name="Accent5 36" xfId="571"/>
    <cellStyle name="Accent5 37" xfId="572"/>
    <cellStyle name="Accent5 38" xfId="573"/>
    <cellStyle name="Accent5 39" xfId="574"/>
    <cellStyle name="Accent5 4" xfId="575"/>
    <cellStyle name="Accent5 40" xfId="576"/>
    <cellStyle name="Accent5 41" xfId="577"/>
    <cellStyle name="Accent5 42" xfId="578"/>
    <cellStyle name="Accent5 43" xfId="579"/>
    <cellStyle name="Accent5 44" xfId="580"/>
    <cellStyle name="Accent5 45" xfId="581"/>
    <cellStyle name="Accent5 46" xfId="582"/>
    <cellStyle name="Accent5 47" xfId="583"/>
    <cellStyle name="Accent5 48" xfId="584"/>
    <cellStyle name="Accent5 49" xfId="585"/>
    <cellStyle name="Accent5 5" xfId="586"/>
    <cellStyle name="Accent5 50" xfId="587"/>
    <cellStyle name="Accent5 51" xfId="588"/>
    <cellStyle name="Accent5 52" xfId="589"/>
    <cellStyle name="Accent5 53" xfId="590"/>
    <cellStyle name="Accent5 54" xfId="591"/>
    <cellStyle name="Accent5 55" xfId="592"/>
    <cellStyle name="Accent5 56" xfId="593"/>
    <cellStyle name="Accent5 57" xfId="594"/>
    <cellStyle name="Accent5 58" xfId="595"/>
    <cellStyle name="Accent5 59" xfId="596"/>
    <cellStyle name="Accent5 6" xfId="597"/>
    <cellStyle name="Accent5 60" xfId="598"/>
    <cellStyle name="Accent5 61" xfId="599"/>
    <cellStyle name="Accent5 62" xfId="600"/>
    <cellStyle name="Accent5 63" xfId="601"/>
    <cellStyle name="Accent5 64" xfId="602"/>
    <cellStyle name="Accent5 65" xfId="603"/>
    <cellStyle name="Accent5 66" xfId="604"/>
    <cellStyle name="Accent5 67" xfId="605"/>
    <cellStyle name="Accent5 68" xfId="606"/>
    <cellStyle name="Accent5 69" xfId="607"/>
    <cellStyle name="Accent5 7" xfId="608"/>
    <cellStyle name="Accent5 70" xfId="609"/>
    <cellStyle name="Accent5 71" xfId="610"/>
    <cellStyle name="Accent5 72" xfId="611"/>
    <cellStyle name="Accent5 73" xfId="612"/>
    <cellStyle name="Accent5 74" xfId="613"/>
    <cellStyle name="Accent5 75" xfId="614"/>
    <cellStyle name="Accent5 8" xfId="615"/>
    <cellStyle name="Accent5 9" xfId="616"/>
    <cellStyle name="Accent6 - 20%" xfId="617"/>
    <cellStyle name="Accent6 - 40%" xfId="618"/>
    <cellStyle name="Accent6 - 40% 2" xfId="619"/>
    <cellStyle name="Accent6 - 60%" xfId="620"/>
    <cellStyle name="Accent6 - 60% 2" xfId="621"/>
    <cellStyle name="Accent6 10" xfId="622"/>
    <cellStyle name="Accent6 11" xfId="623"/>
    <cellStyle name="Accent6 12" xfId="624"/>
    <cellStyle name="Accent6 13" xfId="625"/>
    <cellStyle name="Accent6 14" xfId="626"/>
    <cellStyle name="Accent6 15" xfId="627"/>
    <cellStyle name="Accent6 16" xfId="628"/>
    <cellStyle name="Accent6 17" xfId="629"/>
    <cellStyle name="Accent6 18" xfId="630"/>
    <cellStyle name="Accent6 19" xfId="631"/>
    <cellStyle name="Accent6 2" xfId="632"/>
    <cellStyle name="Accent6 2 2" xfId="633"/>
    <cellStyle name="Accent6 20" xfId="634"/>
    <cellStyle name="Accent6 21" xfId="635"/>
    <cellStyle name="Accent6 22" xfId="636"/>
    <cellStyle name="Accent6 23" xfId="637"/>
    <cellStyle name="Accent6 24" xfId="638"/>
    <cellStyle name="Accent6 25" xfId="639"/>
    <cellStyle name="Accent6 26" xfId="640"/>
    <cellStyle name="Accent6 27" xfId="641"/>
    <cellStyle name="Accent6 28" xfId="642"/>
    <cellStyle name="Accent6 29" xfId="643"/>
    <cellStyle name="Accent6 3" xfId="644"/>
    <cellStyle name="Accent6 30" xfId="645"/>
    <cellStyle name="Accent6 31" xfId="646"/>
    <cellStyle name="Accent6 32" xfId="647"/>
    <cellStyle name="Accent6 33" xfId="648"/>
    <cellStyle name="Accent6 34" xfId="649"/>
    <cellStyle name="Accent6 35" xfId="650"/>
    <cellStyle name="Accent6 36" xfId="651"/>
    <cellStyle name="Accent6 37" xfId="652"/>
    <cellStyle name="Accent6 38" xfId="653"/>
    <cellStyle name="Accent6 39" xfId="654"/>
    <cellStyle name="Accent6 4" xfId="655"/>
    <cellStyle name="Accent6 40" xfId="656"/>
    <cellStyle name="Accent6 41" xfId="657"/>
    <cellStyle name="Accent6 42" xfId="658"/>
    <cellStyle name="Accent6 43" xfId="659"/>
    <cellStyle name="Accent6 44" xfId="660"/>
    <cellStyle name="Accent6 45" xfId="661"/>
    <cellStyle name="Accent6 46" xfId="662"/>
    <cellStyle name="Accent6 47" xfId="663"/>
    <cellStyle name="Accent6 48" xfId="664"/>
    <cellStyle name="Accent6 49" xfId="665"/>
    <cellStyle name="Accent6 5" xfId="666"/>
    <cellStyle name="Accent6 50" xfId="667"/>
    <cellStyle name="Accent6 51" xfId="668"/>
    <cellStyle name="Accent6 52" xfId="669"/>
    <cellStyle name="Accent6 53" xfId="670"/>
    <cellStyle name="Accent6 54" xfId="671"/>
    <cellStyle name="Accent6 55" xfId="672"/>
    <cellStyle name="Accent6 56" xfId="673"/>
    <cellStyle name="Accent6 57" xfId="674"/>
    <cellStyle name="Accent6 58" xfId="675"/>
    <cellStyle name="Accent6 59" xfId="676"/>
    <cellStyle name="Accent6 6" xfId="677"/>
    <cellStyle name="Accent6 60" xfId="678"/>
    <cellStyle name="Accent6 61" xfId="679"/>
    <cellStyle name="Accent6 62" xfId="680"/>
    <cellStyle name="Accent6 63" xfId="681"/>
    <cellStyle name="Accent6 64" xfId="682"/>
    <cellStyle name="Accent6 65" xfId="683"/>
    <cellStyle name="Accent6 66" xfId="684"/>
    <cellStyle name="Accent6 67" xfId="685"/>
    <cellStyle name="Accent6 68" xfId="686"/>
    <cellStyle name="Accent6 69" xfId="687"/>
    <cellStyle name="Accent6 7" xfId="688"/>
    <cellStyle name="Accent6 70" xfId="689"/>
    <cellStyle name="Accent6 71" xfId="690"/>
    <cellStyle name="Accent6 72" xfId="691"/>
    <cellStyle name="Accent6 73" xfId="692"/>
    <cellStyle name="Accent6 74" xfId="693"/>
    <cellStyle name="Accent6 75" xfId="694"/>
    <cellStyle name="Accent6 8" xfId="695"/>
    <cellStyle name="Accent6 9" xfId="696"/>
    <cellStyle name="Bad 2" xfId="697"/>
    <cellStyle name="Bad 2 2" xfId="698"/>
    <cellStyle name="blank" xfId="699"/>
    <cellStyle name="Calc Currency (0)" xfId="700"/>
    <cellStyle name="Calculation 2" xfId="701"/>
    <cellStyle name="Calculation 2 2" xfId="702"/>
    <cellStyle name="Check Cell 2" xfId="703"/>
    <cellStyle name="Check Cell 2 2" xfId="704"/>
    <cellStyle name="CheckCell" xfId="705"/>
    <cellStyle name="Comma" xfId="1" builtinId="3"/>
    <cellStyle name="Comma 10" xfId="706"/>
    <cellStyle name="Comma 11" xfId="707"/>
    <cellStyle name="Comma 12" xfId="708"/>
    <cellStyle name="Comma 13" xfId="709"/>
    <cellStyle name="Comma 14" xfId="710"/>
    <cellStyle name="Comma 15" xfId="711"/>
    <cellStyle name="Comma 2" xfId="2"/>
    <cellStyle name="Comma 2 2" xfId="712"/>
    <cellStyle name="Comma 2 2 2" xfId="713"/>
    <cellStyle name="Comma 3" xfId="714"/>
    <cellStyle name="Comma 3 2" xfId="715"/>
    <cellStyle name="Comma 3 2 2" xfId="716"/>
    <cellStyle name="Comma 3 2 2 2" xfId="717"/>
    <cellStyle name="Comma 3 2 3" xfId="718"/>
    <cellStyle name="Comma 3 3" xfId="719"/>
    <cellStyle name="Comma 3 3 2" xfId="720"/>
    <cellStyle name="Comma 3 3 2 2" xfId="721"/>
    <cellStyle name="Comma 3 3 3" xfId="722"/>
    <cellStyle name="Comma 3 4" xfId="723"/>
    <cellStyle name="Comma 3 4 2" xfId="724"/>
    <cellStyle name="Comma 3 5" xfId="725"/>
    <cellStyle name="Comma 4" xfId="726"/>
    <cellStyle name="Comma 4 2" xfId="727"/>
    <cellStyle name="Comma 5" xfId="728"/>
    <cellStyle name="Comma 5 2" xfId="729"/>
    <cellStyle name="Comma 6" xfId="730"/>
    <cellStyle name="Comma 6 2" xfId="731"/>
    <cellStyle name="Comma 6 2 2" xfId="732"/>
    <cellStyle name="Comma 6 3" xfId="733"/>
    <cellStyle name="Comma 7" xfId="734"/>
    <cellStyle name="Comma 7 2" xfId="735"/>
    <cellStyle name="Comma 8" xfId="10"/>
    <cellStyle name="Comma 8 2" xfId="736"/>
    <cellStyle name="Comma 9" xfId="737"/>
    <cellStyle name="Comma 9 2" xfId="738"/>
    <cellStyle name="Comma 9 3" xfId="12"/>
    <cellStyle name="Comma0" xfId="739"/>
    <cellStyle name="Comma0 - Style2" xfId="740"/>
    <cellStyle name="Comma0 - Style4" xfId="741"/>
    <cellStyle name="Comma0 - Style5" xfId="742"/>
    <cellStyle name="Comma0 2" xfId="743"/>
    <cellStyle name="Comma0 3" xfId="744"/>
    <cellStyle name="Comma0 4" xfId="745"/>
    <cellStyle name="Comma0_00COS Ind Allocators" xfId="746"/>
    <cellStyle name="Comma1 - Style1" xfId="747"/>
    <cellStyle name="Copied" xfId="748"/>
    <cellStyle name="COST1" xfId="749"/>
    <cellStyle name="Curren - Style1" xfId="750"/>
    <cellStyle name="Curren - Style2" xfId="751"/>
    <cellStyle name="Curren - Style5" xfId="752"/>
    <cellStyle name="Curren - Style6" xfId="753"/>
    <cellStyle name="Currency" xfId="2275" builtinId="4"/>
    <cellStyle name="Currency 10" xfId="754"/>
    <cellStyle name="Currency 11" xfId="755"/>
    <cellStyle name="Currency 12" xfId="756"/>
    <cellStyle name="Currency 13" xfId="757"/>
    <cellStyle name="Currency 14" xfId="758"/>
    <cellStyle name="Currency 15" xfId="759"/>
    <cellStyle name="Currency 16" xfId="8"/>
    <cellStyle name="Currency 2" xfId="760"/>
    <cellStyle name="Currency 2 2" xfId="761"/>
    <cellStyle name="Currency 3" xfId="762"/>
    <cellStyle name="Currency 3 2" xfId="763"/>
    <cellStyle name="Currency 4" xfId="764"/>
    <cellStyle name="Currency 4 2" xfId="765"/>
    <cellStyle name="Currency 5" xfId="9"/>
    <cellStyle name="Currency 5 2" xfId="766"/>
    <cellStyle name="Currency 6" xfId="767"/>
    <cellStyle name="Currency 6 2" xfId="768"/>
    <cellStyle name="Currency 7" xfId="769"/>
    <cellStyle name="Currency 7 2" xfId="770"/>
    <cellStyle name="Currency 7 3" xfId="11"/>
    <cellStyle name="Currency 8" xfId="771"/>
    <cellStyle name="Currency 8 2" xfId="772"/>
    <cellStyle name="Currency 9" xfId="773"/>
    <cellStyle name="Currency 9 2" xfId="774"/>
    <cellStyle name="Currency0" xfId="775"/>
    <cellStyle name="Date" xfId="776"/>
    <cellStyle name="Date 2" xfId="777"/>
    <cellStyle name="Date 3" xfId="778"/>
    <cellStyle name="Date 4" xfId="779"/>
    <cellStyle name="Emphasis 1" xfId="780"/>
    <cellStyle name="Emphasis 1 2" xfId="781"/>
    <cellStyle name="Emphasis 2" xfId="782"/>
    <cellStyle name="Emphasis 2 2" xfId="783"/>
    <cellStyle name="Emphasis 3" xfId="784"/>
    <cellStyle name="Entered" xfId="785"/>
    <cellStyle name="Euro" xfId="786"/>
    <cellStyle name="Explanatory Text 2" xfId="787"/>
    <cellStyle name="Fixed" xfId="788"/>
    <cellStyle name="Fixed3 - Style3" xfId="789"/>
    <cellStyle name="Good 2" xfId="790"/>
    <cellStyle name="Good 2 2" xfId="791"/>
    <cellStyle name="Grey" xfId="792"/>
    <cellStyle name="Grey 2" xfId="793"/>
    <cellStyle name="Grey 3" xfId="794"/>
    <cellStyle name="Grey 4" xfId="795"/>
    <cellStyle name="Header" xfId="796"/>
    <cellStyle name="Header1" xfId="797"/>
    <cellStyle name="Header2" xfId="798"/>
    <cellStyle name="Heading" xfId="799"/>
    <cellStyle name="Heading 1 2" xfId="800"/>
    <cellStyle name="Heading 2 2" xfId="801"/>
    <cellStyle name="Heading 2 2 2" xfId="802"/>
    <cellStyle name="Heading 3 2" xfId="803"/>
    <cellStyle name="Heading 3 2 2" xfId="804"/>
    <cellStyle name="Heading 4 2" xfId="805"/>
    <cellStyle name="Heading1" xfId="806"/>
    <cellStyle name="Heading2" xfId="807"/>
    <cellStyle name="Input [yellow]" xfId="808"/>
    <cellStyle name="Input [yellow] 2" xfId="809"/>
    <cellStyle name="Input [yellow] 3" xfId="810"/>
    <cellStyle name="Input [yellow] 4" xfId="811"/>
    <cellStyle name="Input 10" xfId="812"/>
    <cellStyle name="Input 11" xfId="813"/>
    <cellStyle name="Input 12" xfId="814"/>
    <cellStyle name="Input 13" xfId="815"/>
    <cellStyle name="Input 14" xfId="816"/>
    <cellStyle name="Input 15" xfId="817"/>
    <cellStyle name="Input 16" xfId="818"/>
    <cellStyle name="Input 17" xfId="819"/>
    <cellStyle name="Input 18" xfId="820"/>
    <cellStyle name="Input 19" xfId="821"/>
    <cellStyle name="Input 2" xfId="822"/>
    <cellStyle name="Input 2 2" xfId="823"/>
    <cellStyle name="Input 20" xfId="824"/>
    <cellStyle name="Input 21" xfId="825"/>
    <cellStyle name="Input 22" xfId="826"/>
    <cellStyle name="Input 23" xfId="827"/>
    <cellStyle name="Input 24" xfId="828"/>
    <cellStyle name="Input 25" xfId="829"/>
    <cellStyle name="Input 26" xfId="830"/>
    <cellStyle name="Input 27" xfId="831"/>
    <cellStyle name="Input 28" xfId="832"/>
    <cellStyle name="Input 29" xfId="833"/>
    <cellStyle name="Input 3" xfId="834"/>
    <cellStyle name="Input 30" xfId="835"/>
    <cellStyle name="Input 31" xfId="836"/>
    <cellStyle name="Input 32" xfId="837"/>
    <cellStyle name="Input 33" xfId="838"/>
    <cellStyle name="Input 34" xfId="839"/>
    <cellStyle name="Input 35" xfId="840"/>
    <cellStyle name="Input 36" xfId="841"/>
    <cellStyle name="Input 37" xfId="842"/>
    <cellStyle name="Input 38" xfId="843"/>
    <cellStyle name="Input 39" xfId="844"/>
    <cellStyle name="Input 4" xfId="845"/>
    <cellStyle name="Input 40" xfId="846"/>
    <cellStyle name="Input 41" xfId="847"/>
    <cellStyle name="Input 42" xfId="848"/>
    <cellStyle name="Input 43" xfId="849"/>
    <cellStyle name="Input 44" xfId="850"/>
    <cellStyle name="Input 45" xfId="851"/>
    <cellStyle name="Input 46" xfId="852"/>
    <cellStyle name="Input 47" xfId="853"/>
    <cellStyle name="Input 48" xfId="854"/>
    <cellStyle name="Input 49" xfId="855"/>
    <cellStyle name="Input 5" xfId="856"/>
    <cellStyle name="Input 50" xfId="857"/>
    <cellStyle name="Input 51" xfId="858"/>
    <cellStyle name="Input 52" xfId="859"/>
    <cellStyle name="Input 53" xfId="860"/>
    <cellStyle name="Input 54" xfId="861"/>
    <cellStyle name="Input 55" xfId="862"/>
    <cellStyle name="Input 56" xfId="863"/>
    <cellStyle name="Input 57" xfId="864"/>
    <cellStyle name="Input 58" xfId="865"/>
    <cellStyle name="Input 59" xfId="866"/>
    <cellStyle name="Input 6" xfId="867"/>
    <cellStyle name="Input 60" xfId="868"/>
    <cellStyle name="Input 61" xfId="869"/>
    <cellStyle name="Input 62" xfId="870"/>
    <cellStyle name="Input 63" xfId="871"/>
    <cellStyle name="Input 64" xfId="872"/>
    <cellStyle name="Input 65" xfId="873"/>
    <cellStyle name="Input 66" xfId="874"/>
    <cellStyle name="Input 67" xfId="875"/>
    <cellStyle name="Input 68" xfId="876"/>
    <cellStyle name="Input 69" xfId="877"/>
    <cellStyle name="Input 7" xfId="878"/>
    <cellStyle name="Input 70" xfId="879"/>
    <cellStyle name="Input 71" xfId="880"/>
    <cellStyle name="Input 72" xfId="881"/>
    <cellStyle name="Input 73" xfId="882"/>
    <cellStyle name="Input 74" xfId="883"/>
    <cellStyle name="Input 75" xfId="884"/>
    <cellStyle name="Input 8" xfId="885"/>
    <cellStyle name="Input 9" xfId="886"/>
    <cellStyle name="Input Cells" xfId="887"/>
    <cellStyle name="Input Cells Percent" xfId="888"/>
    <cellStyle name="Input Cells_Book9" xfId="889"/>
    <cellStyle name="Lines" xfId="890"/>
    <cellStyle name="LINKED" xfId="891"/>
    <cellStyle name="Linked Cell 2" xfId="892"/>
    <cellStyle name="Linked Cell 2 2" xfId="893"/>
    <cellStyle name="modified border" xfId="894"/>
    <cellStyle name="modified border 2" xfId="895"/>
    <cellStyle name="modified border 3" xfId="896"/>
    <cellStyle name="modified border 4" xfId="897"/>
    <cellStyle name="modified border1" xfId="898"/>
    <cellStyle name="modified border1 2" xfId="899"/>
    <cellStyle name="modified border1 3" xfId="900"/>
    <cellStyle name="modified border1 4" xfId="901"/>
    <cellStyle name="Neutral 2" xfId="902"/>
    <cellStyle name="Neutral 2 2" xfId="903"/>
    <cellStyle name="no dec" xfId="904"/>
    <cellStyle name="Normal" xfId="0" builtinId="0"/>
    <cellStyle name="Normal - Style1" xfId="905"/>
    <cellStyle name="Normal - Style1 2" xfId="906"/>
    <cellStyle name="Normal - Style1 3" xfId="907"/>
    <cellStyle name="Normal - Style1 4" xfId="908"/>
    <cellStyle name="Normal 10" xfId="4"/>
    <cellStyle name="Normal 10 2" xfId="909"/>
    <cellStyle name="Normal 10 3" xfId="910"/>
    <cellStyle name="Normal 11" xfId="911"/>
    <cellStyle name="Normal 111" xfId="912"/>
    <cellStyle name="Normal 12" xfId="913"/>
    <cellStyle name="Normal 13" xfId="914"/>
    <cellStyle name="Normal 14" xfId="915"/>
    <cellStyle name="Normal 15" xfId="916"/>
    <cellStyle name="Normal 16" xfId="917"/>
    <cellStyle name="Normal 17" xfId="918"/>
    <cellStyle name="Normal 18" xfId="919"/>
    <cellStyle name="Normal 183" xfId="920"/>
    <cellStyle name="Normal 19" xfId="921"/>
    <cellStyle name="Normal 2" xfId="922"/>
    <cellStyle name="Normal 2 10" xfId="923"/>
    <cellStyle name="Normal 2 11" xfId="924"/>
    <cellStyle name="Normal 2 12" xfId="925"/>
    <cellStyle name="Normal 2 13" xfId="926"/>
    <cellStyle name="Normal 2 14" xfId="927"/>
    <cellStyle name="Normal 2 15" xfId="928"/>
    <cellStyle name="Normal 2 16" xfId="929"/>
    <cellStyle name="Normal 2 17" xfId="930"/>
    <cellStyle name="Normal 2 18" xfId="931"/>
    <cellStyle name="Normal 2 19" xfId="932"/>
    <cellStyle name="Normal 2 2" xfId="933"/>
    <cellStyle name="Normal 2 2 2" xfId="934"/>
    <cellStyle name="Normal 2 2 3" xfId="935"/>
    <cellStyle name="Normal 2 20" xfId="936"/>
    <cellStyle name="Normal 2 21" xfId="937"/>
    <cellStyle name="Normal 2 22" xfId="938"/>
    <cellStyle name="Normal 2 23" xfId="939"/>
    <cellStyle name="Normal 2 24" xfId="940"/>
    <cellStyle name="Normal 2 25" xfId="941"/>
    <cellStyle name="Normal 2 26" xfId="942"/>
    <cellStyle name="Normal 2 27" xfId="943"/>
    <cellStyle name="Normal 2 28" xfId="944"/>
    <cellStyle name="Normal 2 29" xfId="945"/>
    <cellStyle name="Normal 2 3" xfId="946"/>
    <cellStyle name="Normal 2 30" xfId="947"/>
    <cellStyle name="Normal 2 31" xfId="948"/>
    <cellStyle name="Normal 2 32" xfId="949"/>
    <cellStyle name="Normal 2 33" xfId="950"/>
    <cellStyle name="Normal 2 34" xfId="951"/>
    <cellStyle name="Normal 2 35" xfId="952"/>
    <cellStyle name="Normal 2 36" xfId="953"/>
    <cellStyle name="Normal 2 37" xfId="954"/>
    <cellStyle name="Normal 2 38" xfId="955"/>
    <cellStyle name="Normal 2 39" xfId="956"/>
    <cellStyle name="Normal 2 4" xfId="957"/>
    <cellStyle name="Normal 2 40" xfId="958"/>
    <cellStyle name="Normal 2 41" xfId="959"/>
    <cellStyle name="Normal 2 5" xfId="960"/>
    <cellStyle name="Normal 2 6" xfId="961"/>
    <cellStyle name="Normal 2 7" xfId="962"/>
    <cellStyle name="Normal 2 7 2" xfId="963"/>
    <cellStyle name="Normal 2 8" xfId="964"/>
    <cellStyle name="Normal 2 9" xfId="965"/>
    <cellStyle name="Normal 2_3.05 Allocation Method 2010 GTR WF" xfId="966"/>
    <cellStyle name="Normal 20" xfId="967"/>
    <cellStyle name="Normal 21" xfId="968"/>
    <cellStyle name="Normal 22" xfId="969"/>
    <cellStyle name="Normal 23" xfId="970"/>
    <cellStyle name="Normal 24" xfId="971"/>
    <cellStyle name="Normal 25" xfId="972"/>
    <cellStyle name="Normal 26" xfId="973"/>
    <cellStyle name="Normal 27" xfId="974"/>
    <cellStyle name="Normal 28" xfId="975"/>
    <cellStyle name="Normal 28 2" xfId="976"/>
    <cellStyle name="Normal 29" xfId="977"/>
    <cellStyle name="Normal 3" xfId="978"/>
    <cellStyle name="Normal 3 2" xfId="979"/>
    <cellStyle name="Normal 3 3" xfId="980"/>
    <cellStyle name="Normal 3 4" xfId="981"/>
    <cellStyle name="Normal 3 5" xfId="982"/>
    <cellStyle name="Normal 3 6" xfId="983"/>
    <cellStyle name="Normal 30" xfId="984"/>
    <cellStyle name="Normal 31" xfId="985"/>
    <cellStyle name="Normal 32" xfId="986"/>
    <cellStyle name="Normal 33" xfId="987"/>
    <cellStyle name="Normal 34" xfId="988"/>
    <cellStyle name="Normal 35" xfId="989"/>
    <cellStyle name="Normal 36" xfId="990"/>
    <cellStyle name="Normal 37" xfId="991"/>
    <cellStyle name="Normal 38" xfId="992"/>
    <cellStyle name="Normal 39" xfId="993"/>
    <cellStyle name="Normal 4" xfId="994"/>
    <cellStyle name="Normal 4 2" xfId="995"/>
    <cellStyle name="Normal 4_3.05 Allocation Method 2010 GTR WF" xfId="996"/>
    <cellStyle name="Normal 40" xfId="997"/>
    <cellStyle name="Normal 41" xfId="998"/>
    <cellStyle name="Normal 42" xfId="999"/>
    <cellStyle name="Normal 43" xfId="1000"/>
    <cellStyle name="Normal 44" xfId="1001"/>
    <cellStyle name="Normal 45" xfId="1002"/>
    <cellStyle name="Normal 46" xfId="1003"/>
    <cellStyle name="Normal 46 2 2 3" xfId="1004"/>
    <cellStyle name="Normal 47" xfId="1005"/>
    <cellStyle name="Normal 48" xfId="1006"/>
    <cellStyle name="Normal 49" xfId="1007"/>
    <cellStyle name="Normal 5" xfId="1008"/>
    <cellStyle name="Normal 5 2" xfId="1009"/>
    <cellStyle name="Normal 50" xfId="1010"/>
    <cellStyle name="Normal 51" xfId="1011"/>
    <cellStyle name="Normal 52" xfId="1012"/>
    <cellStyle name="Normal 53" xfId="1013"/>
    <cellStyle name="Normal 54" xfId="1014"/>
    <cellStyle name="Normal 55" xfId="1015"/>
    <cellStyle name="Normal 56" xfId="1016"/>
    <cellStyle name="Normal 57" xfId="1017"/>
    <cellStyle name="Normal 58" xfId="1018"/>
    <cellStyle name="Normal 59" xfId="1019"/>
    <cellStyle name="Normal 6" xfId="1020"/>
    <cellStyle name="Normal 6 2" xfId="1021"/>
    <cellStyle name="Normal 6 2 2" xfId="1022"/>
    <cellStyle name="Normal 6 3" xfId="1023"/>
    <cellStyle name="Normal 60" xfId="1024"/>
    <cellStyle name="Normal 61" xfId="1025"/>
    <cellStyle name="Normal 62" xfId="1026"/>
    <cellStyle name="Normal 63" xfId="1027"/>
    <cellStyle name="Normal 64" xfId="1028"/>
    <cellStyle name="Normal 65" xfId="1029"/>
    <cellStyle name="Normal 66" xfId="1030"/>
    <cellStyle name="Normal 67" xfId="1031"/>
    <cellStyle name="Normal 68" xfId="1032"/>
    <cellStyle name="Normal 69" xfId="1033"/>
    <cellStyle name="Normal 7" xfId="1034"/>
    <cellStyle name="Normal 7 2" xfId="1035"/>
    <cellStyle name="Normal 70" xfId="1036"/>
    <cellStyle name="Normal 71" xfId="1037"/>
    <cellStyle name="Normal 72" xfId="1038"/>
    <cellStyle name="Normal 73" xfId="1039"/>
    <cellStyle name="Normal 74" xfId="1040"/>
    <cellStyle name="Normal 75" xfId="1041"/>
    <cellStyle name="Normal 76" xfId="1042"/>
    <cellStyle name="Normal 77" xfId="1043"/>
    <cellStyle name="Normal 78" xfId="1044"/>
    <cellStyle name="Normal 78 2" xfId="1045"/>
    <cellStyle name="Normal 78 2 2" xfId="1046"/>
    <cellStyle name="Normal 78 2 2 2" xfId="1047"/>
    <cellStyle name="Normal 78 2 3" xfId="1048"/>
    <cellStyle name="Normal 78 3" xfId="1049"/>
    <cellStyle name="Normal 78 3 2" xfId="1050"/>
    <cellStyle name="Normal 78 3 2 2" xfId="1051"/>
    <cellStyle name="Normal 78 3 3" xfId="1052"/>
    <cellStyle name="Normal 78 4" xfId="1053"/>
    <cellStyle name="Normal 78 4 2" xfId="1054"/>
    <cellStyle name="Normal 78 5" xfId="1055"/>
    <cellStyle name="Normal 79" xfId="1056"/>
    <cellStyle name="Normal 8" xfId="1057"/>
    <cellStyle name="Normal 8 2" xfId="1058"/>
    <cellStyle name="Normal 80" xfId="1059"/>
    <cellStyle name="Normal 81" xfId="1060"/>
    <cellStyle name="Normal 82" xfId="1061"/>
    <cellStyle name="Normal 82 2" xfId="1062"/>
    <cellStyle name="Normal 83" xfId="1063"/>
    <cellStyle name="Normal 83 2" xfId="1064"/>
    <cellStyle name="Normal 84" xfId="1065"/>
    <cellStyle name="Normal 84 2" xfId="1066"/>
    <cellStyle name="Normal 84 2 2" xfId="1067"/>
    <cellStyle name="Normal 84 3" xfId="1068"/>
    <cellStyle name="Normal 85" xfId="1069"/>
    <cellStyle name="Normal 85 2" xfId="1070"/>
    <cellStyle name="Normal 86" xfId="6"/>
    <cellStyle name="Normal 87" xfId="1071"/>
    <cellStyle name="Normal 88" xfId="1072"/>
    <cellStyle name="Normal 88 2" xfId="7"/>
    <cellStyle name="Normal 89" xfId="1073"/>
    <cellStyle name="Normal 9" xfId="1074"/>
    <cellStyle name="Normal 9 2" xfId="1075"/>
    <cellStyle name="Normal 90" xfId="1076"/>
    <cellStyle name="Normal 91" xfId="5"/>
    <cellStyle name="Normal_Env-ele12-31-99" xfId="3"/>
    <cellStyle name="Note 10" xfId="1077"/>
    <cellStyle name="Note 10 10" xfId="1078"/>
    <cellStyle name="Note 10 10 2" xfId="1079"/>
    <cellStyle name="Note 10 11" xfId="1080"/>
    <cellStyle name="Note 10 11 2" xfId="1081"/>
    <cellStyle name="Note 10 12" xfId="1082"/>
    <cellStyle name="Note 10 12 2" xfId="1083"/>
    <cellStyle name="Note 10 13" xfId="1084"/>
    <cellStyle name="Note 10 13 2" xfId="1085"/>
    <cellStyle name="Note 10 14" xfId="1086"/>
    <cellStyle name="Note 10 14 2" xfId="1087"/>
    <cellStyle name="Note 10 15" xfId="1088"/>
    <cellStyle name="Note 10 15 2" xfId="1089"/>
    <cellStyle name="Note 10 2" xfId="1090"/>
    <cellStyle name="Note 10 2 2" xfId="1091"/>
    <cellStyle name="Note 10 3" xfId="1092"/>
    <cellStyle name="Note 10 3 2" xfId="1093"/>
    <cellStyle name="Note 10 4" xfId="1094"/>
    <cellStyle name="Note 10 4 2" xfId="1095"/>
    <cellStyle name="Note 10 5" xfId="1096"/>
    <cellStyle name="Note 10 5 2" xfId="1097"/>
    <cellStyle name="Note 10 6" xfId="1098"/>
    <cellStyle name="Note 10 6 2" xfId="1099"/>
    <cellStyle name="Note 10 7" xfId="1100"/>
    <cellStyle name="Note 10 7 2" xfId="1101"/>
    <cellStyle name="Note 10 8" xfId="1102"/>
    <cellStyle name="Note 10 8 2" xfId="1103"/>
    <cellStyle name="Note 10 9" xfId="1104"/>
    <cellStyle name="Note 10 9 2" xfId="1105"/>
    <cellStyle name="Note 11" xfId="1106"/>
    <cellStyle name="Note 11 10" xfId="1107"/>
    <cellStyle name="Note 11 10 2" xfId="1108"/>
    <cellStyle name="Note 11 11" xfId="1109"/>
    <cellStyle name="Note 11 11 2" xfId="1110"/>
    <cellStyle name="Note 11 12" xfId="1111"/>
    <cellStyle name="Note 11 12 2" xfId="1112"/>
    <cellStyle name="Note 11 13" xfId="1113"/>
    <cellStyle name="Note 11 13 2" xfId="1114"/>
    <cellStyle name="Note 11 14" xfId="1115"/>
    <cellStyle name="Note 11 14 2" xfId="1116"/>
    <cellStyle name="Note 11 2" xfId="1117"/>
    <cellStyle name="Note 11 2 2" xfId="1118"/>
    <cellStyle name="Note 11 3" xfId="1119"/>
    <cellStyle name="Note 11 3 2" xfId="1120"/>
    <cellStyle name="Note 11 4" xfId="1121"/>
    <cellStyle name="Note 11 4 2" xfId="1122"/>
    <cellStyle name="Note 11 5" xfId="1123"/>
    <cellStyle name="Note 11 5 2" xfId="1124"/>
    <cellStyle name="Note 11 6" xfId="1125"/>
    <cellStyle name="Note 11 6 2" xfId="1126"/>
    <cellStyle name="Note 11 7" xfId="1127"/>
    <cellStyle name="Note 11 7 2" xfId="1128"/>
    <cellStyle name="Note 11 8" xfId="1129"/>
    <cellStyle name="Note 11 8 2" xfId="1130"/>
    <cellStyle name="Note 11 9" xfId="1131"/>
    <cellStyle name="Note 11 9 2" xfId="1132"/>
    <cellStyle name="Note 12" xfId="1133"/>
    <cellStyle name="Note 12 10" xfId="1134"/>
    <cellStyle name="Note 12 10 2" xfId="1135"/>
    <cellStyle name="Note 12 11" xfId="1136"/>
    <cellStyle name="Note 12 11 2" xfId="1137"/>
    <cellStyle name="Note 12 12" xfId="1138"/>
    <cellStyle name="Note 12 12 2" xfId="1139"/>
    <cellStyle name="Note 12 13" xfId="1140"/>
    <cellStyle name="Note 12 13 2" xfId="1141"/>
    <cellStyle name="Note 12 2" xfId="1142"/>
    <cellStyle name="Note 12 2 2" xfId="1143"/>
    <cellStyle name="Note 12 3" xfId="1144"/>
    <cellStyle name="Note 12 3 2" xfId="1145"/>
    <cellStyle name="Note 12 4" xfId="1146"/>
    <cellStyle name="Note 12 4 2" xfId="1147"/>
    <cellStyle name="Note 12 5" xfId="1148"/>
    <cellStyle name="Note 12 5 2" xfId="1149"/>
    <cellStyle name="Note 12 6" xfId="1150"/>
    <cellStyle name="Note 12 6 2" xfId="1151"/>
    <cellStyle name="Note 12 7" xfId="1152"/>
    <cellStyle name="Note 12 7 2" xfId="1153"/>
    <cellStyle name="Note 12 8" xfId="1154"/>
    <cellStyle name="Note 12 8 2" xfId="1155"/>
    <cellStyle name="Note 12 9" xfId="1156"/>
    <cellStyle name="Note 12 9 2" xfId="1157"/>
    <cellStyle name="Note 13 10" xfId="1158"/>
    <cellStyle name="Note 13 10 2" xfId="1159"/>
    <cellStyle name="Note 13 11" xfId="1160"/>
    <cellStyle name="Note 13 11 2" xfId="1161"/>
    <cellStyle name="Note 13 12" xfId="1162"/>
    <cellStyle name="Note 13 12 2" xfId="1163"/>
    <cellStyle name="Note 13 2" xfId="1164"/>
    <cellStyle name="Note 13 2 2" xfId="1165"/>
    <cellStyle name="Note 13 3" xfId="1166"/>
    <cellStyle name="Note 13 3 2" xfId="1167"/>
    <cellStyle name="Note 13 4" xfId="1168"/>
    <cellStyle name="Note 13 4 2" xfId="1169"/>
    <cellStyle name="Note 13 5" xfId="1170"/>
    <cellStyle name="Note 13 5 2" xfId="1171"/>
    <cellStyle name="Note 13 6" xfId="1172"/>
    <cellStyle name="Note 13 6 2" xfId="1173"/>
    <cellStyle name="Note 13 7" xfId="1174"/>
    <cellStyle name="Note 13 7 2" xfId="1175"/>
    <cellStyle name="Note 13 8" xfId="1176"/>
    <cellStyle name="Note 13 8 2" xfId="1177"/>
    <cellStyle name="Note 13 9" xfId="1178"/>
    <cellStyle name="Note 13 9 2" xfId="1179"/>
    <cellStyle name="Note 14 10" xfId="1180"/>
    <cellStyle name="Note 14 10 2" xfId="1181"/>
    <cellStyle name="Note 14 11" xfId="1182"/>
    <cellStyle name="Note 14 11 2" xfId="1183"/>
    <cellStyle name="Note 14 2" xfId="1184"/>
    <cellStyle name="Note 14 2 2" xfId="1185"/>
    <cellStyle name="Note 14 3" xfId="1186"/>
    <cellStyle name="Note 14 3 2" xfId="1187"/>
    <cellStyle name="Note 14 4" xfId="1188"/>
    <cellStyle name="Note 14 4 2" xfId="1189"/>
    <cellStyle name="Note 14 5" xfId="1190"/>
    <cellStyle name="Note 14 5 2" xfId="1191"/>
    <cellStyle name="Note 14 6" xfId="1192"/>
    <cellStyle name="Note 14 6 2" xfId="1193"/>
    <cellStyle name="Note 14 7" xfId="1194"/>
    <cellStyle name="Note 14 7 2" xfId="1195"/>
    <cellStyle name="Note 14 8" xfId="1196"/>
    <cellStyle name="Note 14 8 2" xfId="1197"/>
    <cellStyle name="Note 14 9" xfId="1198"/>
    <cellStyle name="Note 14 9 2" xfId="1199"/>
    <cellStyle name="Note 15 10" xfId="1200"/>
    <cellStyle name="Note 15 10 2" xfId="1201"/>
    <cellStyle name="Note 15 2" xfId="1202"/>
    <cellStyle name="Note 15 2 2" xfId="1203"/>
    <cellStyle name="Note 15 3" xfId="1204"/>
    <cellStyle name="Note 15 3 2" xfId="1205"/>
    <cellStyle name="Note 15 4" xfId="1206"/>
    <cellStyle name="Note 15 4 2" xfId="1207"/>
    <cellStyle name="Note 15 5" xfId="1208"/>
    <cellStyle name="Note 15 5 2" xfId="1209"/>
    <cellStyle name="Note 15 6" xfId="1210"/>
    <cellStyle name="Note 15 6 2" xfId="1211"/>
    <cellStyle name="Note 15 7" xfId="1212"/>
    <cellStyle name="Note 15 7 2" xfId="1213"/>
    <cellStyle name="Note 15 8" xfId="1214"/>
    <cellStyle name="Note 15 8 2" xfId="1215"/>
    <cellStyle name="Note 15 9" xfId="1216"/>
    <cellStyle name="Note 15 9 2" xfId="1217"/>
    <cellStyle name="Note 16 2" xfId="1218"/>
    <cellStyle name="Note 16 2 2" xfId="1219"/>
    <cellStyle name="Note 16 3" xfId="1220"/>
    <cellStyle name="Note 16 3 2" xfId="1221"/>
    <cellStyle name="Note 16 4" xfId="1222"/>
    <cellStyle name="Note 16 4 2" xfId="1223"/>
    <cellStyle name="Note 16 5" xfId="1224"/>
    <cellStyle name="Note 16 5 2" xfId="1225"/>
    <cellStyle name="Note 16 6" xfId="1226"/>
    <cellStyle name="Note 16 6 2" xfId="1227"/>
    <cellStyle name="Note 16 7" xfId="1228"/>
    <cellStyle name="Note 16 7 2" xfId="1229"/>
    <cellStyle name="Note 16 8" xfId="1230"/>
    <cellStyle name="Note 16 8 2" xfId="1231"/>
    <cellStyle name="Note 16 9" xfId="1232"/>
    <cellStyle name="Note 16 9 2" xfId="1233"/>
    <cellStyle name="Note 17 2" xfId="1234"/>
    <cellStyle name="Note 17 2 2" xfId="1235"/>
    <cellStyle name="Note 17 3" xfId="1236"/>
    <cellStyle name="Note 17 3 2" xfId="1237"/>
    <cellStyle name="Note 17 4" xfId="1238"/>
    <cellStyle name="Note 17 4 2" xfId="1239"/>
    <cellStyle name="Note 17 5" xfId="1240"/>
    <cellStyle name="Note 17 5 2" xfId="1241"/>
    <cellStyle name="Note 17 6" xfId="1242"/>
    <cellStyle name="Note 17 6 2" xfId="1243"/>
    <cellStyle name="Note 17 7" xfId="1244"/>
    <cellStyle name="Note 17 7 2" xfId="1245"/>
    <cellStyle name="Note 17 8" xfId="1246"/>
    <cellStyle name="Note 17 8 2" xfId="1247"/>
    <cellStyle name="Note 18 2" xfId="1248"/>
    <cellStyle name="Note 18 2 2" xfId="1249"/>
    <cellStyle name="Note 18 3" xfId="1250"/>
    <cellStyle name="Note 18 3 2" xfId="1251"/>
    <cellStyle name="Note 18 4" xfId="1252"/>
    <cellStyle name="Note 18 4 2" xfId="1253"/>
    <cellStyle name="Note 18 5" xfId="1254"/>
    <cellStyle name="Note 18 5 2" xfId="1255"/>
    <cellStyle name="Note 18 6" xfId="1256"/>
    <cellStyle name="Note 18 6 2" xfId="1257"/>
    <cellStyle name="Note 18 7" xfId="1258"/>
    <cellStyle name="Note 18 7 2" xfId="1259"/>
    <cellStyle name="Note 19 2" xfId="1260"/>
    <cellStyle name="Note 19 2 2" xfId="1261"/>
    <cellStyle name="Note 19 3" xfId="1262"/>
    <cellStyle name="Note 19 3 2" xfId="1263"/>
    <cellStyle name="Note 19 4" xfId="1264"/>
    <cellStyle name="Note 19 4 2" xfId="1265"/>
    <cellStyle name="Note 19 5" xfId="1266"/>
    <cellStyle name="Note 19 5 2" xfId="1267"/>
    <cellStyle name="Note 19 6" xfId="1268"/>
    <cellStyle name="Note 19 6 2" xfId="1269"/>
    <cellStyle name="Note 2" xfId="1270"/>
    <cellStyle name="Note 2 10" xfId="1271"/>
    <cellStyle name="Note 2 10 2" xfId="1272"/>
    <cellStyle name="Note 2 11" xfId="1273"/>
    <cellStyle name="Note 2 11 2" xfId="1274"/>
    <cellStyle name="Note 2 12" xfId="1275"/>
    <cellStyle name="Note 2 12 2" xfId="1276"/>
    <cellStyle name="Note 2 13" xfId="1277"/>
    <cellStyle name="Note 2 13 2" xfId="1278"/>
    <cellStyle name="Note 2 14" xfId="1279"/>
    <cellStyle name="Note 2 14 2" xfId="1280"/>
    <cellStyle name="Note 2 15" xfId="1281"/>
    <cellStyle name="Note 2 15 2" xfId="1282"/>
    <cellStyle name="Note 2 16" xfId="1283"/>
    <cellStyle name="Note 2 16 2" xfId="1284"/>
    <cellStyle name="Note 2 17" xfId="1285"/>
    <cellStyle name="Note 2 17 2" xfId="1286"/>
    <cellStyle name="Note 2 18" xfId="1287"/>
    <cellStyle name="Note 2 18 2" xfId="1288"/>
    <cellStyle name="Note 2 19" xfId="1289"/>
    <cellStyle name="Note 2 19 2" xfId="1290"/>
    <cellStyle name="Note 2 2" xfId="1291"/>
    <cellStyle name="Note 2 2 2" xfId="1292"/>
    <cellStyle name="Note 2 20" xfId="1293"/>
    <cellStyle name="Note 2 20 2" xfId="1294"/>
    <cellStyle name="Note 2 21" xfId="1295"/>
    <cellStyle name="Note 2 21 2" xfId="1296"/>
    <cellStyle name="Note 2 22" xfId="1297"/>
    <cellStyle name="Note 2 22 2" xfId="1298"/>
    <cellStyle name="Note 2 3" xfId="1299"/>
    <cellStyle name="Note 2 3 2" xfId="1300"/>
    <cellStyle name="Note 2 4" xfId="1301"/>
    <cellStyle name="Note 2 4 2" xfId="1302"/>
    <cellStyle name="Note 2 5" xfId="1303"/>
    <cellStyle name="Note 2 5 2" xfId="1304"/>
    <cellStyle name="Note 2 6" xfId="1305"/>
    <cellStyle name="Note 2 6 2" xfId="1306"/>
    <cellStyle name="Note 2 7" xfId="1307"/>
    <cellStyle name="Note 2 7 2" xfId="1308"/>
    <cellStyle name="Note 2 8" xfId="1309"/>
    <cellStyle name="Note 2 8 2" xfId="1310"/>
    <cellStyle name="Note 2 9" xfId="1311"/>
    <cellStyle name="Note 2 9 2" xfId="1312"/>
    <cellStyle name="Note 20 2" xfId="1313"/>
    <cellStyle name="Note 20 2 2" xfId="1314"/>
    <cellStyle name="Note 20 3" xfId="1315"/>
    <cellStyle name="Note 20 3 2" xfId="1316"/>
    <cellStyle name="Note 20 4" xfId="1317"/>
    <cellStyle name="Note 20 4 2" xfId="1318"/>
    <cellStyle name="Note 20 5" xfId="1319"/>
    <cellStyle name="Note 20 5 2" xfId="1320"/>
    <cellStyle name="Note 21 2" xfId="1321"/>
    <cellStyle name="Note 21 2 2" xfId="1322"/>
    <cellStyle name="Note 21 3" xfId="1323"/>
    <cellStyle name="Note 21 3 2" xfId="1324"/>
    <cellStyle name="Note 21 4" xfId="1325"/>
    <cellStyle name="Note 21 4 2" xfId="1326"/>
    <cellStyle name="Note 22 2" xfId="1327"/>
    <cellStyle name="Note 22 2 2" xfId="1328"/>
    <cellStyle name="Note 22 3" xfId="1329"/>
    <cellStyle name="Note 22 3 2" xfId="1330"/>
    <cellStyle name="Note 23 2" xfId="1331"/>
    <cellStyle name="Note 23 2 2" xfId="1332"/>
    <cellStyle name="Note 24 2" xfId="1333"/>
    <cellStyle name="Note 24 2 2" xfId="1334"/>
    <cellStyle name="Note 3" xfId="1335"/>
    <cellStyle name="Note 3 10" xfId="1336"/>
    <cellStyle name="Note 3 10 2" xfId="1337"/>
    <cellStyle name="Note 3 11" xfId="1338"/>
    <cellStyle name="Note 3 11 2" xfId="1339"/>
    <cellStyle name="Note 3 12" xfId="1340"/>
    <cellStyle name="Note 3 12 2" xfId="1341"/>
    <cellStyle name="Note 3 13" xfId="1342"/>
    <cellStyle name="Note 3 13 2" xfId="1343"/>
    <cellStyle name="Note 3 14" xfId="1344"/>
    <cellStyle name="Note 3 14 2" xfId="1345"/>
    <cellStyle name="Note 3 15" xfId="1346"/>
    <cellStyle name="Note 3 15 2" xfId="1347"/>
    <cellStyle name="Note 3 16" xfId="1348"/>
    <cellStyle name="Note 3 16 2" xfId="1349"/>
    <cellStyle name="Note 3 17" xfId="1350"/>
    <cellStyle name="Note 3 17 2" xfId="1351"/>
    <cellStyle name="Note 3 18" xfId="1352"/>
    <cellStyle name="Note 3 18 2" xfId="1353"/>
    <cellStyle name="Note 3 19" xfId="1354"/>
    <cellStyle name="Note 3 19 2" xfId="1355"/>
    <cellStyle name="Note 3 2" xfId="1356"/>
    <cellStyle name="Note 3 2 2" xfId="1357"/>
    <cellStyle name="Note 3 20" xfId="1358"/>
    <cellStyle name="Note 3 20 2" xfId="1359"/>
    <cellStyle name="Note 3 21" xfId="1360"/>
    <cellStyle name="Note 3 21 2" xfId="1361"/>
    <cellStyle name="Note 3 22" xfId="1362"/>
    <cellStyle name="Note 3 22 2" xfId="1363"/>
    <cellStyle name="Note 3 3" xfId="1364"/>
    <cellStyle name="Note 3 3 2" xfId="1365"/>
    <cellStyle name="Note 3 4" xfId="1366"/>
    <cellStyle name="Note 3 4 2" xfId="1367"/>
    <cellStyle name="Note 3 5" xfId="1368"/>
    <cellStyle name="Note 3 5 2" xfId="1369"/>
    <cellStyle name="Note 3 6" xfId="1370"/>
    <cellStyle name="Note 3 6 2" xfId="1371"/>
    <cellStyle name="Note 3 7" xfId="1372"/>
    <cellStyle name="Note 3 7 2" xfId="1373"/>
    <cellStyle name="Note 3 8" xfId="1374"/>
    <cellStyle name="Note 3 8 2" xfId="1375"/>
    <cellStyle name="Note 3 9" xfId="1376"/>
    <cellStyle name="Note 3 9 2" xfId="1377"/>
    <cellStyle name="Note 4" xfId="1378"/>
    <cellStyle name="Note 4 10" xfId="1379"/>
    <cellStyle name="Note 4 10 2" xfId="1380"/>
    <cellStyle name="Note 4 11" xfId="1381"/>
    <cellStyle name="Note 4 11 2" xfId="1382"/>
    <cellStyle name="Note 4 12" xfId="1383"/>
    <cellStyle name="Note 4 12 2" xfId="1384"/>
    <cellStyle name="Note 4 13" xfId="1385"/>
    <cellStyle name="Note 4 13 2" xfId="1386"/>
    <cellStyle name="Note 4 14" xfId="1387"/>
    <cellStyle name="Note 4 14 2" xfId="1388"/>
    <cellStyle name="Note 4 15" xfId="1389"/>
    <cellStyle name="Note 4 15 2" xfId="1390"/>
    <cellStyle name="Note 4 16" xfId="1391"/>
    <cellStyle name="Note 4 16 2" xfId="1392"/>
    <cellStyle name="Note 4 17" xfId="1393"/>
    <cellStyle name="Note 4 17 2" xfId="1394"/>
    <cellStyle name="Note 4 18" xfId="1395"/>
    <cellStyle name="Note 4 18 2" xfId="1396"/>
    <cellStyle name="Note 4 19" xfId="1397"/>
    <cellStyle name="Note 4 19 2" xfId="1398"/>
    <cellStyle name="Note 4 2" xfId="1399"/>
    <cellStyle name="Note 4 2 2" xfId="1400"/>
    <cellStyle name="Note 4 20" xfId="1401"/>
    <cellStyle name="Note 4 20 2" xfId="1402"/>
    <cellStyle name="Note 4 21" xfId="1403"/>
    <cellStyle name="Note 4 21 2" xfId="1404"/>
    <cellStyle name="Note 4 3" xfId="1405"/>
    <cellStyle name="Note 4 3 2" xfId="1406"/>
    <cellStyle name="Note 4 4" xfId="1407"/>
    <cellStyle name="Note 4 4 2" xfId="1408"/>
    <cellStyle name="Note 4 5" xfId="1409"/>
    <cellStyle name="Note 4 5 2" xfId="1410"/>
    <cellStyle name="Note 4 6" xfId="1411"/>
    <cellStyle name="Note 4 6 2" xfId="1412"/>
    <cellStyle name="Note 4 7" xfId="1413"/>
    <cellStyle name="Note 4 7 2" xfId="1414"/>
    <cellStyle name="Note 4 8" xfId="1415"/>
    <cellStyle name="Note 4 8 2" xfId="1416"/>
    <cellStyle name="Note 4 9" xfId="1417"/>
    <cellStyle name="Note 4 9 2" xfId="1418"/>
    <cellStyle name="Note 5" xfId="1419"/>
    <cellStyle name="Note 5 10" xfId="1420"/>
    <cellStyle name="Note 5 10 2" xfId="1421"/>
    <cellStyle name="Note 5 11" xfId="1422"/>
    <cellStyle name="Note 5 11 2" xfId="1423"/>
    <cellStyle name="Note 5 12" xfId="1424"/>
    <cellStyle name="Note 5 12 2" xfId="1425"/>
    <cellStyle name="Note 5 13" xfId="1426"/>
    <cellStyle name="Note 5 13 2" xfId="1427"/>
    <cellStyle name="Note 5 14" xfId="1428"/>
    <cellStyle name="Note 5 14 2" xfId="1429"/>
    <cellStyle name="Note 5 15" xfId="1430"/>
    <cellStyle name="Note 5 15 2" xfId="1431"/>
    <cellStyle name="Note 5 16" xfId="1432"/>
    <cellStyle name="Note 5 16 2" xfId="1433"/>
    <cellStyle name="Note 5 17" xfId="1434"/>
    <cellStyle name="Note 5 17 2" xfId="1435"/>
    <cellStyle name="Note 5 18" xfId="1436"/>
    <cellStyle name="Note 5 18 2" xfId="1437"/>
    <cellStyle name="Note 5 19" xfId="1438"/>
    <cellStyle name="Note 5 19 2" xfId="1439"/>
    <cellStyle name="Note 5 2" xfId="1440"/>
    <cellStyle name="Note 5 2 2" xfId="1441"/>
    <cellStyle name="Note 5 20" xfId="1442"/>
    <cellStyle name="Note 5 20 2" xfId="1443"/>
    <cellStyle name="Note 5 3" xfId="1444"/>
    <cellStyle name="Note 5 3 2" xfId="1445"/>
    <cellStyle name="Note 5 4" xfId="1446"/>
    <cellStyle name="Note 5 4 2" xfId="1447"/>
    <cellStyle name="Note 5 5" xfId="1448"/>
    <cellStyle name="Note 5 5 2" xfId="1449"/>
    <cellStyle name="Note 5 6" xfId="1450"/>
    <cellStyle name="Note 5 6 2" xfId="1451"/>
    <cellStyle name="Note 5 7" xfId="1452"/>
    <cellStyle name="Note 5 7 2" xfId="1453"/>
    <cellStyle name="Note 5 8" xfId="1454"/>
    <cellStyle name="Note 5 8 2" xfId="1455"/>
    <cellStyle name="Note 5 9" xfId="1456"/>
    <cellStyle name="Note 5 9 2" xfId="1457"/>
    <cellStyle name="Note 6" xfId="1458"/>
    <cellStyle name="Note 6 10" xfId="1459"/>
    <cellStyle name="Note 6 10 2" xfId="1460"/>
    <cellStyle name="Note 6 11" xfId="1461"/>
    <cellStyle name="Note 6 11 2" xfId="1462"/>
    <cellStyle name="Note 6 12" xfId="1463"/>
    <cellStyle name="Note 6 12 2" xfId="1464"/>
    <cellStyle name="Note 6 13" xfId="1465"/>
    <cellStyle name="Note 6 13 2" xfId="1466"/>
    <cellStyle name="Note 6 14" xfId="1467"/>
    <cellStyle name="Note 6 14 2" xfId="1468"/>
    <cellStyle name="Note 6 15" xfId="1469"/>
    <cellStyle name="Note 6 15 2" xfId="1470"/>
    <cellStyle name="Note 6 16" xfId="1471"/>
    <cellStyle name="Note 6 16 2" xfId="1472"/>
    <cellStyle name="Note 6 17" xfId="1473"/>
    <cellStyle name="Note 6 17 2" xfId="1474"/>
    <cellStyle name="Note 6 18" xfId="1475"/>
    <cellStyle name="Note 6 18 2" xfId="1476"/>
    <cellStyle name="Note 6 19" xfId="1477"/>
    <cellStyle name="Note 6 19 2" xfId="1478"/>
    <cellStyle name="Note 6 2" xfId="1479"/>
    <cellStyle name="Note 6 2 2" xfId="1480"/>
    <cellStyle name="Note 6 3" xfId="1481"/>
    <cellStyle name="Note 6 3 2" xfId="1482"/>
    <cellStyle name="Note 6 4" xfId="1483"/>
    <cellStyle name="Note 6 4 2" xfId="1484"/>
    <cellStyle name="Note 6 5" xfId="1485"/>
    <cellStyle name="Note 6 5 2" xfId="1486"/>
    <cellStyle name="Note 6 6" xfId="1487"/>
    <cellStyle name="Note 6 6 2" xfId="1488"/>
    <cellStyle name="Note 6 7" xfId="1489"/>
    <cellStyle name="Note 6 7 2" xfId="1490"/>
    <cellStyle name="Note 6 8" xfId="1491"/>
    <cellStyle name="Note 6 8 2" xfId="1492"/>
    <cellStyle name="Note 6 9" xfId="1493"/>
    <cellStyle name="Note 6 9 2" xfId="1494"/>
    <cellStyle name="Note 7" xfId="1495"/>
    <cellStyle name="Note 7 10" xfId="1496"/>
    <cellStyle name="Note 7 10 2" xfId="1497"/>
    <cellStyle name="Note 7 11" xfId="1498"/>
    <cellStyle name="Note 7 11 2" xfId="1499"/>
    <cellStyle name="Note 7 12" xfId="1500"/>
    <cellStyle name="Note 7 12 2" xfId="1501"/>
    <cellStyle name="Note 7 13" xfId="1502"/>
    <cellStyle name="Note 7 13 2" xfId="1503"/>
    <cellStyle name="Note 7 14" xfId="1504"/>
    <cellStyle name="Note 7 14 2" xfId="1505"/>
    <cellStyle name="Note 7 15" xfId="1506"/>
    <cellStyle name="Note 7 15 2" xfId="1507"/>
    <cellStyle name="Note 7 16" xfId="1508"/>
    <cellStyle name="Note 7 16 2" xfId="1509"/>
    <cellStyle name="Note 7 17" xfId="1510"/>
    <cellStyle name="Note 7 17 2" xfId="1511"/>
    <cellStyle name="Note 7 18" xfId="1512"/>
    <cellStyle name="Note 7 18 2" xfId="1513"/>
    <cellStyle name="Note 7 2" xfId="1514"/>
    <cellStyle name="Note 7 2 2" xfId="1515"/>
    <cellStyle name="Note 7 3" xfId="1516"/>
    <cellStyle name="Note 7 3 2" xfId="1517"/>
    <cellStyle name="Note 7 4" xfId="1518"/>
    <cellStyle name="Note 7 4 2" xfId="1519"/>
    <cellStyle name="Note 7 5" xfId="1520"/>
    <cellStyle name="Note 7 5 2" xfId="1521"/>
    <cellStyle name="Note 7 6" xfId="1522"/>
    <cellStyle name="Note 7 6 2" xfId="1523"/>
    <cellStyle name="Note 7 7" xfId="1524"/>
    <cellStyle name="Note 7 7 2" xfId="1525"/>
    <cellStyle name="Note 7 8" xfId="1526"/>
    <cellStyle name="Note 7 8 2" xfId="1527"/>
    <cellStyle name="Note 7 9" xfId="1528"/>
    <cellStyle name="Note 7 9 2" xfId="1529"/>
    <cellStyle name="Note 8" xfId="1530"/>
    <cellStyle name="Note 8 10" xfId="1531"/>
    <cellStyle name="Note 8 10 2" xfId="1532"/>
    <cellStyle name="Note 8 11" xfId="1533"/>
    <cellStyle name="Note 8 11 2" xfId="1534"/>
    <cellStyle name="Note 8 12" xfId="1535"/>
    <cellStyle name="Note 8 12 2" xfId="1536"/>
    <cellStyle name="Note 8 13" xfId="1537"/>
    <cellStyle name="Note 8 13 2" xfId="1538"/>
    <cellStyle name="Note 8 14" xfId="1539"/>
    <cellStyle name="Note 8 14 2" xfId="1540"/>
    <cellStyle name="Note 8 15" xfId="1541"/>
    <cellStyle name="Note 8 15 2" xfId="1542"/>
    <cellStyle name="Note 8 16" xfId="1543"/>
    <cellStyle name="Note 8 16 2" xfId="1544"/>
    <cellStyle name="Note 8 2" xfId="1545"/>
    <cellStyle name="Note 8 2 2" xfId="1546"/>
    <cellStyle name="Note 8 3" xfId="1547"/>
    <cellStyle name="Note 8 3 2" xfId="1548"/>
    <cellStyle name="Note 8 4" xfId="1549"/>
    <cellStyle name="Note 8 4 2" xfId="1550"/>
    <cellStyle name="Note 8 5" xfId="1551"/>
    <cellStyle name="Note 8 5 2" xfId="1552"/>
    <cellStyle name="Note 8 6" xfId="1553"/>
    <cellStyle name="Note 8 6 2" xfId="1554"/>
    <cellStyle name="Note 8 7" xfId="1555"/>
    <cellStyle name="Note 8 7 2" xfId="1556"/>
    <cellStyle name="Note 8 8" xfId="1557"/>
    <cellStyle name="Note 8 8 2" xfId="1558"/>
    <cellStyle name="Note 8 9" xfId="1559"/>
    <cellStyle name="Note 8 9 2" xfId="1560"/>
    <cellStyle name="Note 9" xfId="1561"/>
    <cellStyle name="Note 9 10" xfId="1562"/>
    <cellStyle name="Note 9 10 2" xfId="1563"/>
    <cellStyle name="Note 9 11" xfId="1564"/>
    <cellStyle name="Note 9 11 2" xfId="1565"/>
    <cellStyle name="Note 9 12" xfId="1566"/>
    <cellStyle name="Note 9 12 2" xfId="1567"/>
    <cellStyle name="Note 9 13" xfId="1568"/>
    <cellStyle name="Note 9 13 2" xfId="1569"/>
    <cellStyle name="Note 9 14" xfId="1570"/>
    <cellStyle name="Note 9 14 2" xfId="1571"/>
    <cellStyle name="Note 9 15" xfId="1572"/>
    <cellStyle name="Note 9 15 2" xfId="1573"/>
    <cellStyle name="Note 9 16" xfId="1574"/>
    <cellStyle name="Note 9 16 2" xfId="1575"/>
    <cellStyle name="Note 9 2" xfId="1576"/>
    <cellStyle name="Note 9 2 2" xfId="1577"/>
    <cellStyle name="Note 9 3" xfId="1578"/>
    <cellStyle name="Note 9 3 2" xfId="1579"/>
    <cellStyle name="Note 9 4" xfId="1580"/>
    <cellStyle name="Note 9 4 2" xfId="1581"/>
    <cellStyle name="Note 9 5" xfId="1582"/>
    <cellStyle name="Note 9 5 2" xfId="1583"/>
    <cellStyle name="Note 9 6" xfId="1584"/>
    <cellStyle name="Note 9 6 2" xfId="1585"/>
    <cellStyle name="Note 9 7" xfId="1586"/>
    <cellStyle name="Note 9 7 2" xfId="1587"/>
    <cellStyle name="Note 9 8" xfId="1588"/>
    <cellStyle name="Note 9 8 2" xfId="1589"/>
    <cellStyle name="Note 9 9" xfId="1590"/>
    <cellStyle name="Note 9 9 2" xfId="1591"/>
    <cellStyle name="Output 2" xfId="1592"/>
    <cellStyle name="Output 2 2" xfId="1593"/>
    <cellStyle name="Percen - Style1" xfId="1594"/>
    <cellStyle name="Percen - Style2" xfId="1595"/>
    <cellStyle name="Percen - Style3" xfId="1596"/>
    <cellStyle name="Percent" xfId="2276" builtinId="5"/>
    <cellStyle name="Percent (0)" xfId="1597"/>
    <cellStyle name="Percent [2]" xfId="1598"/>
    <cellStyle name="Percent 10" xfId="1599"/>
    <cellStyle name="Percent 11" xfId="1600"/>
    <cellStyle name="Percent 12" xfId="1601"/>
    <cellStyle name="Percent 13" xfId="1602"/>
    <cellStyle name="Percent 14" xfId="1603"/>
    <cellStyle name="Percent 15" xfId="1604"/>
    <cellStyle name="Percent 16" xfId="1605"/>
    <cellStyle name="Percent 2" xfId="1606"/>
    <cellStyle name="Percent 2 2" xfId="1607"/>
    <cellStyle name="Percent 3" xfId="1608"/>
    <cellStyle name="Percent 3 2" xfId="1609"/>
    <cellStyle name="Percent 4" xfId="1610"/>
    <cellStyle name="Percent 4 2" xfId="1611"/>
    <cellStyle name="Percent 4 3" xfId="1612"/>
    <cellStyle name="Percent 5" xfId="1613"/>
    <cellStyle name="Percent 6" xfId="1614"/>
    <cellStyle name="Percent 7" xfId="1615"/>
    <cellStyle name="Percent 8" xfId="1616"/>
    <cellStyle name="Percent 9" xfId="1617"/>
    <cellStyle name="Processing" xfId="1618"/>
    <cellStyle name="PSChar" xfId="1619"/>
    <cellStyle name="PSDate" xfId="1620"/>
    <cellStyle name="PSDec" xfId="1621"/>
    <cellStyle name="PSHeading" xfId="1622"/>
    <cellStyle name="PSInt" xfId="1623"/>
    <cellStyle name="PSSpacer" xfId="1624"/>
    <cellStyle name="purple - Style8" xfId="1625"/>
    <cellStyle name="RED" xfId="1626"/>
    <cellStyle name="Red - Style7" xfId="1627"/>
    <cellStyle name="RED_04 07E Wild Horse Wind Expansion (C) (2)" xfId="1628"/>
    <cellStyle name="Report" xfId="1629"/>
    <cellStyle name="Report Bar" xfId="1630"/>
    <cellStyle name="Report Heading" xfId="1631"/>
    <cellStyle name="Report Percent" xfId="1632"/>
    <cellStyle name="Report Unit Cost" xfId="1633"/>
    <cellStyle name="Reports" xfId="1634"/>
    <cellStyle name="Reports Total" xfId="1635"/>
    <cellStyle name="Reports Unit Cost Total" xfId="1636"/>
    <cellStyle name="Reports_Book9" xfId="1637"/>
    <cellStyle name="RevList" xfId="1638"/>
    <cellStyle name="round100" xfId="1639"/>
    <cellStyle name="SAPBEXaggData" xfId="1640"/>
    <cellStyle name="SAPBEXaggData 2" xfId="1641"/>
    <cellStyle name="SAPBEXaggDataEmph" xfId="1642"/>
    <cellStyle name="SAPBEXaggDataEmph 2" xfId="1643"/>
    <cellStyle name="SAPBEXaggItem" xfId="1644"/>
    <cellStyle name="SAPBEXaggItem 2" xfId="1645"/>
    <cellStyle name="SAPBEXaggItemX" xfId="1646"/>
    <cellStyle name="SAPBEXaggItemX 2" xfId="1647"/>
    <cellStyle name="SAPBEXchaText" xfId="1648"/>
    <cellStyle name="SAPBEXchaText 10" xfId="1649"/>
    <cellStyle name="SAPBEXchaText 11" xfId="1650"/>
    <cellStyle name="SAPBEXchaText 12" xfId="1651"/>
    <cellStyle name="SAPBEXchaText 13" xfId="1652"/>
    <cellStyle name="SAPBEXchaText 14" xfId="1653"/>
    <cellStyle name="SAPBEXchaText 15" xfId="1654"/>
    <cellStyle name="SAPBEXchaText 16" xfId="1655"/>
    <cellStyle name="SAPBEXchaText 17" xfId="1656"/>
    <cellStyle name="SAPBEXchaText 18" xfId="1657"/>
    <cellStyle name="SAPBEXchaText 19" xfId="1658"/>
    <cellStyle name="SAPBEXchaText 2" xfId="1659"/>
    <cellStyle name="SAPBEXchaText 2 10" xfId="1660"/>
    <cellStyle name="SAPBEXchaText 2 11" xfId="1661"/>
    <cellStyle name="SAPBEXchaText 2 12" xfId="1662"/>
    <cellStyle name="SAPBEXchaText 2 13" xfId="1663"/>
    <cellStyle name="SAPBEXchaText 2 14" xfId="1664"/>
    <cellStyle name="SAPBEXchaText 2 15" xfId="1665"/>
    <cellStyle name="SAPBEXchaText 2 16" xfId="1666"/>
    <cellStyle name="SAPBEXchaText 2 17" xfId="1667"/>
    <cellStyle name="SAPBEXchaText 2 18" xfId="1668"/>
    <cellStyle name="SAPBEXchaText 2 2" xfId="1669"/>
    <cellStyle name="SAPBEXchaText 2 3" xfId="1670"/>
    <cellStyle name="SAPBEXchaText 2 4" xfId="1671"/>
    <cellStyle name="SAPBEXchaText 2 5" xfId="1672"/>
    <cellStyle name="SAPBEXchaText 2 6" xfId="1673"/>
    <cellStyle name="SAPBEXchaText 2 7" xfId="1674"/>
    <cellStyle name="SAPBEXchaText 2 8" xfId="1675"/>
    <cellStyle name="SAPBEXchaText 2 9" xfId="1676"/>
    <cellStyle name="SAPBEXchaText 20" xfId="1677"/>
    <cellStyle name="SAPBEXchaText 20 2" xfId="1678"/>
    <cellStyle name="SAPBEXchaText 21" xfId="1679"/>
    <cellStyle name="SAPBEXchaText 21 2" xfId="1680"/>
    <cellStyle name="SAPBEXchaText 22" xfId="1681"/>
    <cellStyle name="SAPBEXchaText 22 2" xfId="1682"/>
    <cellStyle name="SAPBEXchaText 23" xfId="1683"/>
    <cellStyle name="SAPBEXchaText 23 2" xfId="1684"/>
    <cellStyle name="SAPBEXchaText 24" xfId="1685"/>
    <cellStyle name="SAPBEXchaText 24 2" xfId="1686"/>
    <cellStyle name="SAPBEXchaText 3" xfId="1687"/>
    <cellStyle name="SAPBEXchaText 4" xfId="1688"/>
    <cellStyle name="SAPBEXchaText 5" xfId="1689"/>
    <cellStyle name="SAPBEXchaText 6" xfId="1690"/>
    <cellStyle name="SAPBEXchaText 7" xfId="1691"/>
    <cellStyle name="SAPBEXchaText 8" xfId="1692"/>
    <cellStyle name="SAPBEXchaText 9" xfId="1693"/>
    <cellStyle name="SAPBEXexcBad7" xfId="1694"/>
    <cellStyle name="SAPBEXexcBad7 2" xfId="1695"/>
    <cellStyle name="SAPBEXexcBad8" xfId="1696"/>
    <cellStyle name="SAPBEXexcBad8 2" xfId="1697"/>
    <cellStyle name="SAPBEXexcBad9" xfId="1698"/>
    <cellStyle name="SAPBEXexcBad9 2" xfId="1699"/>
    <cellStyle name="SAPBEXexcCritical4" xfId="1700"/>
    <cellStyle name="SAPBEXexcCritical4 2" xfId="1701"/>
    <cellStyle name="SAPBEXexcCritical5" xfId="1702"/>
    <cellStyle name="SAPBEXexcCritical5 2" xfId="1703"/>
    <cellStyle name="SAPBEXexcCritical6" xfId="1704"/>
    <cellStyle name="SAPBEXexcCritical6 2" xfId="1705"/>
    <cellStyle name="SAPBEXexcGood1" xfId="1706"/>
    <cellStyle name="SAPBEXexcGood1 2" xfId="1707"/>
    <cellStyle name="SAPBEXexcGood2" xfId="1708"/>
    <cellStyle name="SAPBEXexcGood2 2" xfId="1709"/>
    <cellStyle name="SAPBEXexcGood3" xfId="1710"/>
    <cellStyle name="SAPBEXexcGood3 2" xfId="1711"/>
    <cellStyle name="SAPBEXfilterDrill" xfId="1712"/>
    <cellStyle name="SAPBEXfilterDrill 2" xfId="1713"/>
    <cellStyle name="SAPBEXfilterItem" xfId="1714"/>
    <cellStyle name="SAPBEXfilterItem 2" xfId="1715"/>
    <cellStyle name="SAPBEXfilterText" xfId="1716"/>
    <cellStyle name="SAPBEXfilterText 2" xfId="1717"/>
    <cellStyle name="SAPBEXformats" xfId="1718"/>
    <cellStyle name="SAPBEXformats 10" xfId="1719"/>
    <cellStyle name="SAPBEXformats 11" xfId="1720"/>
    <cellStyle name="SAPBEXformats 12" xfId="1721"/>
    <cellStyle name="SAPBEXformats 13" xfId="1722"/>
    <cellStyle name="SAPBEXformats 14" xfId="1723"/>
    <cellStyle name="SAPBEXformats 15" xfId="1724"/>
    <cellStyle name="SAPBEXformats 16" xfId="1725"/>
    <cellStyle name="SAPBEXformats 17" xfId="1726"/>
    <cellStyle name="SAPBEXformats 18" xfId="1727"/>
    <cellStyle name="SAPBEXformats 19" xfId="1728"/>
    <cellStyle name="SAPBEXformats 2" xfId="1729"/>
    <cellStyle name="SAPBEXformats 2 10" xfId="1730"/>
    <cellStyle name="SAPBEXformats 2 11" xfId="1731"/>
    <cellStyle name="SAPBEXformats 2 12" xfId="1732"/>
    <cellStyle name="SAPBEXformats 2 13" xfId="1733"/>
    <cellStyle name="SAPBEXformats 2 14" xfId="1734"/>
    <cellStyle name="SAPBEXformats 2 15" xfId="1735"/>
    <cellStyle name="SAPBEXformats 2 16" xfId="1736"/>
    <cellStyle name="SAPBEXformats 2 17" xfId="1737"/>
    <cellStyle name="SAPBEXformats 2 18" xfId="1738"/>
    <cellStyle name="SAPBEXformats 2 2" xfId="1739"/>
    <cellStyle name="SAPBEXformats 2 3" xfId="1740"/>
    <cellStyle name="SAPBEXformats 2 4" xfId="1741"/>
    <cellStyle name="SAPBEXformats 2 5" xfId="1742"/>
    <cellStyle name="SAPBEXformats 2 6" xfId="1743"/>
    <cellStyle name="SAPBEXformats 2 7" xfId="1744"/>
    <cellStyle name="SAPBEXformats 2 8" xfId="1745"/>
    <cellStyle name="SAPBEXformats 2 9" xfId="1746"/>
    <cellStyle name="SAPBEXformats 20" xfId="1747"/>
    <cellStyle name="SAPBEXformats 20 2" xfId="1748"/>
    <cellStyle name="SAPBEXformats 21" xfId="1749"/>
    <cellStyle name="SAPBEXformats 21 2" xfId="1750"/>
    <cellStyle name="SAPBEXformats 22" xfId="1751"/>
    <cellStyle name="SAPBEXformats 22 2" xfId="1752"/>
    <cellStyle name="SAPBEXformats 23" xfId="1753"/>
    <cellStyle name="SAPBEXformats 23 2" xfId="1754"/>
    <cellStyle name="SAPBEXformats 24" xfId="1755"/>
    <cellStyle name="SAPBEXformats 24 2" xfId="1756"/>
    <cellStyle name="SAPBEXformats 3" xfId="1757"/>
    <cellStyle name="SAPBEXformats 4" xfId="1758"/>
    <cellStyle name="SAPBEXformats 5" xfId="1759"/>
    <cellStyle name="SAPBEXformats 6" xfId="1760"/>
    <cellStyle name="SAPBEXformats 7" xfId="1761"/>
    <cellStyle name="SAPBEXformats 8" xfId="1762"/>
    <cellStyle name="SAPBEXformats 9" xfId="1763"/>
    <cellStyle name="SAPBEXheaderItem" xfId="1764"/>
    <cellStyle name="SAPBEXheaderItem 2" xfId="1765"/>
    <cellStyle name="SAPBEXheaderItem 3" xfId="1766"/>
    <cellStyle name="SAPBEXheaderText" xfId="1767"/>
    <cellStyle name="SAPBEXheaderText 2" xfId="1768"/>
    <cellStyle name="SAPBEXheaderText 3" xfId="1769"/>
    <cellStyle name="SAPBEXHLevel0" xfId="1770"/>
    <cellStyle name="SAPBEXHLevel0 10" xfId="1771"/>
    <cellStyle name="SAPBEXHLevel0 11" xfId="1772"/>
    <cellStyle name="SAPBEXHLevel0 12" xfId="1773"/>
    <cellStyle name="SAPBEXHLevel0 13" xfId="1774"/>
    <cellStyle name="SAPBEXHLevel0 14" xfId="1775"/>
    <cellStyle name="SAPBEXHLevel0 15" xfId="1776"/>
    <cellStyle name="SAPBEXHLevel0 16" xfId="1777"/>
    <cellStyle name="SAPBEXHLevel0 17" xfId="1778"/>
    <cellStyle name="SAPBEXHLevel0 18" xfId="1779"/>
    <cellStyle name="SAPBEXHLevel0 19" xfId="1780"/>
    <cellStyle name="SAPBEXHLevel0 2" xfId="1781"/>
    <cellStyle name="SAPBEXHLevel0 2 10" xfId="1782"/>
    <cellStyle name="SAPBEXHLevel0 2 11" xfId="1783"/>
    <cellStyle name="SAPBEXHLevel0 2 12" xfId="1784"/>
    <cellStyle name="SAPBEXHLevel0 2 13" xfId="1785"/>
    <cellStyle name="SAPBEXHLevel0 2 14" xfId="1786"/>
    <cellStyle name="SAPBEXHLevel0 2 15" xfId="1787"/>
    <cellStyle name="SAPBEXHLevel0 2 16" xfId="1788"/>
    <cellStyle name="SAPBEXHLevel0 2 17" xfId="1789"/>
    <cellStyle name="SAPBEXHLevel0 2 18" xfId="1790"/>
    <cellStyle name="SAPBEXHLevel0 2 2" xfId="1791"/>
    <cellStyle name="SAPBEXHLevel0 2 3" xfId="1792"/>
    <cellStyle name="SAPBEXHLevel0 2 4" xfId="1793"/>
    <cellStyle name="SAPBEXHLevel0 2 5" xfId="1794"/>
    <cellStyle name="SAPBEXHLevel0 2 6" xfId="1795"/>
    <cellStyle name="SAPBEXHLevel0 2 7" xfId="1796"/>
    <cellStyle name="SAPBEXHLevel0 2 8" xfId="1797"/>
    <cellStyle name="SAPBEXHLevel0 2 9" xfId="1798"/>
    <cellStyle name="SAPBEXHLevel0 20" xfId="1799"/>
    <cellStyle name="SAPBEXHLevel0 20 2" xfId="1800"/>
    <cellStyle name="SAPBEXHLevel0 21" xfId="1801"/>
    <cellStyle name="SAPBEXHLevel0 21 2" xfId="1802"/>
    <cellStyle name="SAPBEXHLevel0 22" xfId="1803"/>
    <cellStyle name="SAPBEXHLevel0 22 2" xfId="1804"/>
    <cellStyle name="SAPBEXHLevel0 23" xfId="1805"/>
    <cellStyle name="SAPBEXHLevel0 23 2" xfId="1806"/>
    <cellStyle name="SAPBEXHLevel0 24" xfId="1807"/>
    <cellStyle name="SAPBEXHLevel0 24 2" xfId="1808"/>
    <cellStyle name="SAPBEXHLevel0 3" xfId="1809"/>
    <cellStyle name="SAPBEXHLevel0 4" xfId="1810"/>
    <cellStyle name="SAPBEXHLevel0 5" xfId="1811"/>
    <cellStyle name="SAPBEXHLevel0 6" xfId="1812"/>
    <cellStyle name="SAPBEXHLevel0 7" xfId="1813"/>
    <cellStyle name="SAPBEXHLevel0 8" xfId="1814"/>
    <cellStyle name="SAPBEXHLevel0 9" xfId="1815"/>
    <cellStyle name="SAPBEXHLevel0X" xfId="1816"/>
    <cellStyle name="SAPBEXHLevel0X 10" xfId="1817"/>
    <cellStyle name="SAPBEXHLevel0X 11" xfId="1818"/>
    <cellStyle name="SAPBEXHLevel0X 12" xfId="1819"/>
    <cellStyle name="SAPBEXHLevel0X 13" xfId="1820"/>
    <cellStyle name="SAPBEXHLevel0X 14" xfId="1821"/>
    <cellStyle name="SAPBEXHLevel0X 15" xfId="1822"/>
    <cellStyle name="SAPBEXHLevel0X 16" xfId="1823"/>
    <cellStyle name="SAPBEXHLevel0X 17" xfId="1824"/>
    <cellStyle name="SAPBEXHLevel0X 18" xfId="1825"/>
    <cellStyle name="SAPBEXHLevel0X 19" xfId="1826"/>
    <cellStyle name="SAPBEXHLevel0X 2" xfId="1827"/>
    <cellStyle name="SAPBEXHLevel0X 2 10" xfId="1828"/>
    <cellStyle name="SAPBEXHLevel0X 2 11" xfId="1829"/>
    <cellStyle name="SAPBEXHLevel0X 2 12" xfId="1830"/>
    <cellStyle name="SAPBEXHLevel0X 2 13" xfId="1831"/>
    <cellStyle name="SAPBEXHLevel0X 2 14" xfId="1832"/>
    <cellStyle name="SAPBEXHLevel0X 2 15" xfId="1833"/>
    <cellStyle name="SAPBEXHLevel0X 2 16" xfId="1834"/>
    <cellStyle name="SAPBEXHLevel0X 2 17" xfId="1835"/>
    <cellStyle name="SAPBEXHLevel0X 2 18" xfId="1836"/>
    <cellStyle name="SAPBEXHLevel0X 2 2" xfId="1837"/>
    <cellStyle name="SAPBEXHLevel0X 2 3" xfId="1838"/>
    <cellStyle name="SAPBEXHLevel0X 2 4" xfId="1839"/>
    <cellStyle name="SAPBEXHLevel0X 2 5" xfId="1840"/>
    <cellStyle name="SAPBEXHLevel0X 2 6" xfId="1841"/>
    <cellStyle name="SAPBEXHLevel0X 2 7" xfId="1842"/>
    <cellStyle name="SAPBEXHLevel0X 2 8" xfId="1843"/>
    <cellStyle name="SAPBEXHLevel0X 2 9" xfId="1844"/>
    <cellStyle name="SAPBEXHLevel0X 20" xfId="1845"/>
    <cellStyle name="SAPBEXHLevel0X 20 2" xfId="1846"/>
    <cellStyle name="SAPBEXHLevel0X 21" xfId="1847"/>
    <cellStyle name="SAPBEXHLevel0X 21 2" xfId="1848"/>
    <cellStyle name="SAPBEXHLevel0X 22" xfId="1849"/>
    <cellStyle name="SAPBEXHLevel0X 22 2" xfId="1850"/>
    <cellStyle name="SAPBEXHLevel0X 23" xfId="1851"/>
    <cellStyle name="SAPBEXHLevel0X 23 2" xfId="1852"/>
    <cellStyle name="SAPBEXHLevel0X 24" xfId="1853"/>
    <cellStyle name="SAPBEXHLevel0X 24 2" xfId="1854"/>
    <cellStyle name="SAPBEXHLevel0X 3" xfId="1855"/>
    <cellStyle name="SAPBEXHLevel0X 4" xfId="1856"/>
    <cellStyle name="SAPBEXHLevel0X 5" xfId="1857"/>
    <cellStyle name="SAPBEXHLevel0X 6" xfId="1858"/>
    <cellStyle name="SAPBEXHLevel0X 7" xfId="1859"/>
    <cellStyle name="SAPBEXHLevel0X 8" xfId="1860"/>
    <cellStyle name="SAPBEXHLevel0X 9" xfId="1861"/>
    <cellStyle name="SAPBEXHLevel1" xfId="1862"/>
    <cellStyle name="SAPBEXHLevel1 10" xfId="1863"/>
    <cellStyle name="SAPBEXHLevel1 11" xfId="1864"/>
    <cellStyle name="SAPBEXHLevel1 12" xfId="1865"/>
    <cellStyle name="SAPBEXHLevel1 13" xfId="1866"/>
    <cellStyle name="SAPBEXHLevel1 14" xfId="1867"/>
    <cellStyle name="SAPBEXHLevel1 15" xfId="1868"/>
    <cellStyle name="SAPBEXHLevel1 16" xfId="1869"/>
    <cellStyle name="SAPBEXHLevel1 17" xfId="1870"/>
    <cellStyle name="SAPBEXHLevel1 18" xfId="1871"/>
    <cellStyle name="SAPBEXHLevel1 19" xfId="1872"/>
    <cellStyle name="SAPBEXHLevel1 2" xfId="1873"/>
    <cellStyle name="SAPBEXHLevel1 2 10" xfId="1874"/>
    <cellStyle name="SAPBEXHLevel1 2 11" xfId="1875"/>
    <cellStyle name="SAPBEXHLevel1 2 12" xfId="1876"/>
    <cellStyle name="SAPBEXHLevel1 2 13" xfId="1877"/>
    <cellStyle name="SAPBEXHLevel1 2 14" xfId="1878"/>
    <cellStyle name="SAPBEXHLevel1 2 15" xfId="1879"/>
    <cellStyle name="SAPBEXHLevel1 2 16" xfId="1880"/>
    <cellStyle name="SAPBEXHLevel1 2 17" xfId="1881"/>
    <cellStyle name="SAPBEXHLevel1 2 18" xfId="1882"/>
    <cellStyle name="SAPBEXHLevel1 2 2" xfId="1883"/>
    <cellStyle name="SAPBEXHLevel1 2 3" xfId="1884"/>
    <cellStyle name="SAPBEXHLevel1 2 4" xfId="1885"/>
    <cellStyle name="SAPBEXHLevel1 2 5" xfId="1886"/>
    <cellStyle name="SAPBEXHLevel1 2 6" xfId="1887"/>
    <cellStyle name="SAPBEXHLevel1 2 7" xfId="1888"/>
    <cellStyle name="SAPBEXHLevel1 2 8" xfId="1889"/>
    <cellStyle name="SAPBEXHLevel1 2 9" xfId="1890"/>
    <cellStyle name="SAPBEXHLevel1 20" xfId="1891"/>
    <cellStyle name="SAPBEXHLevel1 20 2" xfId="1892"/>
    <cellStyle name="SAPBEXHLevel1 21" xfId="1893"/>
    <cellStyle name="SAPBEXHLevel1 21 2" xfId="1894"/>
    <cellStyle name="SAPBEXHLevel1 22" xfId="1895"/>
    <cellStyle name="SAPBEXHLevel1 22 2" xfId="1896"/>
    <cellStyle name="SAPBEXHLevel1 23" xfId="1897"/>
    <cellStyle name="SAPBEXHLevel1 23 2" xfId="1898"/>
    <cellStyle name="SAPBEXHLevel1 24" xfId="1899"/>
    <cellStyle name="SAPBEXHLevel1 24 2" xfId="1900"/>
    <cellStyle name="SAPBEXHLevel1 3" xfId="1901"/>
    <cellStyle name="SAPBEXHLevel1 4" xfId="1902"/>
    <cellStyle name="SAPBEXHLevel1 5" xfId="1903"/>
    <cellStyle name="SAPBEXHLevel1 6" xfId="1904"/>
    <cellStyle name="SAPBEXHLevel1 7" xfId="1905"/>
    <cellStyle name="SAPBEXHLevel1 8" xfId="1906"/>
    <cellStyle name="SAPBEXHLevel1 9" xfId="1907"/>
    <cellStyle name="SAPBEXHLevel1X" xfId="1908"/>
    <cellStyle name="SAPBEXHLevel1X 10" xfId="1909"/>
    <cellStyle name="SAPBEXHLevel1X 11" xfId="1910"/>
    <cellStyle name="SAPBEXHLevel1X 12" xfId="1911"/>
    <cellStyle name="SAPBEXHLevel1X 13" xfId="1912"/>
    <cellStyle name="SAPBEXHLevel1X 14" xfId="1913"/>
    <cellStyle name="SAPBEXHLevel1X 15" xfId="1914"/>
    <cellStyle name="SAPBEXHLevel1X 16" xfId="1915"/>
    <cellStyle name="SAPBEXHLevel1X 17" xfId="1916"/>
    <cellStyle name="SAPBEXHLevel1X 18" xfId="1917"/>
    <cellStyle name="SAPBEXHLevel1X 19" xfId="1918"/>
    <cellStyle name="SAPBEXHLevel1X 2" xfId="1919"/>
    <cellStyle name="SAPBEXHLevel1X 2 10" xfId="1920"/>
    <cellStyle name="SAPBEXHLevel1X 2 11" xfId="1921"/>
    <cellStyle name="SAPBEXHLevel1X 2 12" xfId="1922"/>
    <cellStyle name="SAPBEXHLevel1X 2 13" xfId="1923"/>
    <cellStyle name="SAPBEXHLevel1X 2 14" xfId="1924"/>
    <cellStyle name="SAPBEXHLevel1X 2 15" xfId="1925"/>
    <cellStyle name="SAPBEXHLevel1X 2 16" xfId="1926"/>
    <cellStyle name="SAPBEXHLevel1X 2 17" xfId="1927"/>
    <cellStyle name="SAPBEXHLevel1X 2 18" xfId="1928"/>
    <cellStyle name="SAPBEXHLevel1X 2 2" xfId="1929"/>
    <cellStyle name="SAPBEXHLevel1X 2 3" xfId="1930"/>
    <cellStyle name="SAPBEXHLevel1X 2 4" xfId="1931"/>
    <cellStyle name="SAPBEXHLevel1X 2 5" xfId="1932"/>
    <cellStyle name="SAPBEXHLevel1X 2 6" xfId="1933"/>
    <cellStyle name="SAPBEXHLevel1X 2 7" xfId="1934"/>
    <cellStyle name="SAPBEXHLevel1X 2 8" xfId="1935"/>
    <cellStyle name="SAPBEXHLevel1X 2 9" xfId="1936"/>
    <cellStyle name="SAPBEXHLevel1X 20" xfId="1937"/>
    <cellStyle name="SAPBEXHLevel1X 20 2" xfId="1938"/>
    <cellStyle name="SAPBEXHLevel1X 21" xfId="1939"/>
    <cellStyle name="SAPBEXHLevel1X 21 2" xfId="1940"/>
    <cellStyle name="SAPBEXHLevel1X 22" xfId="1941"/>
    <cellStyle name="SAPBEXHLevel1X 22 2" xfId="1942"/>
    <cellStyle name="SAPBEXHLevel1X 23" xfId="1943"/>
    <cellStyle name="SAPBEXHLevel1X 23 2" xfId="1944"/>
    <cellStyle name="SAPBEXHLevel1X 24" xfId="1945"/>
    <cellStyle name="SAPBEXHLevel1X 24 2" xfId="1946"/>
    <cellStyle name="SAPBEXHLevel1X 3" xfId="1947"/>
    <cellStyle name="SAPBEXHLevel1X 4" xfId="1948"/>
    <cellStyle name="SAPBEXHLevel1X 5" xfId="1949"/>
    <cellStyle name="SAPBEXHLevel1X 6" xfId="1950"/>
    <cellStyle name="SAPBEXHLevel1X 7" xfId="1951"/>
    <cellStyle name="SAPBEXHLevel1X 8" xfId="1952"/>
    <cellStyle name="SAPBEXHLevel1X 9" xfId="1953"/>
    <cellStyle name="SAPBEXHLevel2" xfId="1954"/>
    <cellStyle name="SAPBEXHLevel2 10" xfId="1955"/>
    <cellStyle name="SAPBEXHLevel2 11" xfId="1956"/>
    <cellStyle name="SAPBEXHLevel2 12" xfId="1957"/>
    <cellStyle name="SAPBEXHLevel2 13" xfId="1958"/>
    <cellStyle name="SAPBEXHLevel2 14" xfId="1959"/>
    <cellStyle name="SAPBEXHLevel2 15" xfId="1960"/>
    <cellStyle name="SAPBEXHLevel2 16" xfId="1961"/>
    <cellStyle name="SAPBEXHLevel2 17" xfId="1962"/>
    <cellStyle name="SAPBEXHLevel2 18" xfId="1963"/>
    <cellStyle name="SAPBEXHLevel2 19" xfId="1964"/>
    <cellStyle name="SAPBEXHLevel2 2" xfId="1965"/>
    <cellStyle name="SAPBEXHLevel2 2 10" xfId="1966"/>
    <cellStyle name="SAPBEXHLevel2 2 11" xfId="1967"/>
    <cellStyle name="SAPBEXHLevel2 2 12" xfId="1968"/>
    <cellStyle name="SAPBEXHLevel2 2 13" xfId="1969"/>
    <cellStyle name="SAPBEXHLevel2 2 14" xfId="1970"/>
    <cellStyle name="SAPBEXHLevel2 2 15" xfId="1971"/>
    <cellStyle name="SAPBEXHLevel2 2 16" xfId="1972"/>
    <cellStyle name="SAPBEXHLevel2 2 17" xfId="1973"/>
    <cellStyle name="SAPBEXHLevel2 2 18" xfId="1974"/>
    <cellStyle name="SAPBEXHLevel2 2 2" xfId="1975"/>
    <cellStyle name="SAPBEXHLevel2 2 3" xfId="1976"/>
    <cellStyle name="SAPBEXHLevel2 2 4" xfId="1977"/>
    <cellStyle name="SAPBEXHLevel2 2 5" xfId="1978"/>
    <cellStyle name="SAPBEXHLevel2 2 6" xfId="1979"/>
    <cellStyle name="SAPBEXHLevel2 2 7" xfId="1980"/>
    <cellStyle name="SAPBEXHLevel2 2 8" xfId="1981"/>
    <cellStyle name="SAPBEXHLevel2 2 9" xfId="1982"/>
    <cellStyle name="SAPBEXHLevel2 20" xfId="1983"/>
    <cellStyle name="SAPBEXHLevel2 20 2" xfId="1984"/>
    <cellStyle name="SAPBEXHLevel2 21" xfId="1985"/>
    <cellStyle name="SAPBEXHLevel2 21 2" xfId="1986"/>
    <cellStyle name="SAPBEXHLevel2 22" xfId="1987"/>
    <cellStyle name="SAPBEXHLevel2 22 2" xfId="1988"/>
    <cellStyle name="SAPBEXHLevel2 23" xfId="1989"/>
    <cellStyle name="SAPBEXHLevel2 23 2" xfId="1990"/>
    <cellStyle name="SAPBEXHLevel2 24" xfId="1991"/>
    <cellStyle name="SAPBEXHLevel2 24 2" xfId="1992"/>
    <cellStyle name="SAPBEXHLevel2 3" xfId="1993"/>
    <cellStyle name="SAPBEXHLevel2 4" xfId="1994"/>
    <cellStyle name="SAPBEXHLevel2 5" xfId="1995"/>
    <cellStyle name="SAPBEXHLevel2 6" xfId="1996"/>
    <cellStyle name="SAPBEXHLevel2 7" xfId="1997"/>
    <cellStyle name="SAPBEXHLevel2 8" xfId="1998"/>
    <cellStyle name="SAPBEXHLevel2 9" xfId="1999"/>
    <cellStyle name="SAPBEXHLevel2X" xfId="2000"/>
    <cellStyle name="SAPBEXHLevel2X 10" xfId="2001"/>
    <cellStyle name="SAPBEXHLevel2X 11" xfId="2002"/>
    <cellStyle name="SAPBEXHLevel2X 12" xfId="2003"/>
    <cellStyle name="SAPBEXHLevel2X 13" xfId="2004"/>
    <cellStyle name="SAPBEXHLevel2X 14" xfId="2005"/>
    <cellStyle name="SAPBEXHLevel2X 15" xfId="2006"/>
    <cellStyle name="SAPBEXHLevel2X 16" xfId="2007"/>
    <cellStyle name="SAPBEXHLevel2X 17" xfId="2008"/>
    <cellStyle name="SAPBEXHLevel2X 18" xfId="2009"/>
    <cellStyle name="SAPBEXHLevel2X 19" xfId="2010"/>
    <cellStyle name="SAPBEXHLevel2X 2" xfId="2011"/>
    <cellStyle name="SAPBEXHLevel2X 2 10" xfId="2012"/>
    <cellStyle name="SAPBEXHLevel2X 2 11" xfId="2013"/>
    <cellStyle name="SAPBEXHLevel2X 2 12" xfId="2014"/>
    <cellStyle name="SAPBEXHLevel2X 2 13" xfId="2015"/>
    <cellStyle name="SAPBEXHLevel2X 2 14" xfId="2016"/>
    <cellStyle name="SAPBEXHLevel2X 2 15" xfId="2017"/>
    <cellStyle name="SAPBEXHLevel2X 2 16" xfId="2018"/>
    <cellStyle name="SAPBEXHLevel2X 2 17" xfId="2019"/>
    <cellStyle name="SAPBEXHLevel2X 2 18" xfId="2020"/>
    <cellStyle name="SAPBEXHLevel2X 2 2" xfId="2021"/>
    <cellStyle name="SAPBEXHLevel2X 2 3" xfId="2022"/>
    <cellStyle name="SAPBEXHLevel2X 2 4" xfId="2023"/>
    <cellStyle name="SAPBEXHLevel2X 2 5" xfId="2024"/>
    <cellStyle name="SAPBEXHLevel2X 2 6" xfId="2025"/>
    <cellStyle name="SAPBEXHLevel2X 2 7" xfId="2026"/>
    <cellStyle name="SAPBEXHLevel2X 2 8" xfId="2027"/>
    <cellStyle name="SAPBEXHLevel2X 2 9" xfId="2028"/>
    <cellStyle name="SAPBEXHLevel2X 20" xfId="2029"/>
    <cellStyle name="SAPBEXHLevel2X 20 2" xfId="2030"/>
    <cellStyle name="SAPBEXHLevel2X 21" xfId="2031"/>
    <cellStyle name="SAPBEXHLevel2X 21 2" xfId="2032"/>
    <cellStyle name="SAPBEXHLevel2X 22" xfId="2033"/>
    <cellStyle name="SAPBEXHLevel2X 22 2" xfId="2034"/>
    <cellStyle name="SAPBEXHLevel2X 23" xfId="2035"/>
    <cellStyle name="SAPBEXHLevel2X 23 2" xfId="2036"/>
    <cellStyle name="SAPBEXHLevel2X 24" xfId="2037"/>
    <cellStyle name="SAPBEXHLevel2X 24 2" xfId="2038"/>
    <cellStyle name="SAPBEXHLevel2X 3" xfId="2039"/>
    <cellStyle name="SAPBEXHLevel2X 4" xfId="2040"/>
    <cellStyle name="SAPBEXHLevel2X 5" xfId="2041"/>
    <cellStyle name="SAPBEXHLevel2X 6" xfId="2042"/>
    <cellStyle name="SAPBEXHLevel2X 7" xfId="2043"/>
    <cellStyle name="SAPBEXHLevel2X 8" xfId="2044"/>
    <cellStyle name="SAPBEXHLevel2X 9" xfId="2045"/>
    <cellStyle name="SAPBEXHLevel3" xfId="2046"/>
    <cellStyle name="SAPBEXHLevel3 10" xfId="2047"/>
    <cellStyle name="SAPBEXHLevel3 11" xfId="2048"/>
    <cellStyle name="SAPBEXHLevel3 12" xfId="2049"/>
    <cellStyle name="SAPBEXHLevel3 13" xfId="2050"/>
    <cellStyle name="SAPBEXHLevel3 14" xfId="2051"/>
    <cellStyle name="SAPBEXHLevel3 15" xfId="2052"/>
    <cellStyle name="SAPBEXHLevel3 16" xfId="2053"/>
    <cellStyle name="SAPBEXHLevel3 17" xfId="2054"/>
    <cellStyle name="SAPBEXHLevel3 18" xfId="2055"/>
    <cellStyle name="SAPBEXHLevel3 19" xfId="2056"/>
    <cellStyle name="SAPBEXHLevel3 2" xfId="2057"/>
    <cellStyle name="SAPBEXHLevel3 2 10" xfId="2058"/>
    <cellStyle name="SAPBEXHLevel3 2 11" xfId="2059"/>
    <cellStyle name="SAPBEXHLevel3 2 12" xfId="2060"/>
    <cellStyle name="SAPBEXHLevel3 2 13" xfId="2061"/>
    <cellStyle name="SAPBEXHLevel3 2 14" xfId="2062"/>
    <cellStyle name="SAPBEXHLevel3 2 15" xfId="2063"/>
    <cellStyle name="SAPBEXHLevel3 2 16" xfId="2064"/>
    <cellStyle name="SAPBEXHLevel3 2 17" xfId="2065"/>
    <cellStyle name="SAPBEXHLevel3 2 18" xfId="2066"/>
    <cellStyle name="SAPBEXHLevel3 2 2" xfId="2067"/>
    <cellStyle name="SAPBEXHLevel3 2 3" xfId="2068"/>
    <cellStyle name="SAPBEXHLevel3 2 4" xfId="2069"/>
    <cellStyle name="SAPBEXHLevel3 2 5" xfId="2070"/>
    <cellStyle name="SAPBEXHLevel3 2 6" xfId="2071"/>
    <cellStyle name="SAPBEXHLevel3 2 7" xfId="2072"/>
    <cellStyle name="SAPBEXHLevel3 2 8" xfId="2073"/>
    <cellStyle name="SAPBEXHLevel3 2 9" xfId="2074"/>
    <cellStyle name="SAPBEXHLevel3 20" xfId="2075"/>
    <cellStyle name="SAPBEXHLevel3 20 2" xfId="2076"/>
    <cellStyle name="SAPBEXHLevel3 21" xfId="2077"/>
    <cellStyle name="SAPBEXHLevel3 21 2" xfId="2078"/>
    <cellStyle name="SAPBEXHLevel3 22" xfId="2079"/>
    <cellStyle name="SAPBEXHLevel3 22 2" xfId="2080"/>
    <cellStyle name="SAPBEXHLevel3 23" xfId="2081"/>
    <cellStyle name="SAPBEXHLevel3 23 2" xfId="2082"/>
    <cellStyle name="SAPBEXHLevel3 24" xfId="2083"/>
    <cellStyle name="SAPBEXHLevel3 24 2" xfId="2084"/>
    <cellStyle name="SAPBEXHLevel3 3" xfId="2085"/>
    <cellStyle name="SAPBEXHLevel3 4" xfId="2086"/>
    <cellStyle name="SAPBEXHLevel3 5" xfId="2087"/>
    <cellStyle name="SAPBEXHLevel3 6" xfId="2088"/>
    <cellStyle name="SAPBEXHLevel3 7" xfId="2089"/>
    <cellStyle name="SAPBEXHLevel3 8" xfId="2090"/>
    <cellStyle name="SAPBEXHLevel3 9" xfId="2091"/>
    <cellStyle name="SAPBEXHLevel3X" xfId="2092"/>
    <cellStyle name="SAPBEXHLevel3X 10" xfId="2093"/>
    <cellStyle name="SAPBEXHLevel3X 11" xfId="2094"/>
    <cellStyle name="SAPBEXHLevel3X 12" xfId="2095"/>
    <cellStyle name="SAPBEXHLevel3X 13" xfId="2096"/>
    <cellStyle name="SAPBEXHLevel3X 14" xfId="2097"/>
    <cellStyle name="SAPBEXHLevel3X 15" xfId="2098"/>
    <cellStyle name="SAPBEXHLevel3X 16" xfId="2099"/>
    <cellStyle name="SAPBEXHLevel3X 17" xfId="2100"/>
    <cellStyle name="SAPBEXHLevel3X 18" xfId="2101"/>
    <cellStyle name="SAPBEXHLevel3X 19" xfId="2102"/>
    <cellStyle name="SAPBEXHLevel3X 2" xfId="2103"/>
    <cellStyle name="SAPBEXHLevel3X 2 10" xfId="2104"/>
    <cellStyle name="SAPBEXHLevel3X 2 11" xfId="2105"/>
    <cellStyle name="SAPBEXHLevel3X 2 12" xfId="2106"/>
    <cellStyle name="SAPBEXHLevel3X 2 13" xfId="2107"/>
    <cellStyle name="SAPBEXHLevel3X 2 14" xfId="2108"/>
    <cellStyle name="SAPBEXHLevel3X 2 15" xfId="2109"/>
    <cellStyle name="SAPBEXHLevel3X 2 16" xfId="2110"/>
    <cellStyle name="SAPBEXHLevel3X 2 17" xfId="2111"/>
    <cellStyle name="SAPBEXHLevel3X 2 18" xfId="2112"/>
    <cellStyle name="SAPBEXHLevel3X 2 2" xfId="2113"/>
    <cellStyle name="SAPBEXHLevel3X 2 3" xfId="2114"/>
    <cellStyle name="SAPBEXHLevel3X 2 4" xfId="2115"/>
    <cellStyle name="SAPBEXHLevel3X 2 5" xfId="2116"/>
    <cellStyle name="SAPBEXHLevel3X 2 6" xfId="2117"/>
    <cellStyle name="SAPBEXHLevel3X 2 7" xfId="2118"/>
    <cellStyle name="SAPBEXHLevel3X 2 8" xfId="2119"/>
    <cellStyle name="SAPBEXHLevel3X 2 9" xfId="2120"/>
    <cellStyle name="SAPBEXHLevel3X 20" xfId="2121"/>
    <cellStyle name="SAPBEXHLevel3X 20 2" xfId="2122"/>
    <cellStyle name="SAPBEXHLevel3X 21" xfId="2123"/>
    <cellStyle name="SAPBEXHLevel3X 21 2" xfId="2124"/>
    <cellStyle name="SAPBEXHLevel3X 22" xfId="2125"/>
    <cellStyle name="SAPBEXHLevel3X 22 2" xfId="2126"/>
    <cellStyle name="SAPBEXHLevel3X 23" xfId="2127"/>
    <cellStyle name="SAPBEXHLevel3X 23 2" xfId="2128"/>
    <cellStyle name="SAPBEXHLevel3X 24" xfId="2129"/>
    <cellStyle name="SAPBEXHLevel3X 24 2" xfId="2130"/>
    <cellStyle name="SAPBEXHLevel3X 3" xfId="2131"/>
    <cellStyle name="SAPBEXHLevel3X 4" xfId="2132"/>
    <cellStyle name="SAPBEXHLevel3X 5" xfId="2133"/>
    <cellStyle name="SAPBEXHLevel3X 6" xfId="2134"/>
    <cellStyle name="SAPBEXHLevel3X 7" xfId="2135"/>
    <cellStyle name="SAPBEXHLevel3X 8" xfId="2136"/>
    <cellStyle name="SAPBEXHLevel3X 9" xfId="2137"/>
    <cellStyle name="SAPBEXinputData" xfId="2138"/>
    <cellStyle name="SAPBEXinputData 2" xfId="2139"/>
    <cellStyle name="SAPBEXItemHeader" xfId="2140"/>
    <cellStyle name="SAPBEXresData" xfId="2141"/>
    <cellStyle name="SAPBEXresData 2" xfId="2142"/>
    <cellStyle name="SAPBEXresDataEmph" xfId="2143"/>
    <cellStyle name="SAPBEXresDataEmph 2" xfId="2144"/>
    <cellStyle name="SAPBEXresItem" xfId="2145"/>
    <cellStyle name="SAPBEXresItem 2" xfId="2146"/>
    <cellStyle name="SAPBEXresItemX" xfId="2147"/>
    <cellStyle name="SAPBEXresItemX 2" xfId="2148"/>
    <cellStyle name="SAPBEXstdData" xfId="2149"/>
    <cellStyle name="SAPBEXstdData 2" xfId="2150"/>
    <cellStyle name="SAPBEXstdDataEmph" xfId="2151"/>
    <cellStyle name="SAPBEXstdDataEmph 2" xfId="2152"/>
    <cellStyle name="SAPBEXstdItem" xfId="2153"/>
    <cellStyle name="SAPBEXstdItem 10" xfId="2154"/>
    <cellStyle name="SAPBEXstdItem 11" xfId="2155"/>
    <cellStyle name="SAPBEXstdItem 12" xfId="2156"/>
    <cellStyle name="SAPBEXstdItem 13" xfId="2157"/>
    <cellStyle name="SAPBEXstdItem 14" xfId="2158"/>
    <cellStyle name="SAPBEXstdItem 15" xfId="2159"/>
    <cellStyle name="SAPBEXstdItem 16" xfId="2160"/>
    <cellStyle name="SAPBEXstdItem 17" xfId="2161"/>
    <cellStyle name="SAPBEXstdItem 18" xfId="2162"/>
    <cellStyle name="SAPBEXstdItem 19" xfId="2163"/>
    <cellStyle name="SAPBEXstdItem 2" xfId="2164"/>
    <cellStyle name="SAPBEXstdItem 2 10" xfId="2165"/>
    <cellStyle name="SAPBEXstdItem 2 11" xfId="2166"/>
    <cellStyle name="SAPBEXstdItem 2 12" xfId="2167"/>
    <cellStyle name="SAPBEXstdItem 2 13" xfId="2168"/>
    <cellStyle name="SAPBEXstdItem 2 14" xfId="2169"/>
    <cellStyle name="SAPBEXstdItem 2 15" xfId="2170"/>
    <cellStyle name="SAPBEXstdItem 2 16" xfId="2171"/>
    <cellStyle name="SAPBEXstdItem 2 17" xfId="2172"/>
    <cellStyle name="SAPBEXstdItem 2 18" xfId="2173"/>
    <cellStyle name="SAPBEXstdItem 2 2" xfId="2174"/>
    <cellStyle name="SAPBEXstdItem 2 3" xfId="2175"/>
    <cellStyle name="SAPBEXstdItem 2 4" xfId="2176"/>
    <cellStyle name="SAPBEXstdItem 2 5" xfId="2177"/>
    <cellStyle name="SAPBEXstdItem 2 6" xfId="2178"/>
    <cellStyle name="SAPBEXstdItem 2 7" xfId="2179"/>
    <cellStyle name="SAPBEXstdItem 2 8" xfId="2180"/>
    <cellStyle name="SAPBEXstdItem 2 9" xfId="2181"/>
    <cellStyle name="SAPBEXstdItem 20" xfId="2182"/>
    <cellStyle name="SAPBEXstdItem 20 2" xfId="2183"/>
    <cellStyle name="SAPBEXstdItem 21" xfId="2184"/>
    <cellStyle name="SAPBEXstdItem 21 2" xfId="2185"/>
    <cellStyle name="SAPBEXstdItem 22" xfId="2186"/>
    <cellStyle name="SAPBEXstdItem 22 2" xfId="2187"/>
    <cellStyle name="SAPBEXstdItem 23" xfId="2188"/>
    <cellStyle name="SAPBEXstdItem 23 2" xfId="2189"/>
    <cellStyle name="SAPBEXstdItem 24" xfId="2190"/>
    <cellStyle name="SAPBEXstdItem 24 2" xfId="2191"/>
    <cellStyle name="SAPBEXstdItem 3" xfId="2192"/>
    <cellStyle name="SAPBEXstdItem 4" xfId="2193"/>
    <cellStyle name="SAPBEXstdItem 5" xfId="2194"/>
    <cellStyle name="SAPBEXstdItem 6" xfId="2195"/>
    <cellStyle name="SAPBEXstdItem 7" xfId="2196"/>
    <cellStyle name="SAPBEXstdItem 8" xfId="2197"/>
    <cellStyle name="SAPBEXstdItem 9" xfId="2198"/>
    <cellStyle name="SAPBEXstdItemX" xfId="2199"/>
    <cellStyle name="SAPBEXstdItemX 10" xfId="2200"/>
    <cellStyle name="SAPBEXstdItemX 11" xfId="2201"/>
    <cellStyle name="SAPBEXstdItemX 12" xfId="2202"/>
    <cellStyle name="SAPBEXstdItemX 13" xfId="2203"/>
    <cellStyle name="SAPBEXstdItemX 14" xfId="2204"/>
    <cellStyle name="SAPBEXstdItemX 15" xfId="2205"/>
    <cellStyle name="SAPBEXstdItemX 16" xfId="2206"/>
    <cellStyle name="SAPBEXstdItemX 17" xfId="2207"/>
    <cellStyle name="SAPBEXstdItemX 18" xfId="2208"/>
    <cellStyle name="SAPBEXstdItemX 19" xfId="2209"/>
    <cellStyle name="SAPBEXstdItemX 2" xfId="2210"/>
    <cellStyle name="SAPBEXstdItemX 2 10" xfId="2211"/>
    <cellStyle name="SAPBEXstdItemX 2 11" xfId="2212"/>
    <cellStyle name="SAPBEXstdItemX 2 12" xfId="2213"/>
    <cellStyle name="SAPBEXstdItemX 2 13" xfId="2214"/>
    <cellStyle name="SAPBEXstdItemX 2 14" xfId="2215"/>
    <cellStyle name="SAPBEXstdItemX 2 15" xfId="2216"/>
    <cellStyle name="SAPBEXstdItemX 2 16" xfId="2217"/>
    <cellStyle name="SAPBEXstdItemX 2 17" xfId="2218"/>
    <cellStyle name="SAPBEXstdItemX 2 18" xfId="2219"/>
    <cellStyle name="SAPBEXstdItemX 2 2" xfId="2220"/>
    <cellStyle name="SAPBEXstdItemX 2 3" xfId="2221"/>
    <cellStyle name="SAPBEXstdItemX 2 4" xfId="2222"/>
    <cellStyle name="SAPBEXstdItemX 2 5" xfId="2223"/>
    <cellStyle name="SAPBEXstdItemX 2 6" xfId="2224"/>
    <cellStyle name="SAPBEXstdItemX 2 7" xfId="2225"/>
    <cellStyle name="SAPBEXstdItemX 2 8" xfId="2226"/>
    <cellStyle name="SAPBEXstdItemX 2 9" xfId="2227"/>
    <cellStyle name="SAPBEXstdItemX 20" xfId="2228"/>
    <cellStyle name="SAPBEXstdItemX 20 2" xfId="2229"/>
    <cellStyle name="SAPBEXstdItemX 21" xfId="2230"/>
    <cellStyle name="SAPBEXstdItemX 21 2" xfId="2231"/>
    <cellStyle name="SAPBEXstdItemX 22" xfId="2232"/>
    <cellStyle name="SAPBEXstdItemX 22 2" xfId="2233"/>
    <cellStyle name="SAPBEXstdItemX 23" xfId="2234"/>
    <cellStyle name="SAPBEXstdItemX 23 2" xfId="2235"/>
    <cellStyle name="SAPBEXstdItemX 24" xfId="2236"/>
    <cellStyle name="SAPBEXstdItemX 24 2" xfId="2237"/>
    <cellStyle name="SAPBEXstdItemX 3" xfId="2238"/>
    <cellStyle name="SAPBEXstdItemX 4" xfId="2239"/>
    <cellStyle name="SAPBEXstdItemX 5" xfId="2240"/>
    <cellStyle name="SAPBEXstdItemX 6" xfId="2241"/>
    <cellStyle name="SAPBEXstdItemX 7" xfId="2242"/>
    <cellStyle name="SAPBEXstdItemX 8" xfId="2243"/>
    <cellStyle name="SAPBEXstdItemX 9" xfId="2244"/>
    <cellStyle name="SAPBEXtitle" xfId="2245"/>
    <cellStyle name="SAPBEXtitle 2" xfId="2246"/>
    <cellStyle name="SAPBEXunassignedItem" xfId="2247"/>
    <cellStyle name="SAPBEXundefined" xfId="2248"/>
    <cellStyle name="SAPBEXundefined 2" xfId="2249"/>
    <cellStyle name="shade" xfId="2250"/>
    <cellStyle name="Sheet Title" xfId="2251"/>
    <cellStyle name="StmtTtl1" xfId="2252"/>
    <cellStyle name="StmtTtl1 2" xfId="2253"/>
    <cellStyle name="StmtTtl1 3" xfId="2254"/>
    <cellStyle name="StmtTtl1 4" xfId="2255"/>
    <cellStyle name="StmtTtl2" xfId="2256"/>
    <cellStyle name="STYL1 - Style1" xfId="2257"/>
    <cellStyle name="Style 1" xfId="2258"/>
    <cellStyle name="Style 1 2" xfId="2259"/>
    <cellStyle name="Style 1 3" xfId="2260"/>
    <cellStyle name="Style 1 4" xfId="2261"/>
    <cellStyle name="Style 1_3.01 Income Statement" xfId="2262"/>
    <cellStyle name="Subtotal" xfId="2263"/>
    <cellStyle name="Sub-total" xfId="2264"/>
    <cellStyle name="taples Plaza" xfId="2265"/>
    <cellStyle name="Tickmark" xfId="2266"/>
    <cellStyle name="Title 2" xfId="2267"/>
    <cellStyle name="Title: Major" xfId="2268"/>
    <cellStyle name="Title: Minor" xfId="2269"/>
    <cellStyle name="Title: Worksheet" xfId="2270"/>
    <cellStyle name="Total 2" xfId="2271"/>
    <cellStyle name="Total4 - Style4" xfId="2272"/>
    <cellStyle name="Warning Text 2" xfId="2273"/>
    <cellStyle name="Warning Text 2 2" xfId="22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pRevnu/PUBLIC/Anh/Environmental/ECO-03%20Summary%20of%20Env%20Orders%20(verified%20with%20Adj)%20(Autosav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rork/AppData/Local/Microsoft/Windows/Temporary%20Internet%20Files/Content.Outlook/PA4IGHV4/Model/UE-170033/Workpapers/Public/I.%202017%20GRC%20Barnard%20direct%20workpapers%20PSE%2001-13-2017/%23Electric%20Model%202017%20G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lectric"/>
      <sheetName val="Gas"/>
      <sheetName val="Support=&gt;"/>
      <sheetName val="186 v 182.3"/>
      <sheetName val="Attach A Staff 269"/>
      <sheetName val="Commission Orders"/>
      <sheetName val="(DR 118) 182.1 and 182.2"/>
      <sheetName val="(DR 118) 182.3"/>
      <sheetName val="(DR 118)186"/>
    </sheetNames>
    <sheetDataSet>
      <sheetData sheetId="0" refreshError="1"/>
      <sheetData sheetId="1" refreshError="1"/>
      <sheetData sheetId="2" refreshError="1"/>
      <sheetData sheetId="3" refreshError="1"/>
      <sheetData sheetId="4">
        <row r="5">
          <cell r="J5">
            <v>465045.94</v>
          </cell>
        </row>
      </sheetData>
      <sheetData sheetId="5" refreshError="1"/>
      <sheetData sheetId="6" refreshError="1"/>
      <sheetData sheetId="7" refreshError="1"/>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s==&gt;"/>
      <sheetName val="KJB-3 Def"/>
      <sheetName val="KJB-4 Sum"/>
      <sheetName val="KJB-6 Cmn Adj"/>
      <sheetName val="KJB-7 El Adj"/>
      <sheetName val="Power Cost Bridge to A-1"/>
      <sheetName val="Exh.A-1"/>
      <sheetName val="Work Papers==&gt;"/>
      <sheetName val="JAP-07"/>
      <sheetName val="For Prod Adj Expense"/>
      <sheetName val="For Prod Adj Ratebase"/>
      <sheetName val="Verify Pwr Costs"/>
      <sheetName val="RJR Prod O&amp;M"/>
      <sheetName val="PKW RY PC1"/>
      <sheetName val="Centralia Equity Kicker"/>
      <sheetName val="Trans Ratebase"/>
      <sheetName val="Trans OATT Revenue"/>
      <sheetName val="Restating Print Macros"/>
      <sheetName val="Module13"/>
      <sheetName val="Module14"/>
      <sheetName val="Module15"/>
      <sheetName val="Module1"/>
    </sheetNames>
    <sheetDataSet>
      <sheetData sheetId="0"/>
      <sheetData sheetId="1"/>
      <sheetData sheetId="2"/>
      <sheetData sheetId="3">
        <row r="7">
          <cell r="B7" t="str">
            <v>FOR THE TWELVE MONTHS ENDED SEPTEMBER 30, 2016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1:I16"/>
  <sheetViews>
    <sheetView tabSelected="1" topLeftCell="A12" zoomScaleNormal="100" workbookViewId="0">
      <selection activeCell="N22" sqref="N22"/>
    </sheetView>
  </sheetViews>
  <sheetFormatPr defaultRowHeight="15"/>
  <cols>
    <col min="10" max="10" width="4.28515625" customWidth="1"/>
    <col min="11" max="11" width="10.28515625" customWidth="1"/>
    <col min="13" max="13" width="8.28515625" customWidth="1"/>
  </cols>
  <sheetData>
    <row r="11" spans="1:9" ht="28.5">
      <c r="A11" s="557" t="s">
        <v>403</v>
      </c>
      <c r="B11" s="557"/>
      <c r="C11" s="557"/>
      <c r="D11" s="557"/>
      <c r="E11" s="557"/>
      <c r="F11" s="557"/>
      <c r="G11" s="557"/>
      <c r="H11" s="557"/>
      <c r="I11" s="557"/>
    </row>
    <row r="12" spans="1:9" ht="28.5">
      <c r="A12" s="557" t="s">
        <v>404</v>
      </c>
      <c r="B12" s="557"/>
      <c r="C12" s="557"/>
      <c r="D12" s="557"/>
      <c r="E12" s="557"/>
      <c r="F12" s="557"/>
      <c r="G12" s="557"/>
      <c r="H12" s="557"/>
      <c r="I12" s="557"/>
    </row>
    <row r="13" spans="1:9" ht="28.5">
      <c r="A13" s="555"/>
      <c r="B13" s="555"/>
      <c r="C13" s="555"/>
      <c r="D13" s="555"/>
      <c r="E13" s="555"/>
      <c r="F13" s="555"/>
      <c r="G13" s="555"/>
      <c r="H13" s="555"/>
      <c r="I13" s="555"/>
    </row>
    <row r="15" spans="1:9" ht="15.75">
      <c r="A15" s="556" t="s">
        <v>400</v>
      </c>
    </row>
    <row r="16" spans="1:9" ht="15.75">
      <c r="A16" s="556" t="s">
        <v>393</v>
      </c>
    </row>
  </sheetData>
  <mergeCells count="2">
    <mergeCell ref="A11:I11"/>
    <mergeCell ref="A12:I12"/>
  </mergeCells>
  <pageMargins left="1.45" right="0.7" top="0.75" bottom="0.75" header="0.3" footer="0.3"/>
  <pageSetup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zoomScaleNormal="100" workbookViewId="0">
      <pane xSplit="1" ySplit="6" topLeftCell="B19" activePane="bottomRight" state="frozen"/>
      <selection activeCell="D12" sqref="D12"/>
      <selection pane="topRight" activeCell="D12" sqref="D12"/>
      <selection pane="bottomLeft" activeCell="D12" sqref="D12"/>
      <selection pane="bottomRight" activeCell="D43" sqref="D43"/>
    </sheetView>
  </sheetViews>
  <sheetFormatPr defaultRowHeight="15"/>
  <cols>
    <col min="1" max="1" width="18.42578125" customWidth="1"/>
    <col min="2" max="2" width="20.42578125" customWidth="1"/>
    <col min="3" max="3" width="11.140625" customWidth="1"/>
    <col min="4" max="4" width="46.42578125" customWidth="1"/>
    <col min="5" max="5" width="12.7109375" customWidth="1"/>
    <col min="6" max="6" width="1.28515625" customWidth="1"/>
    <col min="7" max="7" width="10.42578125" bestFit="1" customWidth="1"/>
    <col min="8" max="8" width="12.85546875" bestFit="1" customWidth="1"/>
    <col min="9" max="9" width="17.28515625" customWidth="1"/>
    <col min="10" max="10" width="12.140625" customWidth="1"/>
    <col min="12" max="12" width="10.5703125" bestFit="1" customWidth="1"/>
    <col min="14" max="14" width="10.42578125" bestFit="1" customWidth="1"/>
    <col min="15" max="15" width="9.5703125" bestFit="1" customWidth="1"/>
    <col min="16" max="16" width="11.140625" bestFit="1" customWidth="1"/>
    <col min="17" max="17" width="10.5703125" bestFit="1" customWidth="1"/>
  </cols>
  <sheetData>
    <row r="1" spans="1:17" ht="15.75">
      <c r="A1" s="585" t="s">
        <v>0</v>
      </c>
      <c r="B1" s="585"/>
      <c r="C1" s="585"/>
      <c r="D1" s="585"/>
      <c r="E1" s="585"/>
      <c r="F1" s="585"/>
      <c r="G1" s="585"/>
      <c r="H1" s="585"/>
      <c r="I1" s="585"/>
      <c r="J1" s="585"/>
    </row>
    <row r="2" spans="1:17" ht="15.75">
      <c r="A2" s="585" t="s">
        <v>139</v>
      </c>
      <c r="B2" s="585"/>
      <c r="C2" s="585"/>
      <c r="D2" s="585"/>
      <c r="E2" s="585"/>
      <c r="F2" s="585"/>
      <c r="G2" s="585"/>
      <c r="H2" s="585"/>
      <c r="I2" s="585"/>
      <c r="J2" s="585"/>
    </row>
    <row r="3" spans="1:17" ht="15.75">
      <c r="A3" s="585" t="s">
        <v>140</v>
      </c>
      <c r="B3" s="585"/>
      <c r="C3" s="585"/>
      <c r="D3" s="585"/>
      <c r="E3" s="585"/>
      <c r="F3" s="585"/>
      <c r="G3" s="585"/>
      <c r="H3" s="585"/>
      <c r="I3" s="585"/>
      <c r="J3" s="585"/>
    </row>
    <row r="4" spans="1:17" ht="16.5" thickBot="1">
      <c r="A4" s="152"/>
      <c r="B4" s="152"/>
      <c r="C4" s="152"/>
      <c r="F4" s="35"/>
      <c r="G4" s="35"/>
      <c r="H4" s="35"/>
      <c r="I4" s="35"/>
      <c r="J4" s="35"/>
    </row>
    <row r="5" spans="1:17" ht="19.5" thickBot="1">
      <c r="A5" s="153"/>
      <c r="B5" s="153"/>
      <c r="C5" s="153"/>
      <c r="E5" s="154"/>
      <c r="F5" s="208"/>
      <c r="G5" s="586" t="s">
        <v>141</v>
      </c>
      <c r="H5" s="586"/>
      <c r="I5" s="586"/>
      <c r="J5" s="587"/>
    </row>
    <row r="6" spans="1:17" ht="63.6" customHeight="1" thickBot="1">
      <c r="A6" s="155" t="s">
        <v>4</v>
      </c>
      <c r="B6" s="4" t="s">
        <v>142</v>
      </c>
      <c r="C6" s="4" t="s">
        <v>383</v>
      </c>
      <c r="D6" s="549" t="s">
        <v>5</v>
      </c>
      <c r="E6" s="156" t="s">
        <v>143</v>
      </c>
      <c r="F6" s="209"/>
      <c r="G6" s="210" t="s">
        <v>144</v>
      </c>
      <c r="H6" s="210" t="s">
        <v>145</v>
      </c>
      <c r="I6" s="210" t="s">
        <v>146</v>
      </c>
      <c r="J6" s="211" t="s">
        <v>147</v>
      </c>
    </row>
    <row r="7" spans="1:17">
      <c r="A7" s="219" t="s">
        <v>221</v>
      </c>
      <c r="B7" s="220" t="s">
        <v>148</v>
      </c>
      <c r="C7" s="547" t="s">
        <v>382</v>
      </c>
      <c r="D7" s="221" t="s">
        <v>149</v>
      </c>
      <c r="E7" s="222">
        <f>'ELEC Activity Q4 16 - 2017'!G6</f>
        <v>5906.2</v>
      </c>
      <c r="F7" s="222"/>
      <c r="G7" s="222">
        <f>'ELEC Activity Q4 16 - 2017'!W8</f>
        <v>61259.860000000015</v>
      </c>
      <c r="H7" s="222">
        <v>0</v>
      </c>
      <c r="I7" s="222">
        <f>'ELEC Activity Q4 16 - 2017'!W7</f>
        <v>-5906.25</v>
      </c>
      <c r="J7" s="223">
        <f t="shared" ref="J7:J23" si="0">SUM(E7:I7)</f>
        <v>61259.810000000012</v>
      </c>
    </row>
    <row r="8" spans="1:17">
      <c r="A8" s="224" t="s">
        <v>222</v>
      </c>
      <c r="B8" s="225" t="s">
        <v>150</v>
      </c>
      <c r="C8" s="548" t="s">
        <v>382</v>
      </c>
      <c r="D8" s="226" t="s">
        <v>151</v>
      </c>
      <c r="E8" s="227">
        <f>'ELEC Activity Q4 16 - 2017'!G10</f>
        <v>2147559.1100000003</v>
      </c>
      <c r="F8" s="227"/>
      <c r="G8" s="227">
        <f>'ELEC Activity Q4 16 - 2017'!W12</f>
        <v>23165.340000000317</v>
      </c>
      <c r="H8" s="227">
        <v>0</v>
      </c>
      <c r="I8" s="227">
        <f>'ELEC Activity Q4 16 - 2017'!W11</f>
        <v>-2147559.11</v>
      </c>
      <c r="J8" s="228">
        <f t="shared" si="0"/>
        <v>23165.340000000782</v>
      </c>
    </row>
    <row r="9" spans="1:17" s="2" customFormat="1">
      <c r="A9" s="229" t="s">
        <v>223</v>
      </c>
      <c r="B9" s="225" t="s">
        <v>152</v>
      </c>
      <c r="C9" s="545" t="s">
        <v>382</v>
      </c>
      <c r="D9" s="230" t="s">
        <v>153</v>
      </c>
      <c r="E9" s="227">
        <f>'ELEC Activity Q4 16 - 2017'!G14</f>
        <v>465045.93999999994</v>
      </c>
      <c r="F9" s="227"/>
      <c r="G9" s="227">
        <f>'ELEC Activity Q4 16 - 2017'!W14-'ELEC Activity Q4 16 - 2017'!G14</f>
        <v>392529.37000000011</v>
      </c>
      <c r="H9" s="227">
        <f>'ELEC Activity Q4 16 - 2017'!W15</f>
        <v>-213649.56</v>
      </c>
      <c r="I9" s="227">
        <f>'ELEC Activity Q4 16 - 2017'!W16</f>
        <v>-393874.5</v>
      </c>
      <c r="J9" s="228">
        <f t="shared" si="0"/>
        <v>250051.25</v>
      </c>
      <c r="L9"/>
      <c r="M9"/>
      <c r="N9"/>
      <c r="O9"/>
      <c r="P9"/>
      <c r="Q9"/>
    </row>
    <row r="10" spans="1:17" s="2" customFormat="1">
      <c r="A10" s="229" t="s">
        <v>224</v>
      </c>
      <c r="B10" s="225" t="s">
        <v>154</v>
      </c>
      <c r="C10" s="545" t="s">
        <v>382</v>
      </c>
      <c r="D10" s="230" t="s">
        <v>155</v>
      </c>
      <c r="E10" s="227">
        <f>'ELEC Activity Q4 16 - 2017'!G19</f>
        <v>198092.16</v>
      </c>
      <c r="F10" s="227"/>
      <c r="G10" s="227">
        <f>'ELEC Actual Q4 2016 - 2017'!V19-'ELEC Actual Q4 2016 - 2017'!G19</f>
        <v>0</v>
      </c>
      <c r="H10" s="227">
        <v>0</v>
      </c>
      <c r="I10" s="227">
        <f>'ELEC Activity Q4 16 - 2017'!W20</f>
        <v>-198092.16</v>
      </c>
      <c r="J10" s="228">
        <f t="shared" si="0"/>
        <v>0</v>
      </c>
      <c r="L10"/>
      <c r="M10"/>
      <c r="N10"/>
      <c r="O10"/>
      <c r="P10"/>
      <c r="Q10"/>
    </row>
    <row r="11" spans="1:17" s="2" customFormat="1">
      <c r="A11" s="229" t="s">
        <v>225</v>
      </c>
      <c r="B11" s="225" t="s">
        <v>156</v>
      </c>
      <c r="C11" s="545" t="s">
        <v>382</v>
      </c>
      <c r="D11" s="230" t="s">
        <v>157</v>
      </c>
      <c r="E11" s="227">
        <f>'ELEC Activity Q4 16 - 2017'!G23</f>
        <v>440996.89</v>
      </c>
      <c r="F11" s="227"/>
      <c r="G11" s="227">
        <f>'ELEC Activity Q4 16 - 2017'!W25</f>
        <v>19063.229999999981</v>
      </c>
      <c r="H11" s="227">
        <v>0</v>
      </c>
      <c r="I11" s="227">
        <f>'ELEC Activity Q4 16 - 2017'!W24</f>
        <v>-440996.89</v>
      </c>
      <c r="J11" s="228">
        <f t="shared" si="0"/>
        <v>19063.229999999981</v>
      </c>
      <c r="L11"/>
      <c r="M11"/>
      <c r="N11"/>
      <c r="O11"/>
      <c r="P11"/>
      <c r="Q11"/>
    </row>
    <row r="12" spans="1:17" s="2" customFormat="1">
      <c r="A12" s="229" t="s">
        <v>226</v>
      </c>
      <c r="B12" s="225" t="s">
        <v>158</v>
      </c>
      <c r="C12" s="545" t="s">
        <v>382</v>
      </c>
      <c r="D12" s="230" t="s">
        <v>159</v>
      </c>
      <c r="E12" s="227">
        <f>'ELEC Activity Q4 16 - 2017'!G27</f>
        <v>2254508.17</v>
      </c>
      <c r="F12" s="227"/>
      <c r="G12" s="227">
        <f>'ELEC Activity Q4 16 - 2017'!W27-'ELEC Activity Q4 16 - 2017'!G27</f>
        <v>0</v>
      </c>
      <c r="H12" s="227">
        <v>0</v>
      </c>
      <c r="I12" s="227">
        <f>'ELEC Activity Q4 16 - 2017'!W28</f>
        <v>-2254508</v>
      </c>
      <c r="J12" s="228">
        <f t="shared" si="0"/>
        <v>0.16999999992549419</v>
      </c>
      <c r="L12"/>
      <c r="M12"/>
      <c r="N12"/>
      <c r="O12"/>
      <c r="P12"/>
      <c r="Q12"/>
    </row>
    <row r="13" spans="1:17" s="2" customFormat="1">
      <c r="A13" s="229" t="s">
        <v>227</v>
      </c>
      <c r="B13" s="225" t="s">
        <v>160</v>
      </c>
      <c r="C13" s="545" t="s">
        <v>382</v>
      </c>
      <c r="D13" s="230" t="s">
        <v>161</v>
      </c>
      <c r="E13" s="227">
        <f>'ELEC Activity Q4 16 - 2017'!G31</f>
        <v>2242411.06</v>
      </c>
      <c r="F13" s="227"/>
      <c r="G13" s="227">
        <f>'ELEC Activity Q4 16 - 2017'!W31-'ELEC Activity Q4 16 - 2017'!G31</f>
        <v>820462.2799999998</v>
      </c>
      <c r="H13" s="227">
        <f>'ELEC Activity Q4 16 - 2017'!W32</f>
        <v>-671885.74</v>
      </c>
      <c r="I13" s="227">
        <f>'ELEC Activity Q4 16 - 2017'!W33</f>
        <v>-1579857.19</v>
      </c>
      <c r="J13" s="228">
        <f t="shared" si="0"/>
        <v>811130.40999999968</v>
      </c>
      <c r="L13"/>
      <c r="M13"/>
      <c r="N13"/>
      <c r="O13"/>
      <c r="P13"/>
      <c r="Q13"/>
    </row>
    <row r="14" spans="1:17" s="2" customFormat="1">
      <c r="A14" s="229" t="s">
        <v>228</v>
      </c>
      <c r="B14" s="225" t="s">
        <v>156</v>
      </c>
      <c r="C14" s="545" t="s">
        <v>382</v>
      </c>
      <c r="D14" s="230" t="s">
        <v>162</v>
      </c>
      <c r="E14" s="227">
        <f>'ELEC Activity Q4 16 - 2017'!G36</f>
        <v>659654.59</v>
      </c>
      <c r="F14" s="227"/>
      <c r="G14" s="227">
        <f>'ELEC Activity Q4 16 - 2017'!W36-'ELEC Activity Q4 16 - 2017'!G36</f>
        <v>10000.119999999995</v>
      </c>
      <c r="H14" s="227">
        <v>0</v>
      </c>
      <c r="I14" s="227">
        <f>'ELEC Activity Q4 16 - 2017'!W37</f>
        <v>-659655</v>
      </c>
      <c r="J14" s="228">
        <f t="shared" si="0"/>
        <v>9999.7099999999627</v>
      </c>
      <c r="L14"/>
      <c r="M14"/>
      <c r="N14"/>
      <c r="O14"/>
      <c r="P14"/>
      <c r="Q14"/>
    </row>
    <row r="15" spans="1:17" ht="36" customHeight="1">
      <c r="A15" s="231" t="s">
        <v>229</v>
      </c>
      <c r="B15" s="232" t="s">
        <v>163</v>
      </c>
      <c r="C15" s="545" t="s">
        <v>382</v>
      </c>
      <c r="D15" s="233" t="s">
        <v>164</v>
      </c>
      <c r="E15" s="227">
        <f>'ELEC Activity Q4 16 - 2017'!G40</f>
        <v>224879.76</v>
      </c>
      <c r="F15" s="227"/>
      <c r="G15" s="227">
        <f>'ELEC Activity Q4 16 - 2017'!W40-'ELEC Activity Q4 16 - 2017'!G40</f>
        <v>1543.5499999999884</v>
      </c>
      <c r="H15" s="227">
        <v>0</v>
      </c>
      <c r="I15" s="227">
        <f>'ELEC Activity Q4 16 - 2017'!W41</f>
        <v>-224880</v>
      </c>
      <c r="J15" s="228">
        <f t="shared" si="0"/>
        <v>1543.3099999999977</v>
      </c>
    </row>
    <row r="16" spans="1:17" ht="45">
      <c r="A16" s="231" t="s">
        <v>230</v>
      </c>
      <c r="B16" s="232" t="s">
        <v>163</v>
      </c>
      <c r="C16" s="545" t="s">
        <v>382</v>
      </c>
      <c r="D16" s="226" t="s">
        <v>165</v>
      </c>
      <c r="E16" s="227">
        <f>'ELEC Activity Q4 16 - 2017'!G44</f>
        <v>400495.47</v>
      </c>
      <c r="F16" s="227"/>
      <c r="G16" s="227">
        <f>'ELEC Activity Q4 16 - 2017'!W44-'ELEC Activity Q4 16 - 2017'!G44</f>
        <v>0</v>
      </c>
      <c r="H16" s="227">
        <v>0</v>
      </c>
      <c r="I16" s="227">
        <f>'ELEC Activity Q4 16 - 2017'!W45</f>
        <v>-400495</v>
      </c>
      <c r="J16" s="228">
        <f>SUM(E16:I16)</f>
        <v>0.46999999997206032</v>
      </c>
    </row>
    <row r="17" spans="1:10" ht="45">
      <c r="A17" s="231" t="s">
        <v>231</v>
      </c>
      <c r="B17" s="232" t="s">
        <v>163</v>
      </c>
      <c r="C17" s="545" t="s">
        <v>382</v>
      </c>
      <c r="D17" s="233" t="s">
        <v>166</v>
      </c>
      <c r="E17" s="227">
        <f>'ELEC Activity Q4 16 - 2017'!G48</f>
        <v>231698.24000000005</v>
      </c>
      <c r="F17" s="227"/>
      <c r="G17" s="227">
        <f>'ELEC Activity Q4 16 - 2017'!W48-'ELEC Activity Q4 16 - 2017'!G48</f>
        <v>1767541.9600000002</v>
      </c>
      <c r="H17" s="227">
        <f>'ELEC Activity Q4 16 - 2017'!W49</f>
        <v>-105008.2</v>
      </c>
      <c r="I17" s="227">
        <f>'ELEC Activity Q4 16 - 2017'!W50</f>
        <v>-231698</v>
      </c>
      <c r="J17" s="228">
        <f>SUM(E17:I17)</f>
        <v>1662534.0000000002</v>
      </c>
    </row>
    <row r="18" spans="1:10">
      <c r="A18" s="231" t="s">
        <v>232</v>
      </c>
      <c r="B18" s="225" t="s">
        <v>154</v>
      </c>
      <c r="C18" s="545" t="s">
        <v>382</v>
      </c>
      <c r="D18" s="226" t="s">
        <v>167</v>
      </c>
      <c r="E18" s="227">
        <f>'ELEC Activity Q4 16 - 2017'!G53</f>
        <v>695.75</v>
      </c>
      <c r="F18" s="227"/>
      <c r="G18" s="227">
        <f>'ELEC Activity Q4 16 - 2017'!W53-'ELEC Activity Q4 16 - 2017'!G53</f>
        <v>0</v>
      </c>
      <c r="H18" s="227">
        <v>0</v>
      </c>
      <c r="I18" s="227">
        <f>'ELEC Activity Q4 16 - 2017'!W54</f>
        <v>-695.75</v>
      </c>
      <c r="J18" s="228">
        <f t="shared" si="0"/>
        <v>0</v>
      </c>
    </row>
    <row r="19" spans="1:10" ht="45">
      <c r="A19" s="231">
        <v>18608171</v>
      </c>
      <c r="B19" s="232" t="s">
        <v>163</v>
      </c>
      <c r="C19" s="545" t="s">
        <v>382</v>
      </c>
      <c r="D19" s="226" t="s">
        <v>168</v>
      </c>
      <c r="E19" s="227">
        <f>'ELEC Activity Q4 16 - 2017'!G57</f>
        <v>212588.68</v>
      </c>
      <c r="F19" s="227"/>
      <c r="G19" s="227">
        <f>'ELEC Activity Q4 16 - 2017'!W57-'ELEC Activity Q4 16 - 2017'!G57</f>
        <v>0</v>
      </c>
      <c r="H19" s="227">
        <v>0</v>
      </c>
      <c r="I19" s="227">
        <f>'ELEC Activity Q4 16 - 2017'!W58</f>
        <v>-212589</v>
      </c>
      <c r="J19" s="228">
        <f t="shared" si="0"/>
        <v>-0.32000000000698492</v>
      </c>
    </row>
    <row r="20" spans="1:10" ht="45">
      <c r="A20" s="231" t="s">
        <v>74</v>
      </c>
      <c r="B20" s="232" t="s">
        <v>163</v>
      </c>
      <c r="C20" s="545" t="s">
        <v>382</v>
      </c>
      <c r="D20" s="226" t="s">
        <v>169</v>
      </c>
      <c r="E20" s="227">
        <f>'ELEC Activity Q4 16 - 2017'!G61</f>
        <v>111880.23</v>
      </c>
      <c r="F20" s="227"/>
      <c r="G20" s="227">
        <f>'ELEC Activity Q4 16 - 2017'!W61-'ELEC Activity Q4 16 - 2017'!G61</f>
        <v>0</v>
      </c>
      <c r="H20" s="227">
        <v>0</v>
      </c>
      <c r="I20" s="227">
        <f>'ELEC Activity Q4 16 - 2017'!W62</f>
        <v>-111880</v>
      </c>
      <c r="J20" s="228">
        <f t="shared" si="0"/>
        <v>0.22999999999592546</v>
      </c>
    </row>
    <row r="21" spans="1:10" ht="30">
      <c r="A21" s="231" t="s">
        <v>233</v>
      </c>
      <c r="B21" s="232" t="s">
        <v>170</v>
      </c>
      <c r="C21" s="546" t="s">
        <v>385</v>
      </c>
      <c r="D21" s="226" t="s">
        <v>171</v>
      </c>
      <c r="E21" s="227">
        <f>'ELEC Actual Q4 2016 - 2017'!J65</f>
        <v>0</v>
      </c>
      <c r="F21" s="227"/>
      <c r="G21" s="227">
        <f>'ELEC Activity Q4 16 - 2017'!W65-'ELEC Activity Q4 16 - 2017'!G65</f>
        <v>95466.599999999991</v>
      </c>
      <c r="H21" s="227">
        <v>0</v>
      </c>
      <c r="I21" s="227">
        <v>0</v>
      </c>
      <c r="J21" s="228">
        <f t="shared" si="0"/>
        <v>95466.599999999991</v>
      </c>
    </row>
    <row r="22" spans="1:10" ht="30">
      <c r="A22" s="231" t="s">
        <v>234</v>
      </c>
      <c r="B22" s="232" t="s">
        <v>170</v>
      </c>
      <c r="C22" s="546" t="s">
        <v>386</v>
      </c>
      <c r="D22" s="226" t="s">
        <v>172</v>
      </c>
      <c r="E22" s="227">
        <f>'ELEC Actual Q4 2016 - 2017'!J68</f>
        <v>0</v>
      </c>
      <c r="F22" s="230"/>
      <c r="G22" s="227">
        <f>'ELEC Actual Q4 2016 - 2017'!V68-'ELEC Actual Q4 2016 - 2017'!G68</f>
        <v>0</v>
      </c>
      <c r="H22" s="227">
        <v>0</v>
      </c>
      <c r="I22" s="227">
        <v>0</v>
      </c>
      <c r="J22" s="228">
        <f t="shared" si="0"/>
        <v>0</v>
      </c>
    </row>
    <row r="23" spans="1:10">
      <c r="A23" s="231" t="s">
        <v>84</v>
      </c>
      <c r="B23" s="234" t="s">
        <v>86</v>
      </c>
      <c r="C23" s="545" t="s">
        <v>382</v>
      </c>
      <c r="D23" s="226" t="s">
        <v>173</v>
      </c>
      <c r="E23" s="227">
        <f>'ELEC Activity Q4 16 - 2017'!G68</f>
        <v>-4610484.08</v>
      </c>
      <c r="F23" s="230"/>
      <c r="G23" s="227">
        <f>'ELEC Activity Q4 16 - 2017'!W68-'ELEC Activity Q4 16 - 2017'!G68</f>
        <v>0</v>
      </c>
      <c r="H23" s="227">
        <v>0</v>
      </c>
      <c r="I23" s="227">
        <f>'ELEC Activity Q4 16 - 2017'!W69</f>
        <v>1743761.81</v>
      </c>
      <c r="J23" s="228">
        <f t="shared" si="0"/>
        <v>-2866722.27</v>
      </c>
    </row>
    <row r="24" spans="1:10" ht="5.45" customHeight="1">
      <c r="A24" s="158"/>
      <c r="B24" s="159"/>
      <c r="C24" s="159"/>
      <c r="D24" s="81"/>
      <c r="E24" s="143"/>
      <c r="F24" s="143"/>
      <c r="G24" s="143"/>
      <c r="H24" s="143"/>
      <c r="I24" s="143"/>
      <c r="J24" s="160"/>
    </row>
    <row r="25" spans="1:10" ht="15.75" thickBot="1">
      <c r="A25" s="158"/>
      <c r="B25" s="159"/>
      <c r="C25" s="159"/>
      <c r="D25" s="161" t="s">
        <v>174</v>
      </c>
      <c r="E25" s="162">
        <f>SUM(E7:E24)</f>
        <v>4985928.1700000018</v>
      </c>
      <c r="F25" s="163"/>
      <c r="G25" s="162">
        <f t="shared" ref="G25:J25" si="1">SUM(G7:G24)</f>
        <v>3191032.3100000005</v>
      </c>
      <c r="H25" s="162">
        <f>SUM(H7:H24)</f>
        <v>-990543.5</v>
      </c>
      <c r="I25" s="162">
        <f t="shared" si="1"/>
        <v>-7118925.0399999991</v>
      </c>
      <c r="J25" s="164">
        <f t="shared" si="1"/>
        <v>67491.940000000875</v>
      </c>
    </row>
    <row r="26" spans="1:10" ht="16.5" thickTop="1" thickBot="1">
      <c r="A26" s="165"/>
      <c r="B26" s="166"/>
      <c r="C26" s="166"/>
      <c r="D26" s="167"/>
      <c r="E26" s="168"/>
      <c r="F26" s="169"/>
      <c r="G26" s="168"/>
      <c r="H26" s="168"/>
      <c r="I26" s="170"/>
      <c r="J26" s="533"/>
    </row>
    <row r="27" spans="1:10">
      <c r="E27" s="2"/>
      <c r="F27" s="2"/>
      <c r="G27" s="171"/>
      <c r="H27" s="2"/>
      <c r="I27" s="171"/>
    </row>
    <row r="28" spans="1:10">
      <c r="A28" s="172" t="s">
        <v>253</v>
      </c>
      <c r="B28" s="173"/>
      <c r="C28" s="173"/>
      <c r="E28" s="2"/>
      <c r="F28" s="2"/>
      <c r="G28" s="2"/>
      <c r="H28" s="2"/>
      <c r="I28" s="2"/>
    </row>
    <row r="29" spans="1:10">
      <c r="A29" s="172" t="s">
        <v>254</v>
      </c>
      <c r="E29" s="2"/>
      <c r="F29" s="2"/>
      <c r="G29" s="2"/>
      <c r="H29" s="2"/>
      <c r="I29" s="2"/>
    </row>
    <row r="30" spans="1:10">
      <c r="A30" s="172" t="s">
        <v>255</v>
      </c>
      <c r="E30" s="2"/>
      <c r="F30" s="2"/>
      <c r="G30" s="2"/>
      <c r="H30" s="2"/>
      <c r="I30" s="2"/>
    </row>
    <row r="31" spans="1:10">
      <c r="A31" s="337" t="s">
        <v>256</v>
      </c>
      <c r="E31" s="2"/>
      <c r="F31" s="2"/>
      <c r="G31" s="2"/>
      <c r="H31" s="2"/>
      <c r="I31" s="2"/>
    </row>
    <row r="32" spans="1:10">
      <c r="A32" s="173"/>
      <c r="E32" s="2"/>
      <c r="F32" s="2"/>
      <c r="G32" s="2"/>
      <c r="H32" s="2"/>
      <c r="I32" s="2"/>
    </row>
    <row r="33" spans="1:9" ht="16.5">
      <c r="A33" s="172" t="s">
        <v>388</v>
      </c>
      <c r="G33" s="62"/>
    </row>
    <row r="34" spans="1:9" ht="16.5">
      <c r="A34" s="172" t="s">
        <v>389</v>
      </c>
    </row>
    <row r="35" spans="1:9" ht="17.45" customHeight="1">
      <c r="A35" s="172" t="s">
        <v>392</v>
      </c>
    </row>
    <row r="38" spans="1:9">
      <c r="A38" s="172"/>
      <c r="I38" s="552"/>
    </row>
    <row r="39" spans="1:9">
      <c r="A39" s="172"/>
      <c r="I39" s="551"/>
    </row>
    <row r="40" spans="1:9">
      <c r="A40" s="172"/>
      <c r="I40" s="553"/>
    </row>
    <row r="41" spans="1:9">
      <c r="I41" s="551"/>
    </row>
    <row r="42" spans="1:9">
      <c r="I42" s="551"/>
    </row>
  </sheetData>
  <mergeCells count="4">
    <mergeCell ref="A1:J1"/>
    <mergeCell ref="A2:J2"/>
    <mergeCell ref="A3:J3"/>
    <mergeCell ref="G5:J5"/>
  </mergeCells>
  <printOptions horizontalCentered="1"/>
  <pageMargins left="0.7" right="0.7" top="0.75" bottom="0.75" header="0.3" footer="0.3"/>
  <pageSetup scale="48"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9"/>
  <sheetViews>
    <sheetView zoomScale="91" zoomScaleNormal="91" workbookViewId="0">
      <pane xSplit="3" ySplit="5" topLeftCell="G6" activePane="bottomRight" state="frozen"/>
      <selection activeCell="D12" sqref="D12"/>
      <selection pane="topRight" activeCell="D12" sqref="D12"/>
      <selection pane="bottomLeft" activeCell="D12" sqref="D12"/>
      <selection pane="bottomRight" activeCell="Q78" sqref="Q78"/>
    </sheetView>
  </sheetViews>
  <sheetFormatPr defaultRowHeight="15"/>
  <cols>
    <col min="1" max="1" width="10.7109375" style="1" customWidth="1"/>
    <col min="2" max="2" width="12" bestFit="1" customWidth="1"/>
    <col min="3" max="3" width="64.7109375" customWidth="1"/>
    <col min="4" max="4" width="14.5703125" customWidth="1"/>
    <col min="5" max="5" width="10.7109375" customWidth="1"/>
    <col min="6" max="6" width="12.7109375" customWidth="1"/>
    <col min="7" max="7" width="12.85546875" customWidth="1"/>
    <col min="8" max="20" width="11.5703125" style="2" bestFit="1" customWidth="1"/>
    <col min="21" max="22" width="11.5703125" bestFit="1" customWidth="1"/>
    <col min="23" max="23" width="17.42578125" customWidth="1"/>
    <col min="24" max="24" width="19.28515625" customWidth="1"/>
  </cols>
  <sheetData>
    <row r="1" spans="1:24">
      <c r="A1" s="590" t="s">
        <v>0</v>
      </c>
      <c r="B1" s="590"/>
      <c r="C1" s="590"/>
      <c r="D1" s="590"/>
      <c r="E1" s="590"/>
      <c r="F1" s="590"/>
      <c r="G1" s="590"/>
      <c r="H1" s="590"/>
      <c r="I1" s="590"/>
      <c r="J1" s="590"/>
      <c r="K1" s="590"/>
      <c r="L1" s="590"/>
      <c r="M1" s="590"/>
      <c r="N1" s="590"/>
      <c r="O1" s="590"/>
      <c r="P1" s="590"/>
      <c r="Q1" s="590"/>
      <c r="R1" s="590"/>
      <c r="S1" s="590"/>
      <c r="T1" s="590"/>
      <c r="U1" s="590"/>
      <c r="V1" s="590"/>
    </row>
    <row r="2" spans="1:24">
      <c r="A2" s="590" t="s">
        <v>175</v>
      </c>
      <c r="B2" s="590"/>
      <c r="C2" s="590"/>
      <c r="D2" s="590"/>
      <c r="E2" s="590"/>
      <c r="F2" s="590"/>
      <c r="G2" s="590"/>
      <c r="H2" s="590"/>
      <c r="I2" s="590"/>
      <c r="J2" s="590"/>
      <c r="K2" s="590"/>
      <c r="L2" s="590"/>
      <c r="M2" s="590"/>
      <c r="N2" s="590"/>
      <c r="O2" s="590"/>
      <c r="P2" s="590"/>
      <c r="Q2" s="590"/>
      <c r="R2" s="590"/>
      <c r="S2" s="590"/>
      <c r="T2" s="590"/>
      <c r="U2" s="590"/>
      <c r="V2" s="590"/>
    </row>
    <row r="3" spans="1:24" ht="21">
      <c r="A3" s="591" t="s">
        <v>2</v>
      </c>
      <c r="B3" s="591"/>
      <c r="C3" s="591"/>
      <c r="D3" s="591"/>
      <c r="E3" s="591"/>
      <c r="F3" s="591"/>
      <c r="G3" s="591"/>
      <c r="H3" s="591"/>
      <c r="I3" s="591"/>
      <c r="J3" s="591"/>
      <c r="K3" s="591"/>
      <c r="L3" s="591"/>
      <c r="M3" s="591"/>
      <c r="N3" s="591"/>
      <c r="O3" s="591"/>
      <c r="P3" s="591"/>
      <c r="Q3" s="591"/>
      <c r="R3" s="591"/>
      <c r="S3" s="591"/>
      <c r="T3" s="591"/>
      <c r="U3" s="591"/>
      <c r="V3" s="591"/>
    </row>
    <row r="4" spans="1:24" ht="7.15" customHeight="1" thickBot="1"/>
    <row r="5" spans="1:24" s="8" customFormat="1" ht="43.9" customHeight="1" thickBot="1">
      <c r="A5" s="3" t="s">
        <v>3</v>
      </c>
      <c r="B5" s="4" t="s">
        <v>4</v>
      </c>
      <c r="C5" s="5" t="s">
        <v>5</v>
      </c>
      <c r="D5" s="4" t="s">
        <v>6</v>
      </c>
      <c r="E5" s="4" t="s">
        <v>7</v>
      </c>
      <c r="F5" s="4" t="s">
        <v>8</v>
      </c>
      <c r="G5" s="6" t="s">
        <v>176</v>
      </c>
      <c r="H5" s="6">
        <v>42644</v>
      </c>
      <c r="I5" s="6">
        <v>42675</v>
      </c>
      <c r="J5" s="6" t="s">
        <v>10</v>
      </c>
      <c r="K5" s="6">
        <v>42736</v>
      </c>
      <c r="L5" s="6">
        <v>42767</v>
      </c>
      <c r="M5" s="6">
        <v>42795</v>
      </c>
      <c r="N5" s="6">
        <v>42826</v>
      </c>
      <c r="O5" s="6">
        <v>42856</v>
      </c>
      <c r="P5" s="6">
        <v>42887</v>
      </c>
      <c r="Q5" s="6">
        <v>42917</v>
      </c>
      <c r="R5" s="6">
        <v>42948</v>
      </c>
      <c r="S5" s="6">
        <v>42979</v>
      </c>
      <c r="T5" s="6">
        <v>43009</v>
      </c>
      <c r="U5" s="6">
        <v>43040</v>
      </c>
      <c r="V5" s="6">
        <v>43070</v>
      </c>
      <c r="W5" s="7" t="s">
        <v>177</v>
      </c>
    </row>
    <row r="6" spans="1:24" s="2" customFormat="1">
      <c r="A6" s="32">
        <v>18230010</v>
      </c>
      <c r="B6" s="9" t="s">
        <v>11</v>
      </c>
      <c r="C6" s="10" t="s">
        <v>12</v>
      </c>
      <c r="D6" s="95" t="s">
        <v>13</v>
      </c>
      <c r="E6" s="11"/>
      <c r="F6" s="11"/>
      <c r="G6" s="12">
        <v>5906.2</v>
      </c>
      <c r="H6" s="13">
        <v>2944.75</v>
      </c>
      <c r="I6" s="13">
        <v>11715.31</v>
      </c>
      <c r="J6" s="12">
        <v>3410.5</v>
      </c>
      <c r="K6" s="12">
        <v>470</v>
      </c>
      <c r="L6" s="12">
        <v>2824.63</v>
      </c>
      <c r="M6" s="12">
        <v>1117.5</v>
      </c>
      <c r="N6" s="12">
        <v>830</v>
      </c>
      <c r="O6" s="12">
        <v>0</v>
      </c>
      <c r="P6" s="12">
        <v>2237.25</v>
      </c>
      <c r="Q6" s="12">
        <v>0</v>
      </c>
      <c r="R6" s="12">
        <v>6309.35</v>
      </c>
      <c r="S6" s="12">
        <v>0</v>
      </c>
      <c r="T6" s="12">
        <v>13896.12</v>
      </c>
      <c r="U6" s="12">
        <v>892.5</v>
      </c>
      <c r="V6" s="12">
        <v>14612</v>
      </c>
      <c r="W6" s="174">
        <f>SUM(G6:V6)</f>
        <v>67166.110000000015</v>
      </c>
    </row>
    <row r="7" spans="1:24" s="2" customFormat="1">
      <c r="A7" s="15"/>
      <c r="B7" s="9" t="s">
        <v>11</v>
      </c>
      <c r="C7" s="10" t="s">
        <v>14</v>
      </c>
      <c r="D7" s="98" t="s">
        <v>15</v>
      </c>
      <c r="E7" s="16">
        <v>43070</v>
      </c>
      <c r="F7" s="16" t="s">
        <v>16</v>
      </c>
      <c r="G7" s="17">
        <v>0</v>
      </c>
      <c r="H7" s="17">
        <v>0</v>
      </c>
      <c r="I7" s="17">
        <v>0</v>
      </c>
      <c r="J7" s="17">
        <v>0</v>
      </c>
      <c r="K7" s="17">
        <v>0</v>
      </c>
      <c r="L7" s="17">
        <v>0</v>
      </c>
      <c r="M7" s="17">
        <v>0</v>
      </c>
      <c r="N7" s="17">
        <v>0</v>
      </c>
      <c r="O7" s="17">
        <v>0</v>
      </c>
      <c r="P7" s="17">
        <v>0</v>
      </c>
      <c r="Q7" s="17">
        <v>0</v>
      </c>
      <c r="R7" s="17">
        <v>0</v>
      </c>
      <c r="S7" s="17">
        <v>0</v>
      </c>
      <c r="T7" s="17">
        <v>0</v>
      </c>
      <c r="U7" s="17">
        <v>0</v>
      </c>
      <c r="V7" s="17">
        <v>-5906.25</v>
      </c>
      <c r="W7" s="18">
        <f>SUM(G7:V7)</f>
        <v>-5906.25</v>
      </c>
    </row>
    <row r="8" spans="1:24" s="2" customFormat="1">
      <c r="A8" s="15"/>
      <c r="B8" s="9"/>
      <c r="C8" s="19" t="s">
        <v>17</v>
      </c>
      <c r="D8" s="64"/>
      <c r="E8" s="20"/>
      <c r="F8" s="20"/>
      <c r="G8" s="21">
        <f t="shared" ref="G8:W8" si="0">SUM(G6:G7)</f>
        <v>5906.2</v>
      </c>
      <c r="H8" s="21">
        <f t="shared" si="0"/>
        <v>2944.75</v>
      </c>
      <c r="I8" s="21">
        <f t="shared" si="0"/>
        <v>11715.31</v>
      </c>
      <c r="J8" s="21">
        <f t="shared" si="0"/>
        <v>3410.5</v>
      </c>
      <c r="K8" s="21">
        <f t="shared" si="0"/>
        <v>470</v>
      </c>
      <c r="L8" s="21">
        <f t="shared" si="0"/>
        <v>2824.63</v>
      </c>
      <c r="M8" s="21">
        <f t="shared" si="0"/>
        <v>1117.5</v>
      </c>
      <c r="N8" s="21">
        <f t="shared" si="0"/>
        <v>830</v>
      </c>
      <c r="O8" s="21">
        <f t="shared" si="0"/>
        <v>0</v>
      </c>
      <c r="P8" s="21">
        <f t="shared" si="0"/>
        <v>2237.25</v>
      </c>
      <c r="Q8" s="21">
        <f t="shared" si="0"/>
        <v>0</v>
      </c>
      <c r="R8" s="21">
        <f t="shared" si="0"/>
        <v>6309.35</v>
      </c>
      <c r="S8" s="21">
        <f t="shared" si="0"/>
        <v>0</v>
      </c>
      <c r="T8" s="21">
        <f t="shared" si="0"/>
        <v>13896.12</v>
      </c>
      <c r="U8" s="21">
        <f t="shared" si="0"/>
        <v>892.5</v>
      </c>
      <c r="V8" s="21">
        <f t="shared" si="0"/>
        <v>8705.75</v>
      </c>
      <c r="W8" s="22">
        <f t="shared" si="0"/>
        <v>61259.860000000015</v>
      </c>
    </row>
    <row r="9" spans="1:24" s="31" customFormat="1" ht="11.45" customHeight="1">
      <c r="A9" s="23"/>
      <c r="B9" s="24"/>
      <c r="C9" s="25"/>
      <c r="D9" s="26"/>
      <c r="E9" s="27"/>
      <c r="F9" s="27"/>
      <c r="G9" s="28"/>
      <c r="H9" s="29"/>
      <c r="I9" s="29"/>
      <c r="J9" s="28"/>
      <c r="K9" s="28"/>
      <c r="L9" s="28"/>
      <c r="M9" s="28"/>
      <c r="N9" s="28"/>
      <c r="O9" s="28"/>
      <c r="P9" s="28"/>
      <c r="Q9" s="28"/>
      <c r="R9" s="28"/>
      <c r="S9" s="28"/>
      <c r="T9" s="28"/>
      <c r="U9" s="28"/>
      <c r="V9" s="28"/>
      <c r="W9" s="112"/>
    </row>
    <row r="10" spans="1:24" s="2" customFormat="1">
      <c r="A10" s="32">
        <v>18230009</v>
      </c>
      <c r="B10" s="9" t="s">
        <v>18</v>
      </c>
      <c r="C10" s="10" t="s">
        <v>19</v>
      </c>
      <c r="D10" s="64" t="s">
        <v>13</v>
      </c>
      <c r="E10" s="11"/>
      <c r="F10" s="11"/>
      <c r="G10" s="12">
        <v>2147559.1100000003</v>
      </c>
      <c r="H10" s="12">
        <v>5375.75</v>
      </c>
      <c r="I10" s="12">
        <v>1680.29</v>
      </c>
      <c r="J10" s="12">
        <v>1870.25</v>
      </c>
      <c r="K10" s="33">
        <v>-1640.29</v>
      </c>
      <c r="L10" s="33">
        <v>2228.75</v>
      </c>
      <c r="M10" s="33">
        <v>1660.29</v>
      </c>
      <c r="N10" s="33">
        <v>0</v>
      </c>
      <c r="O10" s="33">
        <v>557.21</v>
      </c>
      <c r="P10" s="33">
        <v>7915.84</v>
      </c>
      <c r="Q10" s="33">
        <v>0</v>
      </c>
      <c r="R10" s="33">
        <v>0</v>
      </c>
      <c r="S10" s="33">
        <v>0</v>
      </c>
      <c r="T10" s="33">
        <v>0</v>
      </c>
      <c r="U10" s="33">
        <v>0</v>
      </c>
      <c r="V10" s="33">
        <v>3517.25</v>
      </c>
      <c r="W10" s="14">
        <f>SUM(G10:V10)</f>
        <v>2170724.4500000002</v>
      </c>
      <c r="X10" s="66"/>
    </row>
    <row r="11" spans="1:24" s="2" customFormat="1">
      <c r="A11" s="15"/>
      <c r="B11" s="9" t="s">
        <v>18</v>
      </c>
      <c r="C11" s="10" t="s">
        <v>14</v>
      </c>
      <c r="D11" s="126" t="s">
        <v>15</v>
      </c>
      <c r="E11" s="16">
        <v>43070</v>
      </c>
      <c r="F11" s="16" t="s">
        <v>16</v>
      </c>
      <c r="G11" s="37">
        <v>0</v>
      </c>
      <c r="H11" s="37">
        <v>0</v>
      </c>
      <c r="I11" s="37">
        <v>0</v>
      </c>
      <c r="J11" s="37">
        <v>0</v>
      </c>
      <c r="K11" s="37">
        <v>0</v>
      </c>
      <c r="L11" s="37">
        <v>0</v>
      </c>
      <c r="M11" s="37">
        <v>0</v>
      </c>
      <c r="N11" s="37">
        <v>0</v>
      </c>
      <c r="O11" s="37">
        <v>0</v>
      </c>
      <c r="P11" s="37">
        <v>0</v>
      </c>
      <c r="Q11" s="37">
        <v>0</v>
      </c>
      <c r="R11" s="37">
        <v>0</v>
      </c>
      <c r="S11" s="37">
        <v>0</v>
      </c>
      <c r="T11" s="37">
        <v>0</v>
      </c>
      <c r="U11" s="37">
        <v>0</v>
      </c>
      <c r="V11" s="175">
        <v>-2147559.11</v>
      </c>
      <c r="W11" s="78">
        <f>SUM(G11:V11)</f>
        <v>-2147559.11</v>
      </c>
      <c r="X11" s="66"/>
    </row>
    <row r="12" spans="1:24" s="2" customFormat="1">
      <c r="A12" s="39"/>
      <c r="B12" s="40"/>
      <c r="C12" s="41" t="s">
        <v>20</v>
      </c>
      <c r="D12" s="64"/>
      <c r="E12" s="42"/>
      <c r="F12" s="42"/>
      <c r="G12" s="21">
        <f t="shared" ref="G12:W12" si="1">SUM(G10:G11)</f>
        <v>2147559.1100000003</v>
      </c>
      <c r="H12" s="21">
        <f t="shared" si="1"/>
        <v>5375.75</v>
      </c>
      <c r="I12" s="21">
        <f t="shared" si="1"/>
        <v>1680.29</v>
      </c>
      <c r="J12" s="21">
        <f t="shared" si="1"/>
        <v>1870.25</v>
      </c>
      <c r="K12" s="21">
        <f t="shared" si="1"/>
        <v>-1640.29</v>
      </c>
      <c r="L12" s="21">
        <f t="shared" si="1"/>
        <v>2228.75</v>
      </c>
      <c r="M12" s="21">
        <f t="shared" si="1"/>
        <v>1660.29</v>
      </c>
      <c r="N12" s="21">
        <f t="shared" si="1"/>
        <v>0</v>
      </c>
      <c r="O12" s="21">
        <f t="shared" si="1"/>
        <v>557.21</v>
      </c>
      <c r="P12" s="21">
        <f t="shared" si="1"/>
        <v>7915.84</v>
      </c>
      <c r="Q12" s="21">
        <f t="shared" si="1"/>
        <v>0</v>
      </c>
      <c r="R12" s="21">
        <f t="shared" si="1"/>
        <v>0</v>
      </c>
      <c r="S12" s="21">
        <f t="shared" si="1"/>
        <v>0</v>
      </c>
      <c r="T12" s="21">
        <f t="shared" si="1"/>
        <v>0</v>
      </c>
      <c r="U12" s="21">
        <f t="shared" si="1"/>
        <v>0</v>
      </c>
      <c r="V12" s="21">
        <f t="shared" si="1"/>
        <v>-2144041.86</v>
      </c>
      <c r="W12" s="22">
        <f t="shared" si="1"/>
        <v>23165.340000000317</v>
      </c>
    </row>
    <row r="13" spans="1:24" s="50" customFormat="1" ht="11.25">
      <c r="A13" s="43"/>
      <c r="B13" s="44"/>
      <c r="C13" s="25"/>
      <c r="D13" s="45"/>
      <c r="E13" s="46"/>
      <c r="F13" s="46"/>
      <c r="G13" s="47"/>
      <c r="H13" s="48"/>
      <c r="I13" s="48"/>
      <c r="J13" s="28"/>
      <c r="K13" s="49"/>
      <c r="L13" s="49"/>
      <c r="M13" s="28"/>
      <c r="N13" s="49"/>
      <c r="O13" s="49"/>
      <c r="P13" s="28"/>
      <c r="Q13" s="49"/>
      <c r="R13" s="49"/>
      <c r="S13" s="28"/>
      <c r="T13" s="49"/>
      <c r="U13" s="49"/>
      <c r="V13" s="28"/>
      <c r="W13" s="30"/>
    </row>
    <row r="14" spans="1:24" s="2" customFormat="1">
      <c r="A14" s="32">
        <v>18230021</v>
      </c>
      <c r="B14" s="9" t="s">
        <v>21</v>
      </c>
      <c r="C14" s="10" t="s">
        <v>22</v>
      </c>
      <c r="D14" s="592" t="s">
        <v>23</v>
      </c>
      <c r="E14" s="574"/>
      <c r="F14" s="11"/>
      <c r="G14" s="12">
        <v>465045.93999999994</v>
      </c>
      <c r="H14" s="51">
        <f>-119907.1</f>
        <v>-119907.1</v>
      </c>
      <c r="I14" s="51">
        <f>67490.49</f>
        <v>67490.490000000005</v>
      </c>
      <c r="J14" s="52">
        <v>55201</v>
      </c>
      <c r="K14" s="52">
        <f>62475</f>
        <v>62475</v>
      </c>
      <c r="L14" s="52">
        <f>39750.21</f>
        <v>39750.21</v>
      </c>
      <c r="M14" s="52">
        <f>58513.33</f>
        <v>58513.33</v>
      </c>
      <c r="N14" s="52">
        <f>76146.81</f>
        <v>76146.81</v>
      </c>
      <c r="O14" s="52">
        <f>41027.18</f>
        <v>41027.18</v>
      </c>
      <c r="P14" s="52">
        <f>23807.8</f>
        <v>23807.8</v>
      </c>
      <c r="Q14" s="52">
        <v>0</v>
      </c>
      <c r="R14" s="52">
        <f>Q14</f>
        <v>0</v>
      </c>
      <c r="S14" s="52">
        <f>71194.4</f>
        <v>71194.399999999994</v>
      </c>
      <c r="T14" s="52">
        <f>8081.5</f>
        <v>8081.5</v>
      </c>
      <c r="U14" s="52">
        <f>3625.5</f>
        <v>3625.5</v>
      </c>
      <c r="V14" s="52">
        <f>5123.25</f>
        <v>5123.25</v>
      </c>
      <c r="W14" s="53">
        <f>SUM(G14:V14)</f>
        <v>857575.31</v>
      </c>
    </row>
    <row r="15" spans="1:24">
      <c r="A15" s="32"/>
      <c r="B15" s="9" t="s">
        <v>21</v>
      </c>
      <c r="C15" s="10" t="s">
        <v>384</v>
      </c>
      <c r="D15" s="592"/>
      <c r="E15" s="574"/>
      <c r="F15" s="11"/>
      <c r="G15" s="12">
        <v>-71171.44</v>
      </c>
      <c r="H15" s="12">
        <v>0</v>
      </c>
      <c r="I15" s="51">
        <f>H15</f>
        <v>0</v>
      </c>
      <c r="J15" s="52">
        <v>0</v>
      </c>
      <c r="K15" s="52">
        <v>0</v>
      </c>
      <c r="L15" s="52">
        <v>0</v>
      </c>
      <c r="M15" s="52">
        <v>0</v>
      </c>
      <c r="N15" s="52">
        <v>0</v>
      </c>
      <c r="O15" s="52">
        <v>0</v>
      </c>
      <c r="P15" s="52">
        <v>0</v>
      </c>
      <c r="Q15" s="52">
        <v>0</v>
      </c>
      <c r="R15" s="52">
        <v>0</v>
      </c>
      <c r="S15" s="52">
        <f>-83215.12</f>
        <v>-83215.12</v>
      </c>
      <c r="T15" s="52">
        <v>0</v>
      </c>
      <c r="U15" s="52">
        <f>T15</f>
        <v>0</v>
      </c>
      <c r="V15" s="52">
        <f>-59263</f>
        <v>-59263</v>
      </c>
      <c r="W15" s="53">
        <f>SUM(G15:V15)</f>
        <v>-213649.56</v>
      </c>
    </row>
    <row r="16" spans="1:24">
      <c r="A16" s="32"/>
      <c r="B16" s="9" t="s">
        <v>21</v>
      </c>
      <c r="C16" s="10" t="s">
        <v>14</v>
      </c>
      <c r="D16" s="36" t="s">
        <v>15</v>
      </c>
      <c r="E16" s="16">
        <v>43070</v>
      </c>
      <c r="F16" s="16" t="s">
        <v>16</v>
      </c>
      <c r="G16" s="37">
        <v>0</v>
      </c>
      <c r="H16" s="37">
        <v>0</v>
      </c>
      <c r="I16" s="37">
        <v>0</v>
      </c>
      <c r="J16" s="37">
        <v>0</v>
      </c>
      <c r="K16" s="37">
        <v>0</v>
      </c>
      <c r="L16" s="37">
        <v>0</v>
      </c>
      <c r="M16" s="37">
        <v>0</v>
      </c>
      <c r="N16" s="37">
        <v>0</v>
      </c>
      <c r="O16" s="37">
        <v>0</v>
      </c>
      <c r="P16" s="37">
        <v>0</v>
      </c>
      <c r="Q16" s="37">
        <v>0</v>
      </c>
      <c r="R16" s="37">
        <v>0</v>
      </c>
      <c r="S16" s="37">
        <v>0</v>
      </c>
      <c r="T16" s="37">
        <v>0</v>
      </c>
      <c r="U16" s="37">
        <v>0</v>
      </c>
      <c r="V16" s="175">
        <v>-393874.5</v>
      </c>
      <c r="W16" s="38">
        <f>SUM(G16:V16)</f>
        <v>-393874.5</v>
      </c>
    </row>
    <row r="17" spans="1:23">
      <c r="A17" s="39"/>
      <c r="B17" s="40"/>
      <c r="C17" s="41" t="s">
        <v>25</v>
      </c>
      <c r="D17" s="54"/>
      <c r="E17" s="55"/>
      <c r="F17" s="55"/>
      <c r="G17" s="56">
        <f t="shared" ref="G17:W17" si="2">SUM(G14:G16)</f>
        <v>393874.49999999994</v>
      </c>
      <c r="H17" s="56">
        <f t="shared" si="2"/>
        <v>-119907.1</v>
      </c>
      <c r="I17" s="56">
        <f t="shared" si="2"/>
        <v>67490.490000000005</v>
      </c>
      <c r="J17" s="56">
        <f t="shared" si="2"/>
        <v>55201</v>
      </c>
      <c r="K17" s="56">
        <f t="shared" si="2"/>
        <v>62475</v>
      </c>
      <c r="L17" s="56">
        <f t="shared" si="2"/>
        <v>39750.21</v>
      </c>
      <c r="M17" s="56">
        <f t="shared" si="2"/>
        <v>58513.33</v>
      </c>
      <c r="N17" s="56">
        <f t="shared" si="2"/>
        <v>76146.81</v>
      </c>
      <c r="O17" s="56">
        <f t="shared" si="2"/>
        <v>41027.18</v>
      </c>
      <c r="P17" s="56">
        <f t="shared" si="2"/>
        <v>23807.8</v>
      </c>
      <c r="Q17" s="56">
        <f t="shared" si="2"/>
        <v>0</v>
      </c>
      <c r="R17" s="56">
        <f t="shared" si="2"/>
        <v>0</v>
      </c>
      <c r="S17" s="56">
        <f t="shared" si="2"/>
        <v>-12020.720000000001</v>
      </c>
      <c r="T17" s="56">
        <f t="shared" si="2"/>
        <v>8081.5</v>
      </c>
      <c r="U17" s="56">
        <f t="shared" si="2"/>
        <v>3625.5</v>
      </c>
      <c r="V17" s="56">
        <f t="shared" si="2"/>
        <v>-448014.25</v>
      </c>
      <c r="W17" s="57">
        <f t="shared" si="2"/>
        <v>250051.25</v>
      </c>
    </row>
    <row r="18" spans="1:23" s="50" customFormat="1" ht="11.25">
      <c r="A18" s="43"/>
      <c r="B18" s="44"/>
      <c r="C18" s="25"/>
      <c r="D18" s="26"/>
      <c r="E18" s="46"/>
      <c r="F18" s="46"/>
      <c r="G18" s="47"/>
      <c r="H18" s="48"/>
      <c r="I18" s="48"/>
      <c r="J18" s="28"/>
      <c r="K18" s="49"/>
      <c r="L18" s="49"/>
      <c r="M18" s="28"/>
      <c r="N18" s="49"/>
      <c r="O18" s="49"/>
      <c r="P18" s="28"/>
      <c r="Q18" s="49"/>
      <c r="R18" s="49"/>
      <c r="S18" s="28"/>
      <c r="T18" s="49"/>
      <c r="U18" s="49"/>
      <c r="V18" s="28"/>
      <c r="W18" s="30"/>
    </row>
    <row r="19" spans="1:23" s="2" customFormat="1">
      <c r="A19" s="32" t="s">
        <v>26</v>
      </c>
      <c r="B19" s="9" t="s">
        <v>27</v>
      </c>
      <c r="C19" s="10" t="s">
        <v>28</v>
      </c>
      <c r="D19" s="64" t="s">
        <v>29</v>
      </c>
      <c r="E19" s="11"/>
      <c r="F19" s="11"/>
      <c r="G19" s="52">
        <v>198092.16</v>
      </c>
      <c r="H19" s="51">
        <v>0</v>
      </c>
      <c r="I19" s="51">
        <f>H19</f>
        <v>0</v>
      </c>
      <c r="J19" s="51">
        <f t="shared" ref="J19:V19" si="3">I19</f>
        <v>0</v>
      </c>
      <c r="K19" s="51">
        <f t="shared" si="3"/>
        <v>0</v>
      </c>
      <c r="L19" s="51">
        <f t="shared" si="3"/>
        <v>0</v>
      </c>
      <c r="M19" s="51">
        <f t="shared" si="3"/>
        <v>0</v>
      </c>
      <c r="N19" s="51">
        <f t="shared" si="3"/>
        <v>0</v>
      </c>
      <c r="O19" s="51">
        <f t="shared" si="3"/>
        <v>0</v>
      </c>
      <c r="P19" s="51">
        <f t="shared" si="3"/>
        <v>0</v>
      </c>
      <c r="Q19" s="51">
        <f t="shared" si="3"/>
        <v>0</v>
      </c>
      <c r="R19" s="51">
        <f t="shared" si="3"/>
        <v>0</v>
      </c>
      <c r="S19" s="51">
        <f t="shared" si="3"/>
        <v>0</v>
      </c>
      <c r="T19" s="51">
        <f t="shared" si="3"/>
        <v>0</v>
      </c>
      <c r="U19" s="51">
        <f t="shared" si="3"/>
        <v>0</v>
      </c>
      <c r="V19" s="51">
        <f t="shared" si="3"/>
        <v>0</v>
      </c>
      <c r="W19" s="53">
        <f>SUM(G19:V19)</f>
        <v>198092.16</v>
      </c>
    </row>
    <row r="20" spans="1:23" s="2" customFormat="1">
      <c r="A20" s="32"/>
      <c r="B20" s="9" t="s">
        <v>27</v>
      </c>
      <c r="C20" s="10" t="s">
        <v>30</v>
      </c>
      <c r="D20" s="126" t="s">
        <v>15</v>
      </c>
      <c r="E20" s="16">
        <v>43070</v>
      </c>
      <c r="F20" s="16" t="s">
        <v>16</v>
      </c>
      <c r="G20" s="37">
        <v>0</v>
      </c>
      <c r="H20" s="37">
        <v>0</v>
      </c>
      <c r="I20" s="37">
        <v>0</v>
      </c>
      <c r="J20" s="37">
        <v>0</v>
      </c>
      <c r="K20" s="37">
        <v>0</v>
      </c>
      <c r="L20" s="37">
        <v>0</v>
      </c>
      <c r="M20" s="37">
        <v>0</v>
      </c>
      <c r="N20" s="37">
        <v>0</v>
      </c>
      <c r="O20" s="37">
        <v>0</v>
      </c>
      <c r="P20" s="37">
        <v>0</v>
      </c>
      <c r="Q20" s="37">
        <v>0</v>
      </c>
      <c r="R20" s="37">
        <v>0</v>
      </c>
      <c r="S20" s="37">
        <v>0</v>
      </c>
      <c r="T20" s="37">
        <v>0</v>
      </c>
      <c r="U20" s="37">
        <v>0</v>
      </c>
      <c r="V20" s="175">
        <v>-198092.16</v>
      </c>
      <c r="W20" s="117">
        <f>SUM(G20:V20)</f>
        <v>-198092.16</v>
      </c>
    </row>
    <row r="21" spans="1:23" s="2" customFormat="1">
      <c r="A21" s="39"/>
      <c r="B21" s="40"/>
      <c r="C21" s="58" t="s">
        <v>31</v>
      </c>
      <c r="D21" s="59"/>
      <c r="E21" s="60"/>
      <c r="F21" s="60"/>
      <c r="G21" s="21">
        <f t="shared" ref="G21:W21" si="4">SUM(G19:G20)</f>
        <v>198092.16</v>
      </c>
      <c r="H21" s="21">
        <f t="shared" si="4"/>
        <v>0</v>
      </c>
      <c r="I21" s="21">
        <f t="shared" si="4"/>
        <v>0</v>
      </c>
      <c r="J21" s="21">
        <f t="shared" si="4"/>
        <v>0</v>
      </c>
      <c r="K21" s="21">
        <f t="shared" si="4"/>
        <v>0</v>
      </c>
      <c r="L21" s="21">
        <f t="shared" si="4"/>
        <v>0</v>
      </c>
      <c r="M21" s="21">
        <f t="shared" si="4"/>
        <v>0</v>
      </c>
      <c r="N21" s="21">
        <f t="shared" si="4"/>
        <v>0</v>
      </c>
      <c r="O21" s="21">
        <f t="shared" si="4"/>
        <v>0</v>
      </c>
      <c r="P21" s="21">
        <f t="shared" si="4"/>
        <v>0</v>
      </c>
      <c r="Q21" s="21">
        <f t="shared" si="4"/>
        <v>0</v>
      </c>
      <c r="R21" s="21">
        <f t="shared" si="4"/>
        <v>0</v>
      </c>
      <c r="S21" s="21">
        <f t="shared" si="4"/>
        <v>0</v>
      </c>
      <c r="T21" s="21">
        <f t="shared" si="4"/>
        <v>0</v>
      </c>
      <c r="U21" s="21">
        <f t="shared" si="4"/>
        <v>0</v>
      </c>
      <c r="V21" s="21">
        <f t="shared" si="4"/>
        <v>-198092.16</v>
      </c>
      <c r="W21" s="22">
        <f t="shared" si="4"/>
        <v>0</v>
      </c>
    </row>
    <row r="22" spans="1:23" s="50" customFormat="1" ht="11.25">
      <c r="A22" s="43"/>
      <c r="B22" s="44"/>
      <c r="C22" s="25"/>
      <c r="D22" s="45"/>
      <c r="E22" s="46"/>
      <c r="F22" s="46"/>
      <c r="G22" s="28"/>
      <c r="H22" s="48"/>
      <c r="I22" s="48"/>
      <c r="J22" s="28"/>
      <c r="K22" s="49"/>
      <c r="L22" s="49"/>
      <c r="M22" s="28"/>
      <c r="N22" s="49"/>
      <c r="O22" s="49"/>
      <c r="P22" s="28"/>
      <c r="Q22" s="49"/>
      <c r="R22" s="49"/>
      <c r="S22" s="28"/>
      <c r="T22" s="49"/>
      <c r="U22" s="49"/>
      <c r="V22" s="28"/>
      <c r="W22" s="112"/>
    </row>
    <row r="23" spans="1:23" s="2" customFormat="1">
      <c r="A23" s="32" t="s">
        <v>32</v>
      </c>
      <c r="B23" s="9" t="s">
        <v>33</v>
      </c>
      <c r="C23" s="10" t="s">
        <v>34</v>
      </c>
      <c r="D23" s="64" t="s">
        <v>35</v>
      </c>
      <c r="E23" s="11"/>
      <c r="F23" s="11"/>
      <c r="G23" s="12">
        <v>440996.89</v>
      </c>
      <c r="H23" s="51">
        <v>0</v>
      </c>
      <c r="I23" s="51">
        <f>H23+896</f>
        <v>896</v>
      </c>
      <c r="J23" s="12">
        <v>1485.25</v>
      </c>
      <c r="K23" s="12">
        <v>0</v>
      </c>
      <c r="L23" s="12">
        <v>928</v>
      </c>
      <c r="M23" s="12">
        <v>1611.8</v>
      </c>
      <c r="N23" s="12">
        <v>0</v>
      </c>
      <c r="O23" s="12">
        <v>928</v>
      </c>
      <c r="P23" s="12">
        <v>0</v>
      </c>
      <c r="Q23" s="12">
        <v>919</v>
      </c>
      <c r="R23" s="12">
        <v>5968.13</v>
      </c>
      <c r="S23" s="12">
        <v>1436</v>
      </c>
      <c r="T23" s="12">
        <v>3867.05</v>
      </c>
      <c r="U23" s="12">
        <v>1024</v>
      </c>
      <c r="V23" s="12">
        <v>0</v>
      </c>
      <c r="W23" s="53">
        <f>SUM(G23:V23)</f>
        <v>460060.12</v>
      </c>
    </row>
    <row r="24" spans="1:23" s="2" customFormat="1">
      <c r="A24" s="32"/>
      <c r="B24" s="9" t="s">
        <v>33</v>
      </c>
      <c r="C24" s="10" t="s">
        <v>30</v>
      </c>
      <c r="D24" s="126" t="s">
        <v>15</v>
      </c>
      <c r="E24" s="16">
        <v>43070</v>
      </c>
      <c r="F24" s="16" t="s">
        <v>16</v>
      </c>
      <c r="G24" s="37">
        <v>0</v>
      </c>
      <c r="H24" s="37">
        <v>0</v>
      </c>
      <c r="I24" s="37">
        <v>0</v>
      </c>
      <c r="J24" s="37">
        <v>0</v>
      </c>
      <c r="K24" s="37">
        <v>0</v>
      </c>
      <c r="L24" s="37">
        <v>0</v>
      </c>
      <c r="M24" s="37">
        <v>0</v>
      </c>
      <c r="N24" s="37">
        <v>0</v>
      </c>
      <c r="O24" s="37">
        <v>0</v>
      </c>
      <c r="P24" s="37">
        <v>0</v>
      </c>
      <c r="Q24" s="37">
        <v>0</v>
      </c>
      <c r="R24" s="37">
        <v>0</v>
      </c>
      <c r="S24" s="37">
        <v>0</v>
      </c>
      <c r="T24" s="37">
        <v>0</v>
      </c>
      <c r="U24" s="37">
        <v>0</v>
      </c>
      <c r="V24" s="175">
        <v>-440996.89</v>
      </c>
      <c r="W24" s="117">
        <f>SUM(G24:V24)</f>
        <v>-440996.89</v>
      </c>
    </row>
    <row r="25" spans="1:23" s="2" customFormat="1">
      <c r="A25" s="39"/>
      <c r="B25" s="40"/>
      <c r="C25" s="58" t="s">
        <v>36</v>
      </c>
      <c r="D25" s="59"/>
      <c r="E25" s="60"/>
      <c r="F25" s="60"/>
      <c r="G25" s="21">
        <f t="shared" ref="G25:W25" si="5">SUM(G23:G24)</f>
        <v>440996.89</v>
      </c>
      <c r="H25" s="21">
        <f t="shared" si="5"/>
        <v>0</v>
      </c>
      <c r="I25" s="21">
        <f t="shared" si="5"/>
        <v>896</v>
      </c>
      <c r="J25" s="21">
        <f t="shared" si="5"/>
        <v>1485.25</v>
      </c>
      <c r="K25" s="21">
        <f t="shared" si="5"/>
        <v>0</v>
      </c>
      <c r="L25" s="21">
        <f t="shared" si="5"/>
        <v>928</v>
      </c>
      <c r="M25" s="21">
        <f t="shared" si="5"/>
        <v>1611.8</v>
      </c>
      <c r="N25" s="21">
        <f t="shared" si="5"/>
        <v>0</v>
      </c>
      <c r="O25" s="21">
        <f t="shared" si="5"/>
        <v>928</v>
      </c>
      <c r="P25" s="21">
        <f t="shared" si="5"/>
        <v>0</v>
      </c>
      <c r="Q25" s="21">
        <f t="shared" si="5"/>
        <v>919</v>
      </c>
      <c r="R25" s="21">
        <f t="shared" si="5"/>
        <v>5968.13</v>
      </c>
      <c r="S25" s="21">
        <f t="shared" si="5"/>
        <v>1436</v>
      </c>
      <c r="T25" s="21">
        <f t="shared" si="5"/>
        <v>3867.05</v>
      </c>
      <c r="U25" s="21">
        <f t="shared" si="5"/>
        <v>1024</v>
      </c>
      <c r="V25" s="21">
        <f t="shared" si="5"/>
        <v>-440996.89</v>
      </c>
      <c r="W25" s="22">
        <f t="shared" si="5"/>
        <v>19063.229999999981</v>
      </c>
    </row>
    <row r="26" spans="1:23" s="50" customFormat="1" ht="11.25">
      <c r="A26" s="43"/>
      <c r="B26" s="44"/>
      <c r="C26" s="25"/>
      <c r="D26" s="45"/>
      <c r="E26" s="46"/>
      <c r="F26" s="46"/>
      <c r="G26" s="28"/>
      <c r="H26" s="48"/>
      <c r="I26" s="48"/>
      <c r="J26" s="28"/>
      <c r="K26" s="49"/>
      <c r="L26" s="49"/>
      <c r="M26" s="28"/>
      <c r="N26" s="49"/>
      <c r="O26" s="49"/>
      <c r="P26" s="28"/>
      <c r="Q26" s="49"/>
      <c r="R26" s="49"/>
      <c r="S26" s="28"/>
      <c r="T26" s="49"/>
      <c r="U26" s="49"/>
      <c r="V26" s="28"/>
      <c r="W26" s="112"/>
    </row>
    <row r="27" spans="1:23" s="2" customFormat="1">
      <c r="A27" s="32" t="s">
        <v>37</v>
      </c>
      <c r="B27" s="9" t="s">
        <v>38</v>
      </c>
      <c r="C27" s="10" t="s">
        <v>39</v>
      </c>
      <c r="D27" s="64" t="s">
        <v>40</v>
      </c>
      <c r="E27" s="11"/>
      <c r="F27" s="11"/>
      <c r="G27" s="52">
        <v>2254508.17</v>
      </c>
      <c r="H27" s="51">
        <v>0</v>
      </c>
      <c r="I27" s="51">
        <f>H27</f>
        <v>0</v>
      </c>
      <c r="J27" s="52">
        <v>0</v>
      </c>
      <c r="K27" s="52">
        <f>J27</f>
        <v>0</v>
      </c>
      <c r="L27" s="52">
        <f>K27</f>
        <v>0</v>
      </c>
      <c r="M27" s="52">
        <f>L27</f>
        <v>0</v>
      </c>
      <c r="N27" s="52">
        <f>M27</f>
        <v>0</v>
      </c>
      <c r="O27" s="52">
        <f t="shared" ref="O27:V27" si="6">N27</f>
        <v>0</v>
      </c>
      <c r="P27" s="52">
        <f t="shared" si="6"/>
        <v>0</v>
      </c>
      <c r="Q27" s="52">
        <f t="shared" si="6"/>
        <v>0</v>
      </c>
      <c r="R27" s="52">
        <f t="shared" si="6"/>
        <v>0</v>
      </c>
      <c r="S27" s="52">
        <f t="shared" si="6"/>
        <v>0</v>
      </c>
      <c r="T27" s="52">
        <f t="shared" si="6"/>
        <v>0</v>
      </c>
      <c r="U27" s="52">
        <f t="shared" si="6"/>
        <v>0</v>
      </c>
      <c r="V27" s="52">
        <f t="shared" si="6"/>
        <v>0</v>
      </c>
      <c r="W27" s="53">
        <f>SUM(G27:V27)</f>
        <v>2254508.17</v>
      </c>
    </row>
    <row r="28" spans="1:23" s="2" customFormat="1">
      <c r="A28" s="32"/>
      <c r="B28" s="9" t="s">
        <v>38</v>
      </c>
      <c r="C28" s="10" t="s">
        <v>30</v>
      </c>
      <c r="D28" s="126" t="s">
        <v>15</v>
      </c>
      <c r="E28" s="16">
        <v>43070</v>
      </c>
      <c r="F28" s="16" t="s">
        <v>16</v>
      </c>
      <c r="G28" s="37">
        <v>0</v>
      </c>
      <c r="H28" s="37">
        <v>0</v>
      </c>
      <c r="I28" s="37">
        <v>0</v>
      </c>
      <c r="J28" s="37">
        <v>0</v>
      </c>
      <c r="K28" s="37">
        <v>0</v>
      </c>
      <c r="L28" s="37">
        <v>0</v>
      </c>
      <c r="M28" s="37">
        <v>0</v>
      </c>
      <c r="N28" s="37">
        <v>0</v>
      </c>
      <c r="O28" s="37">
        <v>0</v>
      </c>
      <c r="P28" s="37">
        <v>0</v>
      </c>
      <c r="Q28" s="37">
        <v>0</v>
      </c>
      <c r="R28" s="37">
        <v>0</v>
      </c>
      <c r="S28" s="37">
        <v>0</v>
      </c>
      <c r="T28" s="37">
        <v>0</v>
      </c>
      <c r="U28" s="37">
        <v>0</v>
      </c>
      <c r="V28" s="175">
        <f>-2254508</f>
        <v>-2254508</v>
      </c>
      <c r="W28" s="117">
        <f>SUM(G28:V28)</f>
        <v>-2254508</v>
      </c>
    </row>
    <row r="29" spans="1:23" s="2" customFormat="1">
      <c r="A29" s="39"/>
      <c r="B29" s="40"/>
      <c r="C29" s="58" t="s">
        <v>41</v>
      </c>
      <c r="D29" s="59"/>
      <c r="E29" s="60"/>
      <c r="F29" s="60"/>
      <c r="G29" s="21">
        <f t="shared" ref="G29:W29" si="7">SUM(G27:G28)</f>
        <v>2254508.17</v>
      </c>
      <c r="H29" s="21">
        <f t="shared" si="7"/>
        <v>0</v>
      </c>
      <c r="I29" s="21">
        <f t="shared" si="7"/>
        <v>0</v>
      </c>
      <c r="J29" s="21">
        <f t="shared" si="7"/>
        <v>0</v>
      </c>
      <c r="K29" s="21">
        <f t="shared" si="7"/>
        <v>0</v>
      </c>
      <c r="L29" s="21">
        <f t="shared" si="7"/>
        <v>0</v>
      </c>
      <c r="M29" s="21">
        <f t="shared" si="7"/>
        <v>0</v>
      </c>
      <c r="N29" s="21">
        <f t="shared" si="7"/>
        <v>0</v>
      </c>
      <c r="O29" s="21">
        <f t="shared" si="7"/>
        <v>0</v>
      </c>
      <c r="P29" s="21">
        <f t="shared" si="7"/>
        <v>0</v>
      </c>
      <c r="Q29" s="21">
        <f t="shared" si="7"/>
        <v>0</v>
      </c>
      <c r="R29" s="21">
        <f t="shared" si="7"/>
        <v>0</v>
      </c>
      <c r="S29" s="21">
        <f t="shared" si="7"/>
        <v>0</v>
      </c>
      <c r="T29" s="21">
        <f t="shared" si="7"/>
        <v>0</v>
      </c>
      <c r="U29" s="21">
        <f t="shared" si="7"/>
        <v>0</v>
      </c>
      <c r="V29" s="21">
        <f t="shared" si="7"/>
        <v>-2254508</v>
      </c>
      <c r="W29" s="22">
        <f t="shared" si="7"/>
        <v>0.16999999992549419</v>
      </c>
    </row>
    <row r="30" spans="1:23" s="50" customFormat="1" ht="11.25">
      <c r="A30" s="43"/>
      <c r="B30" s="44"/>
      <c r="C30" s="25"/>
      <c r="D30" s="45"/>
      <c r="E30" s="46"/>
      <c r="F30" s="46"/>
      <c r="G30" s="28"/>
      <c r="H30" s="48"/>
      <c r="I30" s="48"/>
      <c r="J30" s="28"/>
      <c r="K30" s="49"/>
      <c r="L30" s="49"/>
      <c r="M30" s="28"/>
      <c r="N30" s="49"/>
      <c r="O30" s="49"/>
      <c r="P30" s="28"/>
      <c r="Q30" s="49"/>
      <c r="R30" s="49"/>
      <c r="S30" s="28"/>
      <c r="T30" s="49"/>
      <c r="U30" s="49"/>
      <c r="V30" s="125"/>
      <c r="W30" s="112"/>
    </row>
    <row r="31" spans="1:23" s="2" customFormat="1">
      <c r="A31" s="32" t="s">
        <v>42</v>
      </c>
      <c r="B31" s="9" t="s">
        <v>43</v>
      </c>
      <c r="C31" s="10" t="s">
        <v>44</v>
      </c>
      <c r="D31" s="593" t="s">
        <v>45</v>
      </c>
      <c r="E31" s="574">
        <v>2784</v>
      </c>
      <c r="F31" s="11"/>
      <c r="G31" s="52">
        <v>2242411.06</v>
      </c>
      <c r="H31" s="51">
        <f>3233</f>
        <v>3233</v>
      </c>
      <c r="I31" s="51">
        <f>138042.36</f>
        <v>138042.35999999999</v>
      </c>
      <c r="J31" s="52">
        <v>-107058</v>
      </c>
      <c r="K31" s="52">
        <f>71087.66</f>
        <v>71087.66</v>
      </c>
      <c r="L31" s="52">
        <f>5540.84</f>
        <v>5540.84</v>
      </c>
      <c r="M31" s="52">
        <f>260141.19</f>
        <v>260141.19</v>
      </c>
      <c r="N31" s="52">
        <f>8426.47</f>
        <v>8426.4699999999993</v>
      </c>
      <c r="O31" s="52">
        <f>23288.75</f>
        <v>23288.75</v>
      </c>
      <c r="P31" s="52">
        <f>77556.54</f>
        <v>77556.539999999994</v>
      </c>
      <c r="Q31" s="52">
        <f>50626.88</f>
        <v>50626.879999999997</v>
      </c>
      <c r="R31" s="52">
        <f>69375.59-36731</f>
        <v>32644.589999999997</v>
      </c>
      <c r="S31" s="52">
        <v>0</v>
      </c>
      <c r="T31" s="52">
        <v>0</v>
      </c>
      <c r="U31" s="52">
        <f t="shared" ref="U31:U32" si="8">T31</f>
        <v>0</v>
      </c>
      <c r="V31" s="52">
        <f>256932</f>
        <v>256932</v>
      </c>
      <c r="W31" s="53">
        <f>SUM(G31:V31)</f>
        <v>3062873.34</v>
      </c>
    </row>
    <row r="32" spans="1:23" s="2" customFormat="1">
      <c r="A32" s="32"/>
      <c r="B32" s="61" t="s">
        <v>43</v>
      </c>
      <c r="C32" s="10" t="s">
        <v>46</v>
      </c>
      <c r="D32" s="593"/>
      <c r="E32" s="574"/>
      <c r="F32" s="11"/>
      <c r="G32" s="52">
        <v>-662553.87</v>
      </c>
      <c r="H32" s="51">
        <v>0</v>
      </c>
      <c r="I32" s="51">
        <f>H32</f>
        <v>0</v>
      </c>
      <c r="J32" s="52">
        <v>0</v>
      </c>
      <c r="K32" s="52">
        <f t="shared" ref="K32:R32" si="9">J32</f>
        <v>0</v>
      </c>
      <c r="L32" s="52">
        <f t="shared" si="9"/>
        <v>0</v>
      </c>
      <c r="M32" s="52">
        <f t="shared" si="9"/>
        <v>0</v>
      </c>
      <c r="N32" s="52">
        <f t="shared" si="9"/>
        <v>0</v>
      </c>
      <c r="O32" s="52">
        <f t="shared" si="9"/>
        <v>0</v>
      </c>
      <c r="P32" s="52">
        <f t="shared" si="9"/>
        <v>0</v>
      </c>
      <c r="Q32" s="52">
        <f t="shared" si="9"/>
        <v>0</v>
      </c>
      <c r="R32" s="52">
        <f t="shared" si="9"/>
        <v>0</v>
      </c>
      <c r="S32" s="52">
        <f>-3948</f>
        <v>-3948</v>
      </c>
      <c r="T32" s="52">
        <v>0</v>
      </c>
      <c r="U32" s="52">
        <f t="shared" si="8"/>
        <v>0</v>
      </c>
      <c r="V32" s="52">
        <f>-5383.87</f>
        <v>-5383.87</v>
      </c>
      <c r="W32" s="53">
        <f>SUM(G32:V32)</f>
        <v>-671885.74</v>
      </c>
    </row>
    <row r="33" spans="1:23" s="2" customFormat="1">
      <c r="A33" s="32"/>
      <c r="B33" s="9" t="s">
        <v>43</v>
      </c>
      <c r="C33" s="10" t="s">
        <v>30</v>
      </c>
      <c r="D33" s="126" t="s">
        <v>15</v>
      </c>
      <c r="E33" s="16">
        <v>43070</v>
      </c>
      <c r="F33" s="16" t="s">
        <v>16</v>
      </c>
      <c r="G33" s="37">
        <v>0</v>
      </c>
      <c r="H33" s="37">
        <v>0</v>
      </c>
      <c r="I33" s="37">
        <v>0</v>
      </c>
      <c r="J33" s="37">
        <v>0</v>
      </c>
      <c r="K33" s="37">
        <v>0</v>
      </c>
      <c r="L33" s="37">
        <v>0</v>
      </c>
      <c r="M33" s="37">
        <v>0</v>
      </c>
      <c r="N33" s="37">
        <v>0</v>
      </c>
      <c r="O33" s="37">
        <v>0</v>
      </c>
      <c r="P33" s="37">
        <v>0</v>
      </c>
      <c r="Q33" s="37">
        <v>0</v>
      </c>
      <c r="R33" s="37">
        <v>0</v>
      </c>
      <c r="S33" s="37">
        <v>0</v>
      </c>
      <c r="T33" s="37">
        <v>0</v>
      </c>
      <c r="U33" s="37">
        <v>0</v>
      </c>
      <c r="V33" s="175">
        <v>-1579857.19</v>
      </c>
      <c r="W33" s="117">
        <f>SUM(G33:V33)</f>
        <v>-1579857.19</v>
      </c>
    </row>
    <row r="34" spans="1:23" s="2" customFormat="1">
      <c r="A34" s="39"/>
      <c r="B34" s="40"/>
      <c r="C34" s="58" t="s">
        <v>47</v>
      </c>
      <c r="D34" s="59"/>
      <c r="E34" s="60"/>
      <c r="F34" s="60"/>
      <c r="G34" s="21">
        <f t="shared" ref="G34:V34" si="10">SUM(G31:G33)</f>
        <v>1579857.19</v>
      </c>
      <c r="H34" s="21">
        <f t="shared" si="10"/>
        <v>3233</v>
      </c>
      <c r="I34" s="21">
        <f t="shared" si="10"/>
        <v>138042.35999999999</v>
      </c>
      <c r="J34" s="21">
        <f t="shared" si="10"/>
        <v>-107058</v>
      </c>
      <c r="K34" s="21">
        <f t="shared" si="10"/>
        <v>71087.66</v>
      </c>
      <c r="L34" s="21">
        <f t="shared" si="10"/>
        <v>5540.84</v>
      </c>
      <c r="M34" s="21">
        <f t="shared" si="10"/>
        <v>260141.19</v>
      </c>
      <c r="N34" s="21">
        <f t="shared" si="10"/>
        <v>8426.4699999999993</v>
      </c>
      <c r="O34" s="21">
        <f t="shared" si="10"/>
        <v>23288.75</v>
      </c>
      <c r="P34" s="21">
        <f t="shared" si="10"/>
        <v>77556.539999999994</v>
      </c>
      <c r="Q34" s="21">
        <f t="shared" si="10"/>
        <v>50626.879999999997</v>
      </c>
      <c r="R34" s="21">
        <f t="shared" si="10"/>
        <v>32644.589999999997</v>
      </c>
      <c r="S34" s="21">
        <f t="shared" si="10"/>
        <v>-3948</v>
      </c>
      <c r="T34" s="21">
        <f t="shared" si="10"/>
        <v>0</v>
      </c>
      <c r="U34" s="21">
        <f t="shared" si="10"/>
        <v>0</v>
      </c>
      <c r="V34" s="21">
        <f t="shared" si="10"/>
        <v>-1328309.06</v>
      </c>
      <c r="W34" s="22">
        <f>SUM(W31:W33)</f>
        <v>811130.40999999968</v>
      </c>
    </row>
    <row r="35" spans="1:23" s="50" customFormat="1" ht="11.25">
      <c r="A35" s="43"/>
      <c r="B35" s="44"/>
      <c r="C35" s="25"/>
      <c r="D35" s="45"/>
      <c r="E35" s="46"/>
      <c r="F35" s="46"/>
      <c r="G35" s="28"/>
      <c r="H35" s="48"/>
      <c r="I35" s="48"/>
      <c r="J35" s="28"/>
      <c r="K35" s="49"/>
      <c r="L35" s="49"/>
      <c r="M35" s="28"/>
      <c r="N35" s="49"/>
      <c r="O35" s="49"/>
      <c r="P35" s="28"/>
      <c r="Q35" s="49"/>
      <c r="R35" s="49"/>
      <c r="S35" s="28"/>
      <c r="T35" s="49"/>
      <c r="U35" s="49"/>
      <c r="V35" s="28"/>
      <c r="W35" s="112"/>
    </row>
    <row r="36" spans="1:23" s="2" customFormat="1">
      <c r="A36" s="32" t="s">
        <v>48</v>
      </c>
      <c r="B36" s="9" t="s">
        <v>49</v>
      </c>
      <c r="C36" s="10" t="s">
        <v>50</v>
      </c>
      <c r="D36" s="64" t="s">
        <v>35</v>
      </c>
      <c r="E36" s="11"/>
      <c r="F36" s="11"/>
      <c r="G36" s="52">
        <v>659654.59</v>
      </c>
      <c r="H36" s="51">
        <v>0</v>
      </c>
      <c r="I36" s="51">
        <v>0</v>
      </c>
      <c r="J36" s="52">
        <v>10000.120000000001</v>
      </c>
      <c r="K36" s="52">
        <v>0</v>
      </c>
      <c r="L36" s="52">
        <f t="shared" ref="L36:V36" si="11">K36</f>
        <v>0</v>
      </c>
      <c r="M36" s="52">
        <f t="shared" si="11"/>
        <v>0</v>
      </c>
      <c r="N36" s="52">
        <f t="shared" si="11"/>
        <v>0</v>
      </c>
      <c r="O36" s="52">
        <f t="shared" si="11"/>
        <v>0</v>
      </c>
      <c r="P36" s="52">
        <f t="shared" si="11"/>
        <v>0</v>
      </c>
      <c r="Q36" s="52">
        <f t="shared" si="11"/>
        <v>0</v>
      </c>
      <c r="R36" s="52">
        <f t="shared" si="11"/>
        <v>0</v>
      </c>
      <c r="S36" s="52">
        <f t="shared" si="11"/>
        <v>0</v>
      </c>
      <c r="T36" s="52">
        <f t="shared" si="11"/>
        <v>0</v>
      </c>
      <c r="U36" s="52">
        <f t="shared" si="11"/>
        <v>0</v>
      </c>
      <c r="V36" s="52">
        <f t="shared" si="11"/>
        <v>0</v>
      </c>
      <c r="W36" s="53">
        <f>SUM(G36:V36)</f>
        <v>669654.71</v>
      </c>
    </row>
    <row r="37" spans="1:23" s="2" customFormat="1">
      <c r="A37" s="32"/>
      <c r="B37" s="9" t="s">
        <v>49</v>
      </c>
      <c r="C37" s="10" t="s">
        <v>30</v>
      </c>
      <c r="D37" s="64" t="s">
        <v>15</v>
      </c>
      <c r="E37" s="16">
        <v>43070</v>
      </c>
      <c r="F37" s="16" t="s">
        <v>16</v>
      </c>
      <c r="G37" s="37">
        <v>0</v>
      </c>
      <c r="H37" s="37">
        <v>0</v>
      </c>
      <c r="I37" s="37">
        <v>0</v>
      </c>
      <c r="J37" s="37">
        <v>0</v>
      </c>
      <c r="K37" s="37">
        <v>0</v>
      </c>
      <c r="L37" s="37">
        <v>0</v>
      </c>
      <c r="M37" s="37">
        <v>0</v>
      </c>
      <c r="N37" s="37">
        <v>0</v>
      </c>
      <c r="O37" s="37">
        <v>0</v>
      </c>
      <c r="P37" s="37">
        <v>0</v>
      </c>
      <c r="Q37" s="37">
        <v>0</v>
      </c>
      <c r="R37" s="37">
        <v>0</v>
      </c>
      <c r="S37" s="37">
        <v>0</v>
      </c>
      <c r="T37" s="37">
        <v>0</v>
      </c>
      <c r="U37" s="37">
        <v>0</v>
      </c>
      <c r="V37" s="175">
        <f>-659655</f>
        <v>-659655</v>
      </c>
      <c r="W37" s="117">
        <f>SUM(G37:V37)</f>
        <v>-659655</v>
      </c>
    </row>
    <row r="38" spans="1:23" s="2" customFormat="1">
      <c r="A38" s="39"/>
      <c r="B38" s="40"/>
      <c r="C38" s="58" t="s">
        <v>51</v>
      </c>
      <c r="D38" s="59"/>
      <c r="E38" s="60"/>
      <c r="F38" s="60"/>
      <c r="G38" s="21">
        <f t="shared" ref="G38:W38" si="12">SUM(G36:G37)</f>
        <v>659654.59</v>
      </c>
      <c r="H38" s="21">
        <f t="shared" si="12"/>
        <v>0</v>
      </c>
      <c r="I38" s="21">
        <f t="shared" si="12"/>
        <v>0</v>
      </c>
      <c r="J38" s="21">
        <f t="shared" si="12"/>
        <v>10000.120000000001</v>
      </c>
      <c r="K38" s="21">
        <f t="shared" si="12"/>
        <v>0</v>
      </c>
      <c r="L38" s="21">
        <f t="shared" si="12"/>
        <v>0</v>
      </c>
      <c r="M38" s="21">
        <f t="shared" si="12"/>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-659655</v>
      </c>
      <c r="W38" s="22">
        <f t="shared" si="12"/>
        <v>9999.7099999999627</v>
      </c>
    </row>
    <row r="39" spans="1:23" s="50" customFormat="1" ht="11.25">
      <c r="A39" s="43"/>
      <c r="B39" s="44"/>
      <c r="C39" s="25"/>
      <c r="D39" s="45"/>
      <c r="E39" s="46"/>
      <c r="F39" s="46"/>
      <c r="G39" s="28"/>
      <c r="H39" s="48"/>
      <c r="I39" s="48"/>
      <c r="J39" s="28"/>
      <c r="K39" s="49"/>
      <c r="L39" s="49"/>
      <c r="M39" s="28"/>
      <c r="N39" s="49"/>
      <c r="O39" s="49"/>
      <c r="P39" s="28"/>
      <c r="Q39" s="49"/>
      <c r="R39" s="49"/>
      <c r="S39" s="28"/>
      <c r="T39" s="49"/>
      <c r="U39" s="49"/>
      <c r="V39" s="28"/>
      <c r="W39" s="30"/>
    </row>
    <row r="40" spans="1:23" s="2" customFormat="1" ht="60">
      <c r="A40" s="32" t="s">
        <v>52</v>
      </c>
      <c r="B40" s="9" t="s">
        <v>53</v>
      </c>
      <c r="C40" s="10" t="s">
        <v>54</v>
      </c>
      <c r="D40" s="65" t="s">
        <v>55</v>
      </c>
      <c r="E40" s="11"/>
      <c r="F40" s="11"/>
      <c r="G40" s="52">
        <v>224879.76</v>
      </c>
      <c r="H40" s="51">
        <v>0</v>
      </c>
      <c r="I40" s="51">
        <f>H40</f>
        <v>0</v>
      </c>
      <c r="J40" s="52">
        <v>0</v>
      </c>
      <c r="K40" s="52">
        <f>J40</f>
        <v>0</v>
      </c>
      <c r="L40" s="52">
        <f t="shared" ref="L40:P40" si="13">K40</f>
        <v>0</v>
      </c>
      <c r="M40" s="52">
        <f t="shared" si="13"/>
        <v>0</v>
      </c>
      <c r="N40" s="52">
        <f t="shared" si="13"/>
        <v>0</v>
      </c>
      <c r="O40" s="52">
        <f t="shared" si="13"/>
        <v>0</v>
      </c>
      <c r="P40" s="52">
        <f t="shared" si="13"/>
        <v>0</v>
      </c>
      <c r="Q40" s="52">
        <f>1543.55</f>
        <v>1543.55</v>
      </c>
      <c r="R40" s="52">
        <v>0</v>
      </c>
      <c r="S40" s="52">
        <v>0</v>
      </c>
      <c r="T40" s="52">
        <v>0</v>
      </c>
      <c r="U40" s="52">
        <f t="shared" ref="U40:V40" si="14">T40</f>
        <v>0</v>
      </c>
      <c r="V40" s="52">
        <f t="shared" si="14"/>
        <v>0</v>
      </c>
      <c r="W40" s="53">
        <f>SUM(G40:V40)</f>
        <v>226423.31</v>
      </c>
    </row>
    <row r="41" spans="1:23" s="2" customFormat="1">
      <c r="A41" s="32"/>
      <c r="B41" s="9" t="s">
        <v>53</v>
      </c>
      <c r="C41" s="10" t="s">
        <v>30</v>
      </c>
      <c r="D41" s="126" t="s">
        <v>15</v>
      </c>
      <c r="E41" s="16">
        <v>43070</v>
      </c>
      <c r="F41" s="16" t="s">
        <v>16</v>
      </c>
      <c r="G41" s="37">
        <v>0</v>
      </c>
      <c r="H41" s="37">
        <v>0</v>
      </c>
      <c r="I41" s="37">
        <v>0</v>
      </c>
      <c r="J41" s="37">
        <v>0</v>
      </c>
      <c r="K41" s="37">
        <v>0</v>
      </c>
      <c r="L41" s="37">
        <v>0</v>
      </c>
      <c r="M41" s="37">
        <v>0</v>
      </c>
      <c r="N41" s="37">
        <v>0</v>
      </c>
      <c r="O41" s="37">
        <v>0</v>
      </c>
      <c r="P41" s="37">
        <v>0</v>
      </c>
      <c r="Q41" s="37">
        <v>0</v>
      </c>
      <c r="R41" s="37">
        <v>0</v>
      </c>
      <c r="S41" s="37">
        <v>0</v>
      </c>
      <c r="T41" s="37">
        <v>0</v>
      </c>
      <c r="U41" s="37">
        <v>0</v>
      </c>
      <c r="V41" s="175">
        <f>-224880</f>
        <v>-224880</v>
      </c>
      <c r="W41" s="117">
        <f>SUM(G41:V41)</f>
        <v>-224880</v>
      </c>
    </row>
    <row r="42" spans="1:23" s="2" customFormat="1">
      <c r="A42" s="39"/>
      <c r="B42" s="40"/>
      <c r="C42" s="58" t="s">
        <v>56</v>
      </c>
      <c r="D42" s="59"/>
      <c r="E42" s="60"/>
      <c r="F42" s="60"/>
      <c r="G42" s="21">
        <f t="shared" ref="G42:W42" si="15">SUM(G40:G41)</f>
        <v>224879.76</v>
      </c>
      <c r="H42" s="21">
        <f t="shared" si="15"/>
        <v>0</v>
      </c>
      <c r="I42" s="21">
        <f t="shared" si="15"/>
        <v>0</v>
      </c>
      <c r="J42" s="21">
        <f t="shared" si="15"/>
        <v>0</v>
      </c>
      <c r="K42" s="21">
        <f t="shared" si="15"/>
        <v>0</v>
      </c>
      <c r="L42" s="21">
        <f t="shared" si="15"/>
        <v>0</v>
      </c>
      <c r="M42" s="21">
        <f t="shared" si="15"/>
        <v>0</v>
      </c>
      <c r="N42" s="21">
        <f t="shared" si="15"/>
        <v>0</v>
      </c>
      <c r="O42" s="21">
        <f t="shared" si="15"/>
        <v>0</v>
      </c>
      <c r="P42" s="21">
        <f t="shared" si="15"/>
        <v>0</v>
      </c>
      <c r="Q42" s="21">
        <f t="shared" si="15"/>
        <v>1543.55</v>
      </c>
      <c r="R42" s="21">
        <f t="shared" si="15"/>
        <v>0</v>
      </c>
      <c r="S42" s="21">
        <f t="shared" si="15"/>
        <v>0</v>
      </c>
      <c r="T42" s="21">
        <f t="shared" si="15"/>
        <v>0</v>
      </c>
      <c r="U42" s="21">
        <f t="shared" si="15"/>
        <v>0</v>
      </c>
      <c r="V42" s="21">
        <f t="shared" si="15"/>
        <v>-224880</v>
      </c>
      <c r="W42" s="22">
        <f t="shared" si="15"/>
        <v>1543.3099999999977</v>
      </c>
    </row>
    <row r="43" spans="1:23" s="50" customFormat="1" ht="11.25">
      <c r="A43" s="43"/>
      <c r="B43" s="44"/>
      <c r="C43" s="25"/>
      <c r="D43" s="45"/>
      <c r="E43" s="46"/>
      <c r="F43" s="46"/>
      <c r="G43" s="28"/>
      <c r="H43" s="48"/>
      <c r="I43" s="48"/>
      <c r="J43" s="28"/>
      <c r="K43" s="49"/>
      <c r="L43" s="49"/>
      <c r="M43" s="28"/>
      <c r="N43" s="49"/>
      <c r="O43" s="49"/>
      <c r="P43" s="28"/>
      <c r="Q43" s="49"/>
      <c r="R43" s="49"/>
      <c r="S43" s="67"/>
      <c r="T43" s="49"/>
      <c r="U43" s="49"/>
      <c r="V43" s="28"/>
      <c r="W43" s="30"/>
    </row>
    <row r="44" spans="1:23" s="2" customFormat="1" ht="60">
      <c r="A44" s="32">
        <v>18601130</v>
      </c>
      <c r="B44" s="9" t="s">
        <v>57</v>
      </c>
      <c r="C44" s="10" t="s">
        <v>58</v>
      </c>
      <c r="D44" s="65" t="s">
        <v>55</v>
      </c>
      <c r="E44" s="11"/>
      <c r="F44" s="11"/>
      <c r="G44" s="12">
        <v>400495.47</v>
      </c>
      <c r="H44" s="51">
        <v>0</v>
      </c>
      <c r="I44" s="51">
        <f>H44</f>
        <v>0</v>
      </c>
      <c r="J44" s="12">
        <v>0</v>
      </c>
      <c r="K44" s="12">
        <f>J44</f>
        <v>0</v>
      </c>
      <c r="L44" s="12">
        <f t="shared" ref="L44:V45" si="16">K44</f>
        <v>0</v>
      </c>
      <c r="M44" s="12">
        <f t="shared" si="16"/>
        <v>0</v>
      </c>
      <c r="N44" s="12">
        <f t="shared" si="16"/>
        <v>0</v>
      </c>
      <c r="O44" s="12">
        <f t="shared" si="16"/>
        <v>0</v>
      </c>
      <c r="P44" s="12">
        <f t="shared" si="16"/>
        <v>0</v>
      </c>
      <c r="Q44" s="12">
        <f t="shared" si="16"/>
        <v>0</v>
      </c>
      <c r="R44" s="12">
        <f t="shared" si="16"/>
        <v>0</v>
      </c>
      <c r="S44" s="12">
        <f t="shared" si="16"/>
        <v>0</v>
      </c>
      <c r="T44" s="12">
        <f t="shared" si="16"/>
        <v>0</v>
      </c>
      <c r="U44" s="12">
        <f t="shared" si="16"/>
        <v>0</v>
      </c>
      <c r="V44" s="12">
        <f t="shared" si="16"/>
        <v>0</v>
      </c>
      <c r="W44" s="53">
        <f>SUM(G44:V44)</f>
        <v>400495.47</v>
      </c>
    </row>
    <row r="45" spans="1:23" s="2" customFormat="1">
      <c r="A45" s="32"/>
      <c r="B45" s="9" t="s">
        <v>57</v>
      </c>
      <c r="C45" s="68" t="s">
        <v>30</v>
      </c>
      <c r="D45" s="98" t="s">
        <v>15</v>
      </c>
      <c r="E45" s="16">
        <v>43070</v>
      </c>
      <c r="F45" s="16" t="s">
        <v>16</v>
      </c>
      <c r="G45" s="17">
        <v>0</v>
      </c>
      <c r="H45" s="17">
        <v>0</v>
      </c>
      <c r="I45" s="17">
        <v>0</v>
      </c>
      <c r="J45" s="17">
        <v>0</v>
      </c>
      <c r="K45" s="17">
        <v>0</v>
      </c>
      <c r="L45" s="17">
        <f t="shared" si="16"/>
        <v>0</v>
      </c>
      <c r="M45" s="17">
        <f t="shared" si="16"/>
        <v>0</v>
      </c>
      <c r="N45" s="17">
        <f t="shared" si="16"/>
        <v>0</v>
      </c>
      <c r="O45" s="17">
        <f t="shared" si="16"/>
        <v>0</v>
      </c>
      <c r="P45" s="17">
        <f t="shared" si="16"/>
        <v>0</v>
      </c>
      <c r="Q45" s="17">
        <f t="shared" si="16"/>
        <v>0</v>
      </c>
      <c r="R45" s="17">
        <f t="shared" si="16"/>
        <v>0</v>
      </c>
      <c r="S45" s="17">
        <f t="shared" si="16"/>
        <v>0</v>
      </c>
      <c r="T45" s="17">
        <f t="shared" si="16"/>
        <v>0</v>
      </c>
      <c r="U45" s="17">
        <f t="shared" si="16"/>
        <v>0</v>
      </c>
      <c r="V45" s="17">
        <v>-400495</v>
      </c>
      <c r="W45" s="117">
        <f>SUM(G45:V45)</f>
        <v>-400495</v>
      </c>
    </row>
    <row r="46" spans="1:23" s="2" customFormat="1">
      <c r="A46" s="32"/>
      <c r="B46" s="9"/>
      <c r="C46" s="69" t="s">
        <v>59</v>
      </c>
      <c r="D46" s="54"/>
      <c r="E46" s="55"/>
      <c r="F46" s="60"/>
      <c r="G46" s="21">
        <f t="shared" ref="G46:W46" si="17">SUM(G44:G45)</f>
        <v>400495.47</v>
      </c>
      <c r="H46" s="21">
        <f t="shared" si="17"/>
        <v>0</v>
      </c>
      <c r="I46" s="21">
        <f t="shared" si="17"/>
        <v>0</v>
      </c>
      <c r="J46" s="21">
        <f t="shared" si="17"/>
        <v>0</v>
      </c>
      <c r="K46" s="21">
        <f t="shared" si="17"/>
        <v>0</v>
      </c>
      <c r="L46" s="21">
        <f t="shared" si="17"/>
        <v>0</v>
      </c>
      <c r="M46" s="21">
        <f t="shared" si="17"/>
        <v>0</v>
      </c>
      <c r="N46" s="21">
        <f t="shared" si="17"/>
        <v>0</v>
      </c>
      <c r="O46" s="21">
        <f t="shared" si="17"/>
        <v>0</v>
      </c>
      <c r="P46" s="21">
        <f t="shared" si="17"/>
        <v>0</v>
      </c>
      <c r="Q46" s="21">
        <f t="shared" si="17"/>
        <v>0</v>
      </c>
      <c r="R46" s="21">
        <f t="shared" si="17"/>
        <v>0</v>
      </c>
      <c r="S46" s="21">
        <f t="shared" si="17"/>
        <v>0</v>
      </c>
      <c r="T46" s="21">
        <f t="shared" si="17"/>
        <v>0</v>
      </c>
      <c r="U46" s="21">
        <f t="shared" si="17"/>
        <v>0</v>
      </c>
      <c r="V46" s="21">
        <f t="shared" si="17"/>
        <v>-400495</v>
      </c>
      <c r="W46" s="22">
        <f t="shared" si="17"/>
        <v>0.46999999997206032</v>
      </c>
    </row>
    <row r="47" spans="1:23" s="50" customFormat="1" ht="11.25">
      <c r="A47" s="43"/>
      <c r="B47" s="44"/>
      <c r="C47" s="25"/>
      <c r="D47" s="45"/>
      <c r="E47" s="70"/>
      <c r="F47" s="70"/>
      <c r="G47" s="28"/>
      <c r="H47" s="71"/>
      <c r="I47" s="71"/>
      <c r="J47" s="28"/>
      <c r="K47" s="49"/>
      <c r="L47" s="49"/>
      <c r="M47" s="28"/>
      <c r="N47" s="49"/>
      <c r="O47" s="49"/>
      <c r="P47" s="28"/>
      <c r="Q47" s="49"/>
      <c r="R47" s="49"/>
      <c r="S47" s="28"/>
      <c r="T47" s="49"/>
      <c r="U47" s="49"/>
      <c r="V47" s="28"/>
      <c r="W47" s="30"/>
    </row>
    <row r="48" spans="1:23" s="2" customFormat="1" ht="41.45" customHeight="1">
      <c r="A48" s="242" t="s">
        <v>60</v>
      </c>
      <c r="B48" s="243" t="s">
        <v>61</v>
      </c>
      <c r="C48" s="233" t="s">
        <v>62</v>
      </c>
      <c r="D48" s="588" t="s">
        <v>55</v>
      </c>
      <c r="E48" s="563"/>
      <c r="F48" s="244"/>
      <c r="G48" s="245">
        <v>231698.24000000005</v>
      </c>
      <c r="H48" s="246">
        <v>0</v>
      </c>
      <c r="I48" s="246">
        <f>H48</f>
        <v>0</v>
      </c>
      <c r="J48" s="245">
        <v>0</v>
      </c>
      <c r="K48" s="245">
        <f>J48</f>
        <v>0</v>
      </c>
      <c r="L48" s="245">
        <f t="shared" ref="L48:V49" si="18">K48</f>
        <v>0</v>
      </c>
      <c r="M48" s="245">
        <f t="shared" si="18"/>
        <v>0</v>
      </c>
      <c r="N48" s="245">
        <f t="shared" si="18"/>
        <v>0</v>
      </c>
      <c r="O48" s="245">
        <f t="shared" si="18"/>
        <v>0</v>
      </c>
      <c r="P48" s="245">
        <f t="shared" si="18"/>
        <v>0</v>
      </c>
      <c r="Q48" s="245">
        <f t="shared" si="18"/>
        <v>0</v>
      </c>
      <c r="R48" s="245">
        <f>44269.09</f>
        <v>44269.09</v>
      </c>
      <c r="S48" s="245">
        <f>20967.05</f>
        <v>20967.05</v>
      </c>
      <c r="T48" s="245">
        <f>2305.82</f>
        <v>2305.8200000000002</v>
      </c>
      <c r="U48" s="245">
        <v>0</v>
      </c>
      <c r="V48" s="245">
        <f>1700000</f>
        <v>1700000</v>
      </c>
      <c r="W48" s="247">
        <f>SUM(G48:V48)</f>
        <v>1999240.2000000002</v>
      </c>
    </row>
    <row r="49" spans="1:24" s="2" customFormat="1" ht="19.149999999999999" customHeight="1">
      <c r="A49" s="242" t="s">
        <v>63</v>
      </c>
      <c r="B49" s="243" t="s">
        <v>64</v>
      </c>
      <c r="C49" s="233" t="s">
        <v>178</v>
      </c>
      <c r="D49" s="589"/>
      <c r="E49" s="564"/>
      <c r="F49" s="248"/>
      <c r="G49" s="245">
        <v>0</v>
      </c>
      <c r="H49" s="245">
        <v>0</v>
      </c>
      <c r="I49" s="245">
        <v>0</v>
      </c>
      <c r="J49" s="245">
        <v>0</v>
      </c>
      <c r="K49" s="245">
        <v>0</v>
      </c>
      <c r="L49" s="245">
        <v>0</v>
      </c>
      <c r="M49" s="245">
        <v>-105008.2</v>
      </c>
      <c r="N49" s="245">
        <v>0</v>
      </c>
      <c r="O49" s="245">
        <f t="shared" si="18"/>
        <v>0</v>
      </c>
      <c r="P49" s="245">
        <f t="shared" si="18"/>
        <v>0</v>
      </c>
      <c r="Q49" s="245">
        <f t="shared" si="18"/>
        <v>0</v>
      </c>
      <c r="R49" s="245">
        <f t="shared" si="18"/>
        <v>0</v>
      </c>
      <c r="S49" s="245">
        <f t="shared" si="18"/>
        <v>0</v>
      </c>
      <c r="T49" s="245">
        <f t="shared" si="18"/>
        <v>0</v>
      </c>
      <c r="U49" s="245">
        <f t="shared" si="18"/>
        <v>0</v>
      </c>
      <c r="V49" s="245">
        <f t="shared" si="18"/>
        <v>0</v>
      </c>
      <c r="W49" s="247">
        <f t="shared" ref="W49:W50" si="19">SUM(G49:V49)</f>
        <v>-105008.2</v>
      </c>
    </row>
    <row r="50" spans="1:24" s="2" customFormat="1">
      <c r="A50" s="242"/>
      <c r="B50" s="243" t="s">
        <v>61</v>
      </c>
      <c r="C50" s="249" t="s">
        <v>30</v>
      </c>
      <c r="D50" s="250" t="s">
        <v>15</v>
      </c>
      <c r="E50" s="251">
        <v>43070</v>
      </c>
      <c r="F50" s="251" t="s">
        <v>16</v>
      </c>
      <c r="G50" s="252">
        <v>0</v>
      </c>
      <c r="H50" s="252">
        <v>0</v>
      </c>
      <c r="I50" s="252">
        <v>0</v>
      </c>
      <c r="J50" s="252">
        <v>0</v>
      </c>
      <c r="K50" s="253">
        <v>0</v>
      </c>
      <c r="L50" s="253">
        <f t="shared" ref="L50:U50" si="20">K50</f>
        <v>0</v>
      </c>
      <c r="M50" s="253">
        <f t="shared" si="20"/>
        <v>0</v>
      </c>
      <c r="N50" s="253">
        <f t="shared" si="20"/>
        <v>0</v>
      </c>
      <c r="O50" s="253">
        <f t="shared" si="20"/>
        <v>0</v>
      </c>
      <c r="P50" s="253">
        <f t="shared" si="20"/>
        <v>0</v>
      </c>
      <c r="Q50" s="253">
        <f t="shared" si="20"/>
        <v>0</v>
      </c>
      <c r="R50" s="253">
        <f t="shared" si="20"/>
        <v>0</v>
      </c>
      <c r="S50" s="253">
        <f t="shared" si="20"/>
        <v>0</v>
      </c>
      <c r="T50" s="253">
        <f t="shared" si="20"/>
        <v>0</v>
      </c>
      <c r="U50" s="253">
        <f t="shared" si="20"/>
        <v>0</v>
      </c>
      <c r="V50" s="253">
        <v>-231698</v>
      </c>
      <c r="W50" s="254">
        <f t="shared" si="19"/>
        <v>-231698</v>
      </c>
    </row>
    <row r="51" spans="1:24" s="2" customFormat="1">
      <c r="A51" s="242"/>
      <c r="B51" s="243"/>
      <c r="C51" s="255" t="s">
        <v>66</v>
      </c>
      <c r="D51" s="256"/>
      <c r="E51" s="257"/>
      <c r="F51" s="257"/>
      <c r="G51" s="258">
        <f t="shared" ref="G51:V51" si="21">SUM(G48:G50)</f>
        <v>231698.24000000005</v>
      </c>
      <c r="H51" s="258">
        <f t="shared" si="21"/>
        <v>0</v>
      </c>
      <c r="I51" s="258">
        <f t="shared" si="21"/>
        <v>0</v>
      </c>
      <c r="J51" s="258">
        <f t="shared" si="21"/>
        <v>0</v>
      </c>
      <c r="K51" s="258">
        <f t="shared" si="21"/>
        <v>0</v>
      </c>
      <c r="L51" s="258">
        <f t="shared" si="21"/>
        <v>0</v>
      </c>
      <c r="M51" s="258">
        <f t="shared" si="21"/>
        <v>-105008.2</v>
      </c>
      <c r="N51" s="258">
        <f t="shared" si="21"/>
        <v>0</v>
      </c>
      <c r="O51" s="258">
        <f t="shared" si="21"/>
        <v>0</v>
      </c>
      <c r="P51" s="258">
        <f t="shared" si="21"/>
        <v>0</v>
      </c>
      <c r="Q51" s="258">
        <f t="shared" si="21"/>
        <v>0</v>
      </c>
      <c r="R51" s="258">
        <f t="shared" si="21"/>
        <v>44269.09</v>
      </c>
      <c r="S51" s="258">
        <f t="shared" si="21"/>
        <v>20967.05</v>
      </c>
      <c r="T51" s="258">
        <f t="shared" si="21"/>
        <v>2305.8200000000002</v>
      </c>
      <c r="U51" s="258">
        <f t="shared" si="21"/>
        <v>0</v>
      </c>
      <c r="V51" s="258">
        <f t="shared" si="21"/>
        <v>1468302</v>
      </c>
      <c r="W51" s="259">
        <f>SUM(W48:W50)</f>
        <v>1662534.0000000002</v>
      </c>
    </row>
    <row r="52" spans="1:24" s="50" customFormat="1" ht="11.25">
      <c r="A52" s="260"/>
      <c r="B52" s="261"/>
      <c r="C52" s="262"/>
      <c r="D52" s="263"/>
      <c r="E52" s="264"/>
      <c r="F52" s="264"/>
      <c r="G52" s="265"/>
      <c r="H52" s="266"/>
      <c r="I52" s="266"/>
      <c r="J52" s="265"/>
      <c r="K52" s="267"/>
      <c r="L52" s="267"/>
      <c r="M52" s="265"/>
      <c r="N52" s="267"/>
      <c r="O52" s="267"/>
      <c r="P52" s="265"/>
      <c r="Q52" s="267"/>
      <c r="R52" s="267"/>
      <c r="S52" s="268"/>
      <c r="T52" s="267"/>
      <c r="U52" s="267"/>
      <c r="V52" s="265"/>
      <c r="W52" s="269"/>
    </row>
    <row r="53" spans="1:24" s="2" customFormat="1">
      <c r="A53" s="242" t="s">
        <v>67</v>
      </c>
      <c r="B53" s="243" t="s">
        <v>68</v>
      </c>
      <c r="C53" s="233" t="s">
        <v>69</v>
      </c>
      <c r="D53" s="270" t="s">
        <v>29</v>
      </c>
      <c r="E53" s="271"/>
      <c r="F53" s="271"/>
      <c r="G53" s="245">
        <v>695.75</v>
      </c>
      <c r="H53" s="272">
        <v>0</v>
      </c>
      <c r="I53" s="272">
        <v>0</v>
      </c>
      <c r="J53" s="245">
        <v>0</v>
      </c>
      <c r="K53" s="245">
        <f>J53</f>
        <v>0</v>
      </c>
      <c r="L53" s="245">
        <f>K53</f>
        <v>0</v>
      </c>
      <c r="M53" s="245">
        <f t="shared" ref="M53:V54" si="22">L53</f>
        <v>0</v>
      </c>
      <c r="N53" s="245">
        <f t="shared" si="22"/>
        <v>0</v>
      </c>
      <c r="O53" s="245">
        <f t="shared" si="22"/>
        <v>0</v>
      </c>
      <c r="P53" s="245">
        <f t="shared" si="22"/>
        <v>0</v>
      </c>
      <c r="Q53" s="245">
        <f t="shared" si="22"/>
        <v>0</v>
      </c>
      <c r="R53" s="245">
        <f t="shared" si="22"/>
        <v>0</v>
      </c>
      <c r="S53" s="245">
        <f t="shared" si="22"/>
        <v>0</v>
      </c>
      <c r="T53" s="245">
        <f t="shared" si="22"/>
        <v>0</v>
      </c>
      <c r="U53" s="245">
        <f t="shared" si="22"/>
        <v>0</v>
      </c>
      <c r="V53" s="245">
        <f t="shared" si="22"/>
        <v>0</v>
      </c>
      <c r="W53" s="247">
        <f>SUM(G53:V53)</f>
        <v>695.75</v>
      </c>
    </row>
    <row r="54" spans="1:24" s="2" customFormat="1">
      <c r="A54" s="242"/>
      <c r="B54" s="243"/>
      <c r="C54" s="249" t="s">
        <v>30</v>
      </c>
      <c r="D54" s="250" t="s">
        <v>15</v>
      </c>
      <c r="E54" s="251">
        <v>43070</v>
      </c>
      <c r="F54" s="251" t="s">
        <v>16</v>
      </c>
      <c r="G54" s="252">
        <v>0</v>
      </c>
      <c r="H54" s="252">
        <v>0</v>
      </c>
      <c r="I54" s="252">
        <v>0</v>
      </c>
      <c r="J54" s="252">
        <v>0</v>
      </c>
      <c r="K54" s="253">
        <v>0</v>
      </c>
      <c r="L54" s="253">
        <f t="shared" ref="L54" si="23">K54</f>
        <v>0</v>
      </c>
      <c r="M54" s="253">
        <f t="shared" si="22"/>
        <v>0</v>
      </c>
      <c r="N54" s="253">
        <f t="shared" si="22"/>
        <v>0</v>
      </c>
      <c r="O54" s="253">
        <f t="shared" si="22"/>
        <v>0</v>
      </c>
      <c r="P54" s="253">
        <f t="shared" si="22"/>
        <v>0</v>
      </c>
      <c r="Q54" s="253">
        <f t="shared" si="22"/>
        <v>0</v>
      </c>
      <c r="R54" s="253">
        <f t="shared" si="22"/>
        <v>0</v>
      </c>
      <c r="S54" s="253">
        <f t="shared" si="22"/>
        <v>0</v>
      </c>
      <c r="T54" s="253">
        <f t="shared" si="22"/>
        <v>0</v>
      </c>
      <c r="U54" s="253">
        <f t="shared" si="22"/>
        <v>0</v>
      </c>
      <c r="V54" s="253">
        <f>-695.75</f>
        <v>-695.75</v>
      </c>
      <c r="W54" s="254">
        <f t="shared" ref="W54" si="24">SUM(G54:V54)</f>
        <v>-695.75</v>
      </c>
    </row>
    <row r="55" spans="1:24" s="2" customFormat="1">
      <c r="A55" s="242"/>
      <c r="B55" s="243"/>
      <c r="C55" s="255" t="s">
        <v>70</v>
      </c>
      <c r="D55" s="256"/>
      <c r="E55" s="257"/>
      <c r="F55" s="257"/>
      <c r="G55" s="258">
        <f t="shared" ref="G55:V55" si="25">SUM(G53:G54)</f>
        <v>695.75</v>
      </c>
      <c r="H55" s="258">
        <f t="shared" si="25"/>
        <v>0</v>
      </c>
      <c r="I55" s="258">
        <f t="shared" si="25"/>
        <v>0</v>
      </c>
      <c r="J55" s="258">
        <f t="shared" si="25"/>
        <v>0</v>
      </c>
      <c r="K55" s="258">
        <f t="shared" si="25"/>
        <v>0</v>
      </c>
      <c r="L55" s="258">
        <f t="shared" si="25"/>
        <v>0</v>
      </c>
      <c r="M55" s="258">
        <f t="shared" si="25"/>
        <v>0</v>
      </c>
      <c r="N55" s="258">
        <f t="shared" si="25"/>
        <v>0</v>
      </c>
      <c r="O55" s="258">
        <f t="shared" si="25"/>
        <v>0</v>
      </c>
      <c r="P55" s="258">
        <f t="shared" si="25"/>
        <v>0</v>
      </c>
      <c r="Q55" s="258">
        <f t="shared" si="25"/>
        <v>0</v>
      </c>
      <c r="R55" s="258">
        <f t="shared" si="25"/>
        <v>0</v>
      </c>
      <c r="S55" s="258">
        <f t="shared" si="25"/>
        <v>0</v>
      </c>
      <c r="T55" s="258">
        <f t="shared" si="25"/>
        <v>0</v>
      </c>
      <c r="U55" s="258">
        <f t="shared" si="25"/>
        <v>0</v>
      </c>
      <c r="V55" s="258">
        <f t="shared" si="25"/>
        <v>-695.75</v>
      </c>
      <c r="W55" s="259">
        <f>SUM(W53:W54)</f>
        <v>0</v>
      </c>
    </row>
    <row r="56" spans="1:24" s="50" customFormat="1" ht="11.25">
      <c r="A56" s="260"/>
      <c r="B56" s="261"/>
      <c r="C56" s="262"/>
      <c r="D56" s="263"/>
      <c r="E56" s="273"/>
      <c r="F56" s="273"/>
      <c r="G56" s="274"/>
      <c r="H56" s="275"/>
      <c r="I56" s="275"/>
      <c r="J56" s="265"/>
      <c r="K56" s="267"/>
      <c r="L56" s="267"/>
      <c r="M56" s="265"/>
      <c r="N56" s="267"/>
      <c r="O56" s="267"/>
      <c r="P56" s="265"/>
      <c r="Q56" s="267"/>
      <c r="R56" s="267"/>
      <c r="S56" s="268"/>
      <c r="T56" s="267"/>
      <c r="U56" s="267"/>
      <c r="V56" s="265"/>
      <c r="W56" s="269"/>
    </row>
    <row r="57" spans="1:24" s="2" customFormat="1" ht="57.6" customHeight="1">
      <c r="A57" s="242">
        <v>18601129</v>
      </c>
      <c r="B57" s="243" t="s">
        <v>71</v>
      </c>
      <c r="C57" s="233" t="s">
        <v>72</v>
      </c>
      <c r="D57" s="276" t="s">
        <v>55</v>
      </c>
      <c r="E57" s="277">
        <v>2011</v>
      </c>
      <c r="F57" s="277"/>
      <c r="G57" s="278">
        <v>212588.68</v>
      </c>
      <c r="H57" s="272">
        <v>0</v>
      </c>
      <c r="I57" s="272">
        <f>H57</f>
        <v>0</v>
      </c>
      <c r="J57" s="278">
        <v>0</v>
      </c>
      <c r="K57" s="278">
        <f>J57</f>
        <v>0</v>
      </c>
      <c r="L57" s="278">
        <f t="shared" ref="L57:V58" si="26">K57</f>
        <v>0</v>
      </c>
      <c r="M57" s="278">
        <f t="shared" si="26"/>
        <v>0</v>
      </c>
      <c r="N57" s="278">
        <f t="shared" si="26"/>
        <v>0</v>
      </c>
      <c r="O57" s="278">
        <f t="shared" si="26"/>
        <v>0</v>
      </c>
      <c r="P57" s="278">
        <f t="shared" si="26"/>
        <v>0</v>
      </c>
      <c r="Q57" s="278">
        <f t="shared" si="26"/>
        <v>0</v>
      </c>
      <c r="R57" s="278">
        <f t="shared" si="26"/>
        <v>0</v>
      </c>
      <c r="S57" s="278">
        <f t="shared" si="26"/>
        <v>0</v>
      </c>
      <c r="T57" s="278">
        <f t="shared" si="26"/>
        <v>0</v>
      </c>
      <c r="U57" s="278">
        <f t="shared" si="26"/>
        <v>0</v>
      </c>
      <c r="V57" s="278">
        <f t="shared" si="26"/>
        <v>0</v>
      </c>
      <c r="W57" s="247">
        <f>SUM(G57:V57)</f>
        <v>212588.68</v>
      </c>
    </row>
    <row r="58" spans="1:24" s="2" customFormat="1">
      <c r="A58" s="242"/>
      <c r="B58" s="243" t="s">
        <v>71</v>
      </c>
      <c r="C58" s="249" t="s">
        <v>30</v>
      </c>
      <c r="D58" s="250" t="s">
        <v>15</v>
      </c>
      <c r="E58" s="251">
        <v>43070</v>
      </c>
      <c r="F58" s="251" t="s">
        <v>16</v>
      </c>
      <c r="G58" s="252">
        <v>0</v>
      </c>
      <c r="H58" s="252">
        <v>0</v>
      </c>
      <c r="I58" s="252">
        <v>0</v>
      </c>
      <c r="J58" s="252">
        <v>0</v>
      </c>
      <c r="K58" s="253">
        <v>0</v>
      </c>
      <c r="L58" s="253">
        <f t="shared" si="26"/>
        <v>0</v>
      </c>
      <c r="M58" s="253">
        <f t="shared" si="26"/>
        <v>0</v>
      </c>
      <c r="N58" s="253">
        <f t="shared" si="26"/>
        <v>0</v>
      </c>
      <c r="O58" s="253">
        <f t="shared" si="26"/>
        <v>0</v>
      </c>
      <c r="P58" s="253">
        <f t="shared" si="26"/>
        <v>0</v>
      </c>
      <c r="Q58" s="253">
        <f t="shared" si="26"/>
        <v>0</v>
      </c>
      <c r="R58" s="253">
        <f t="shared" si="26"/>
        <v>0</v>
      </c>
      <c r="S58" s="253">
        <f t="shared" si="26"/>
        <v>0</v>
      </c>
      <c r="T58" s="253">
        <f t="shared" si="26"/>
        <v>0</v>
      </c>
      <c r="U58" s="253">
        <f t="shared" si="26"/>
        <v>0</v>
      </c>
      <c r="V58" s="253">
        <v>-212589</v>
      </c>
      <c r="W58" s="254">
        <f t="shared" ref="W58" si="27">SUM(G58:V58)</f>
        <v>-212589</v>
      </c>
    </row>
    <row r="59" spans="1:24" s="2" customFormat="1">
      <c r="A59" s="242"/>
      <c r="B59" s="243"/>
      <c r="C59" s="255" t="s">
        <v>73</v>
      </c>
      <c r="D59" s="279"/>
      <c r="E59" s="257"/>
      <c r="F59" s="257"/>
      <c r="G59" s="258">
        <f>SUM(G57:G58)</f>
        <v>212588.68</v>
      </c>
      <c r="H59" s="258">
        <f t="shared" ref="H59:I59" si="28">SUM(H57:H58)</f>
        <v>0</v>
      </c>
      <c r="I59" s="258">
        <f t="shared" si="28"/>
        <v>0</v>
      </c>
      <c r="J59" s="258">
        <f>SUM(J57:J58)</f>
        <v>0</v>
      </c>
      <c r="K59" s="258">
        <f t="shared" ref="K59:V59" si="29">SUM(K57:K58)</f>
        <v>0</v>
      </c>
      <c r="L59" s="258">
        <f t="shared" si="29"/>
        <v>0</v>
      </c>
      <c r="M59" s="258">
        <f t="shared" si="29"/>
        <v>0</v>
      </c>
      <c r="N59" s="258">
        <f t="shared" si="29"/>
        <v>0</v>
      </c>
      <c r="O59" s="258">
        <f t="shared" si="29"/>
        <v>0</v>
      </c>
      <c r="P59" s="258">
        <f t="shared" si="29"/>
        <v>0</v>
      </c>
      <c r="Q59" s="258">
        <f t="shared" si="29"/>
        <v>0</v>
      </c>
      <c r="R59" s="258">
        <f t="shared" si="29"/>
        <v>0</v>
      </c>
      <c r="S59" s="258">
        <f t="shared" si="29"/>
        <v>0</v>
      </c>
      <c r="T59" s="258">
        <f t="shared" si="29"/>
        <v>0</v>
      </c>
      <c r="U59" s="258">
        <f t="shared" si="29"/>
        <v>0</v>
      </c>
      <c r="V59" s="258">
        <f t="shared" si="29"/>
        <v>-212589</v>
      </c>
      <c r="W59" s="259">
        <f>SUM(W57:W58)</f>
        <v>-0.32000000000698492</v>
      </c>
      <c r="X59" s="75"/>
    </row>
    <row r="60" spans="1:24" s="50" customFormat="1" ht="11.25">
      <c r="A60" s="260"/>
      <c r="B60" s="261"/>
      <c r="C60" s="262"/>
      <c r="D60" s="263"/>
      <c r="E60" s="264"/>
      <c r="F60" s="264"/>
      <c r="G60" s="265"/>
      <c r="H60" s="266"/>
      <c r="I60" s="266"/>
      <c r="J60" s="265"/>
      <c r="K60" s="267"/>
      <c r="L60" s="267"/>
      <c r="M60" s="265"/>
      <c r="N60" s="267"/>
      <c r="O60" s="267"/>
      <c r="P60" s="265"/>
      <c r="Q60" s="267"/>
      <c r="R60" s="267"/>
      <c r="S60" s="268"/>
      <c r="T60" s="267"/>
      <c r="U60" s="267"/>
      <c r="V60" s="265"/>
      <c r="W60" s="269"/>
    </row>
    <row r="61" spans="1:24" s="2" customFormat="1" ht="60">
      <c r="A61" s="242">
        <v>18601151</v>
      </c>
      <c r="B61" s="243" t="s">
        <v>74</v>
      </c>
      <c r="C61" s="233" t="s">
        <v>75</v>
      </c>
      <c r="D61" s="276" t="s">
        <v>55</v>
      </c>
      <c r="E61" s="271">
        <v>2011</v>
      </c>
      <c r="F61" s="271"/>
      <c r="G61" s="245">
        <v>111880.23</v>
      </c>
      <c r="H61" s="272">
        <v>0</v>
      </c>
      <c r="I61" s="272">
        <f>H61</f>
        <v>0</v>
      </c>
      <c r="J61" s="245">
        <v>0</v>
      </c>
      <c r="K61" s="245">
        <f>J61</f>
        <v>0</v>
      </c>
      <c r="L61" s="245">
        <f t="shared" ref="L61:V61" si="30">K61</f>
        <v>0</v>
      </c>
      <c r="M61" s="245">
        <f t="shared" si="30"/>
        <v>0</v>
      </c>
      <c r="N61" s="245">
        <f t="shared" si="30"/>
        <v>0</v>
      </c>
      <c r="O61" s="245">
        <f t="shared" si="30"/>
        <v>0</v>
      </c>
      <c r="P61" s="245">
        <f t="shared" si="30"/>
        <v>0</v>
      </c>
      <c r="Q61" s="245">
        <f t="shared" si="30"/>
        <v>0</v>
      </c>
      <c r="R61" s="245">
        <f t="shared" si="30"/>
        <v>0</v>
      </c>
      <c r="S61" s="245">
        <f t="shared" si="30"/>
        <v>0</v>
      </c>
      <c r="T61" s="245">
        <f t="shared" si="30"/>
        <v>0</v>
      </c>
      <c r="U61" s="245">
        <f t="shared" si="30"/>
        <v>0</v>
      </c>
      <c r="V61" s="245">
        <f t="shared" si="30"/>
        <v>0</v>
      </c>
      <c r="W61" s="247">
        <f>SUM(G61:V61)</f>
        <v>111880.23</v>
      </c>
    </row>
    <row r="62" spans="1:24" s="2" customFormat="1">
      <c r="A62" s="280"/>
      <c r="B62" s="243" t="s">
        <v>74</v>
      </c>
      <c r="C62" s="249" t="s">
        <v>30</v>
      </c>
      <c r="D62" s="250" t="s">
        <v>15</v>
      </c>
      <c r="E62" s="251">
        <v>43070</v>
      </c>
      <c r="F62" s="251" t="s">
        <v>16</v>
      </c>
      <c r="G62" s="252">
        <v>0</v>
      </c>
      <c r="H62" s="281">
        <f>G62</f>
        <v>0</v>
      </c>
      <c r="I62" s="281">
        <f>H62</f>
        <v>0</v>
      </c>
      <c r="J62" s="252">
        <v>0</v>
      </c>
      <c r="K62" s="252">
        <v>0</v>
      </c>
      <c r="L62" s="252">
        <v>0</v>
      </c>
      <c r="M62" s="252">
        <v>0</v>
      </c>
      <c r="N62" s="252">
        <v>0</v>
      </c>
      <c r="O62" s="252">
        <v>0</v>
      </c>
      <c r="P62" s="252">
        <v>0</v>
      </c>
      <c r="Q62" s="252">
        <v>0</v>
      </c>
      <c r="R62" s="252">
        <v>0</v>
      </c>
      <c r="S62" s="252">
        <v>0</v>
      </c>
      <c r="T62" s="252">
        <v>0</v>
      </c>
      <c r="U62" s="252">
        <v>0</v>
      </c>
      <c r="V62" s="252">
        <f>-111880</f>
        <v>-111880</v>
      </c>
      <c r="W62" s="254">
        <f t="shared" ref="W62" si="31">SUM(G62:V62)</f>
        <v>-111880</v>
      </c>
    </row>
    <row r="63" spans="1:24" s="2" customFormat="1">
      <c r="A63" s="280"/>
      <c r="B63" s="233"/>
      <c r="C63" s="255" t="s">
        <v>76</v>
      </c>
      <c r="D63" s="279"/>
      <c r="E63" s="257"/>
      <c r="F63" s="257"/>
      <c r="G63" s="258">
        <f>SUM(G61:G62)</f>
        <v>111880.23</v>
      </c>
      <c r="H63" s="258">
        <f t="shared" ref="H63:I63" si="32">SUM(H61:H62)</f>
        <v>0</v>
      </c>
      <c r="I63" s="258">
        <f t="shared" si="32"/>
        <v>0</v>
      </c>
      <c r="J63" s="258">
        <f>SUM(J61:J62)</f>
        <v>0</v>
      </c>
      <c r="K63" s="258">
        <f t="shared" ref="K63:V63" si="33">SUM(K61:K62)</f>
        <v>0</v>
      </c>
      <c r="L63" s="258">
        <f t="shared" si="33"/>
        <v>0</v>
      </c>
      <c r="M63" s="258">
        <f t="shared" si="33"/>
        <v>0</v>
      </c>
      <c r="N63" s="258">
        <f t="shared" si="33"/>
        <v>0</v>
      </c>
      <c r="O63" s="258">
        <f t="shared" si="33"/>
        <v>0</v>
      </c>
      <c r="P63" s="258">
        <f t="shared" si="33"/>
        <v>0</v>
      </c>
      <c r="Q63" s="258">
        <f t="shared" si="33"/>
        <v>0</v>
      </c>
      <c r="R63" s="258">
        <f t="shared" si="33"/>
        <v>0</v>
      </c>
      <c r="S63" s="258">
        <f t="shared" si="33"/>
        <v>0</v>
      </c>
      <c r="T63" s="258">
        <f t="shared" si="33"/>
        <v>0</v>
      </c>
      <c r="U63" s="258">
        <f t="shared" si="33"/>
        <v>0</v>
      </c>
      <c r="V63" s="258">
        <f t="shared" si="33"/>
        <v>-111880</v>
      </c>
      <c r="W63" s="259">
        <f>SUM(W61:W62)</f>
        <v>0.22999999999592546</v>
      </c>
    </row>
    <row r="64" spans="1:24" s="50" customFormat="1" ht="11.25">
      <c r="A64" s="260"/>
      <c r="B64" s="261"/>
      <c r="C64" s="262"/>
      <c r="D64" s="263"/>
      <c r="E64" s="273"/>
      <c r="F64" s="264"/>
      <c r="G64" s="265"/>
      <c r="H64" s="266"/>
      <c r="I64" s="266"/>
      <c r="J64" s="265"/>
      <c r="K64" s="267"/>
      <c r="L64" s="267"/>
      <c r="M64" s="265"/>
      <c r="N64" s="267"/>
      <c r="O64" s="267"/>
      <c r="P64" s="265"/>
      <c r="Q64" s="267"/>
      <c r="R64" s="267"/>
      <c r="S64" s="268"/>
      <c r="T64" s="267"/>
      <c r="U64" s="267"/>
      <c r="V64" s="282"/>
      <c r="W64" s="269"/>
    </row>
    <row r="65" spans="1:24" s="2" customFormat="1" ht="60">
      <c r="A65" s="242">
        <v>18601163</v>
      </c>
      <c r="B65" s="243" t="s">
        <v>77</v>
      </c>
      <c r="C65" s="233" t="s">
        <v>78</v>
      </c>
      <c r="D65" s="283" t="s">
        <v>55</v>
      </c>
      <c r="E65" s="284"/>
      <c r="F65" s="251"/>
      <c r="G65" s="253">
        <v>0</v>
      </c>
      <c r="H65" s="253">
        <v>0</v>
      </c>
      <c r="I65" s="253">
        <v>0</v>
      </c>
      <c r="J65" s="253">
        <v>0</v>
      </c>
      <c r="K65" s="253">
        <v>0</v>
      </c>
      <c r="L65" s="253">
        <v>0</v>
      </c>
      <c r="M65" s="253">
        <v>0</v>
      </c>
      <c r="N65" s="253">
        <v>0</v>
      </c>
      <c r="O65" s="253">
        <v>56229.11</v>
      </c>
      <c r="P65" s="253">
        <f>2000</f>
        <v>2000</v>
      </c>
      <c r="Q65" s="253">
        <f>4422.5</f>
        <v>4422.5</v>
      </c>
      <c r="R65" s="253">
        <v>0</v>
      </c>
      <c r="S65" s="253">
        <f>9796.79</f>
        <v>9796.7900000000009</v>
      </c>
      <c r="T65" s="253">
        <v>0</v>
      </c>
      <c r="U65" s="253">
        <f>8133.9</f>
        <v>8133.9</v>
      </c>
      <c r="V65" s="253">
        <f>14884.3</f>
        <v>14884.3</v>
      </c>
      <c r="W65" s="254">
        <f>SUM(G65:V65)</f>
        <v>95466.599999999991</v>
      </c>
    </row>
    <row r="66" spans="1:24" s="2" customFormat="1">
      <c r="A66" s="280"/>
      <c r="B66" s="233"/>
      <c r="C66" s="255" t="s">
        <v>79</v>
      </c>
      <c r="D66" s="256"/>
      <c r="E66" s="257"/>
      <c r="F66" s="257"/>
      <c r="G66" s="258">
        <f t="shared" ref="G66:V66" si="34">SUM(G65:G65)</f>
        <v>0</v>
      </c>
      <c r="H66" s="258">
        <f t="shared" si="34"/>
        <v>0</v>
      </c>
      <c r="I66" s="258">
        <f t="shared" si="34"/>
        <v>0</v>
      </c>
      <c r="J66" s="258">
        <f t="shared" si="34"/>
        <v>0</v>
      </c>
      <c r="K66" s="258">
        <f t="shared" si="34"/>
        <v>0</v>
      </c>
      <c r="L66" s="258">
        <f t="shared" si="34"/>
        <v>0</v>
      </c>
      <c r="M66" s="258">
        <f t="shared" si="34"/>
        <v>0</v>
      </c>
      <c r="N66" s="258">
        <f t="shared" si="34"/>
        <v>0</v>
      </c>
      <c r="O66" s="258">
        <f t="shared" si="34"/>
        <v>56229.11</v>
      </c>
      <c r="P66" s="258">
        <f t="shared" si="34"/>
        <v>2000</v>
      </c>
      <c r="Q66" s="258">
        <f t="shared" si="34"/>
        <v>4422.5</v>
      </c>
      <c r="R66" s="258">
        <f t="shared" si="34"/>
        <v>0</v>
      </c>
      <c r="S66" s="258">
        <f t="shared" si="34"/>
        <v>9796.7900000000009</v>
      </c>
      <c r="T66" s="258">
        <f t="shared" si="34"/>
        <v>0</v>
      </c>
      <c r="U66" s="258">
        <f t="shared" si="34"/>
        <v>8133.9</v>
      </c>
      <c r="V66" s="258">
        <f t="shared" si="34"/>
        <v>14884.3</v>
      </c>
      <c r="W66" s="259">
        <f>SUM(W65:W65)</f>
        <v>95466.599999999991</v>
      </c>
    </row>
    <row r="67" spans="1:24" s="50" customFormat="1" ht="11.25">
      <c r="A67" s="260"/>
      <c r="B67" s="261"/>
      <c r="C67" s="262"/>
      <c r="D67" s="263"/>
      <c r="E67" s="264"/>
      <c r="F67" s="264"/>
      <c r="G67" s="265"/>
      <c r="H67" s="266"/>
      <c r="I67" s="266"/>
      <c r="J67" s="265"/>
      <c r="K67" s="267"/>
      <c r="L67" s="267"/>
      <c r="M67" s="265"/>
      <c r="N67" s="267"/>
      <c r="O67" s="267"/>
      <c r="P67" s="265"/>
      <c r="Q67" s="267"/>
      <c r="R67" s="267"/>
      <c r="S67" s="268"/>
      <c r="T67" s="267"/>
      <c r="U67" s="267"/>
      <c r="V67" s="265"/>
      <c r="W67" s="269"/>
    </row>
    <row r="68" spans="1:24" s="2" customFormat="1">
      <c r="A68" s="280"/>
      <c r="B68" s="243" t="s">
        <v>84</v>
      </c>
      <c r="C68" s="233" t="s">
        <v>85</v>
      </c>
      <c r="D68" s="285" t="s">
        <v>86</v>
      </c>
      <c r="E68" s="286" t="s">
        <v>87</v>
      </c>
      <c r="F68" s="286"/>
      <c r="G68" s="245">
        <v>-4610484.08</v>
      </c>
      <c r="H68" s="287">
        <v>0</v>
      </c>
      <c r="I68" s="287">
        <f>H68</f>
        <v>0</v>
      </c>
      <c r="J68" s="245">
        <v>0</v>
      </c>
      <c r="K68" s="245">
        <f>J68</f>
        <v>0</v>
      </c>
      <c r="L68" s="245">
        <f t="shared" ref="L68:U69" si="35">K68</f>
        <v>0</v>
      </c>
      <c r="M68" s="245">
        <f t="shared" si="35"/>
        <v>0</v>
      </c>
      <c r="N68" s="245">
        <f t="shared" si="35"/>
        <v>0</v>
      </c>
      <c r="O68" s="245">
        <f t="shared" si="35"/>
        <v>0</v>
      </c>
      <c r="P68" s="245">
        <f t="shared" si="35"/>
        <v>0</v>
      </c>
      <c r="Q68" s="245">
        <f t="shared" si="35"/>
        <v>0</v>
      </c>
      <c r="R68" s="245">
        <f t="shared" si="35"/>
        <v>0</v>
      </c>
      <c r="S68" s="245">
        <f t="shared" si="35"/>
        <v>0</v>
      </c>
      <c r="T68" s="245">
        <f t="shared" si="35"/>
        <v>0</v>
      </c>
      <c r="U68" s="245">
        <f t="shared" si="35"/>
        <v>0</v>
      </c>
      <c r="V68" s="245">
        <f>U68</f>
        <v>0</v>
      </c>
      <c r="W68" s="247">
        <f t="shared" ref="W68:W69" si="36">SUM(G68:V68)</f>
        <v>-4610484.08</v>
      </c>
    </row>
    <row r="69" spans="1:24" s="2" customFormat="1">
      <c r="A69" s="280"/>
      <c r="B69" s="243" t="s">
        <v>84</v>
      </c>
      <c r="C69" s="249" t="s">
        <v>30</v>
      </c>
      <c r="D69" s="250" t="s">
        <v>15</v>
      </c>
      <c r="E69" s="251">
        <v>43070</v>
      </c>
      <c r="F69" s="251" t="s">
        <v>16</v>
      </c>
      <c r="G69" s="253">
        <v>0</v>
      </c>
      <c r="H69" s="253">
        <v>0</v>
      </c>
      <c r="I69" s="253">
        <v>0</v>
      </c>
      <c r="J69" s="253">
        <v>0</v>
      </c>
      <c r="K69" s="253">
        <v>0</v>
      </c>
      <c r="L69" s="253">
        <v>0</v>
      </c>
      <c r="M69" s="253">
        <v>0</v>
      </c>
      <c r="N69" s="253">
        <v>0</v>
      </c>
      <c r="O69" s="253">
        <f>N69</f>
        <v>0</v>
      </c>
      <c r="P69" s="253">
        <f t="shared" si="35"/>
        <v>0</v>
      </c>
      <c r="Q69" s="253">
        <f t="shared" si="35"/>
        <v>0</v>
      </c>
      <c r="R69" s="253">
        <f t="shared" si="35"/>
        <v>0</v>
      </c>
      <c r="S69" s="253">
        <f t="shared" si="35"/>
        <v>0</v>
      </c>
      <c r="T69" s="253">
        <f t="shared" si="35"/>
        <v>0</v>
      </c>
      <c r="U69" s="253">
        <f t="shared" si="35"/>
        <v>0</v>
      </c>
      <c r="V69" s="253">
        <v>1743761.81</v>
      </c>
      <c r="W69" s="254">
        <f t="shared" si="36"/>
        <v>1743761.81</v>
      </c>
    </row>
    <row r="70" spans="1:24" s="2" customFormat="1">
      <c r="A70" s="280"/>
      <c r="B70" s="233"/>
      <c r="C70" s="255" t="s">
        <v>88</v>
      </c>
      <c r="D70" s="285"/>
      <c r="E70" s="230"/>
      <c r="F70" s="288"/>
      <c r="G70" s="258">
        <f>SUM(G68:G69)</f>
        <v>-4610484.08</v>
      </c>
      <c r="H70" s="258">
        <f t="shared" ref="H70:I70" si="37">SUM(H68:H69)</f>
        <v>0</v>
      </c>
      <c r="I70" s="258">
        <f t="shared" si="37"/>
        <v>0</v>
      </c>
      <c r="J70" s="258">
        <f>SUM(J68:J69)</f>
        <v>0</v>
      </c>
      <c r="K70" s="258">
        <f t="shared" ref="K70:U70" si="38">SUM(K68:K69)</f>
        <v>0</v>
      </c>
      <c r="L70" s="258">
        <f t="shared" si="38"/>
        <v>0</v>
      </c>
      <c r="M70" s="258">
        <f t="shared" si="38"/>
        <v>0</v>
      </c>
      <c r="N70" s="258">
        <f t="shared" si="38"/>
        <v>0</v>
      </c>
      <c r="O70" s="258">
        <f t="shared" si="38"/>
        <v>0</v>
      </c>
      <c r="P70" s="258">
        <f t="shared" si="38"/>
        <v>0</v>
      </c>
      <c r="Q70" s="258">
        <f t="shared" si="38"/>
        <v>0</v>
      </c>
      <c r="R70" s="258">
        <f t="shared" si="38"/>
        <v>0</v>
      </c>
      <c r="S70" s="258">
        <f t="shared" si="38"/>
        <v>0</v>
      </c>
      <c r="T70" s="258">
        <f t="shared" si="38"/>
        <v>0</v>
      </c>
      <c r="U70" s="258">
        <f t="shared" si="38"/>
        <v>0</v>
      </c>
      <c r="V70" s="258">
        <f>SUM(V68:V69)</f>
        <v>1743761.81</v>
      </c>
      <c r="W70" s="259">
        <f>SUM(W67:W69)</f>
        <v>-2866722.27</v>
      </c>
    </row>
    <row r="71" spans="1:24" s="50" customFormat="1" ht="11.25">
      <c r="A71" s="260"/>
      <c r="B71" s="261"/>
      <c r="C71" s="262"/>
      <c r="D71" s="263"/>
      <c r="E71" s="264"/>
      <c r="F71" s="264"/>
      <c r="G71" s="265"/>
      <c r="H71" s="266"/>
      <c r="I71" s="266"/>
      <c r="J71" s="265"/>
      <c r="K71" s="267"/>
      <c r="L71" s="267"/>
      <c r="M71" s="265"/>
      <c r="N71" s="267"/>
      <c r="O71" s="267"/>
      <c r="P71" s="265"/>
      <c r="Q71" s="267"/>
      <c r="R71" s="267"/>
      <c r="S71" s="268"/>
      <c r="T71" s="267"/>
      <c r="U71" s="267"/>
      <c r="V71" s="265"/>
      <c r="W71" s="269"/>
    </row>
    <row r="72" spans="1:24">
      <c r="A72" s="289"/>
      <c r="B72" s="290"/>
      <c r="C72" s="290"/>
      <c r="D72" s="291"/>
      <c r="E72" s="292"/>
      <c r="F72" s="292"/>
      <c r="G72" s="293"/>
      <c r="H72" s="294"/>
      <c r="I72" s="294"/>
      <c r="J72" s="294"/>
      <c r="K72" s="294"/>
      <c r="L72" s="294"/>
      <c r="M72" s="294"/>
      <c r="N72" s="294"/>
      <c r="O72" s="294"/>
      <c r="P72" s="294"/>
      <c r="Q72" s="294"/>
      <c r="R72" s="294"/>
      <c r="S72" s="294"/>
      <c r="T72" s="294"/>
      <c r="U72" s="293"/>
      <c r="V72" s="293"/>
      <c r="W72" s="295"/>
    </row>
    <row r="73" spans="1:24" ht="15.75" thickBot="1">
      <c r="A73" s="289"/>
      <c r="B73" s="290"/>
      <c r="C73" s="296" t="s">
        <v>89</v>
      </c>
      <c r="D73" s="297"/>
      <c r="E73" s="298"/>
      <c r="F73" s="298"/>
      <c r="G73" s="299">
        <f>G8+G12+G17+G21+G25+G29+G34+G38+G42+G46+G51+G55+G59+G63+G66+G70</f>
        <v>4252202.8599999994</v>
      </c>
      <c r="H73" s="299">
        <f t="shared" ref="H73:V73" si="39">H8+H12+H17+H21+H25+H29+H34+H38+H42+H46+H51+H55+H59+H63+H66+H70</f>
        <v>-108353.60000000001</v>
      </c>
      <c r="I73" s="299">
        <f t="shared" si="39"/>
        <v>219824.44999999998</v>
      </c>
      <c r="J73" s="299">
        <f t="shared" si="39"/>
        <v>-35090.879999999997</v>
      </c>
      <c r="K73" s="299">
        <f t="shared" si="39"/>
        <v>132392.37</v>
      </c>
      <c r="L73" s="299">
        <f t="shared" si="39"/>
        <v>51272.429999999993</v>
      </c>
      <c r="M73" s="299">
        <f t="shared" si="39"/>
        <v>218035.90999999997</v>
      </c>
      <c r="N73" s="299">
        <f t="shared" si="39"/>
        <v>85403.28</v>
      </c>
      <c r="O73" s="299">
        <f t="shared" si="39"/>
        <v>122030.25</v>
      </c>
      <c r="P73" s="299">
        <f t="shared" si="39"/>
        <v>113517.43</v>
      </c>
      <c r="Q73" s="299">
        <f t="shared" si="39"/>
        <v>57511.93</v>
      </c>
      <c r="R73" s="299">
        <f t="shared" si="39"/>
        <v>89191.159999999989</v>
      </c>
      <c r="S73" s="299">
        <f t="shared" si="39"/>
        <v>16231.119999999999</v>
      </c>
      <c r="T73" s="299">
        <f t="shared" si="39"/>
        <v>28150.49</v>
      </c>
      <c r="U73" s="299">
        <f t="shared" si="39"/>
        <v>13675.9</v>
      </c>
      <c r="V73" s="299">
        <f t="shared" si="39"/>
        <v>-5188503.1100000013</v>
      </c>
      <c r="W73" s="300">
        <f>W8+W12+W17+W21+W25+W29+W34+W38+W42+W46+W51+W55+W59+W63+W66+W70</f>
        <v>67491.990000000224</v>
      </c>
    </row>
    <row r="74" spans="1:24" s="50" customFormat="1" ht="12.75" thickTop="1" thickBot="1">
      <c r="A74" s="88"/>
      <c r="B74" s="89"/>
      <c r="C74" s="90"/>
      <c r="D74" s="91"/>
      <c r="E74" s="91"/>
      <c r="F74" s="91"/>
      <c r="G74" s="92"/>
      <c r="H74" s="91"/>
      <c r="I74" s="91"/>
      <c r="J74" s="92"/>
      <c r="K74" s="93"/>
      <c r="L74" s="93"/>
      <c r="M74" s="92"/>
      <c r="N74" s="93"/>
      <c r="O74" s="93"/>
      <c r="P74" s="92"/>
      <c r="Q74" s="93"/>
      <c r="R74" s="93"/>
      <c r="S74" s="92"/>
      <c r="T74" s="93"/>
      <c r="U74" s="93"/>
      <c r="V74" s="92"/>
      <c r="W74" s="150"/>
    </row>
    <row r="75" spans="1:24">
      <c r="V75" s="31"/>
      <c r="W75" s="535"/>
    </row>
    <row r="76" spans="1:24">
      <c r="W76" s="35"/>
    </row>
    <row r="77" spans="1:24">
      <c r="W77" s="35"/>
    </row>
    <row r="78" spans="1:24">
      <c r="W78" s="35"/>
    </row>
    <row r="79" spans="1:24" s="2" customFormat="1">
      <c r="A79" s="1"/>
      <c r="B79"/>
      <c r="C79"/>
      <c r="D79"/>
      <c r="E79"/>
      <c r="F79"/>
      <c r="G79" s="94"/>
      <c r="U79"/>
      <c r="V79"/>
      <c r="W79" s="35"/>
      <c r="X79"/>
    </row>
    <row r="80" spans="1:24">
      <c r="W80" s="35"/>
    </row>
    <row r="81" spans="23:23">
      <c r="W81" s="35"/>
    </row>
    <row r="82" spans="23:23">
      <c r="W82" s="35"/>
    </row>
    <row r="83" spans="23:23">
      <c r="W83" s="35"/>
    </row>
    <row r="84" spans="23:23">
      <c r="W84" s="35"/>
    </row>
    <row r="85" spans="23:23">
      <c r="W85" s="35"/>
    </row>
    <row r="86" spans="23:23">
      <c r="W86" s="35"/>
    </row>
    <row r="87" spans="23:23">
      <c r="W87" s="35"/>
    </row>
    <row r="88" spans="23:23">
      <c r="W88" s="35"/>
    </row>
    <row r="89" spans="23:23">
      <c r="W89" s="35"/>
    </row>
  </sheetData>
  <mergeCells count="9">
    <mergeCell ref="D48:D49"/>
    <mergeCell ref="E48:E49"/>
    <mergeCell ref="A1:V1"/>
    <mergeCell ref="A2:V2"/>
    <mergeCell ref="A3:V3"/>
    <mergeCell ref="D14:D15"/>
    <mergeCell ref="E14:E15"/>
    <mergeCell ref="D31:D32"/>
    <mergeCell ref="E31:E32"/>
  </mergeCells>
  <printOptions horizontalCentered="1"/>
  <pageMargins left="0.2" right="0.2" top="0.5" bottom="0.5" header="0.3" footer="0.3"/>
  <pageSetup scale="40" fitToHeight="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zoomScaleNormal="100" workbookViewId="0">
      <pane xSplit="1" ySplit="6" topLeftCell="B16" activePane="bottomRight" state="frozen"/>
      <selection activeCell="D12" sqref="D12"/>
      <selection pane="topRight" activeCell="D12" sqref="D12"/>
      <selection pane="bottomLeft" activeCell="D12" sqref="D12"/>
      <selection pane="bottomRight" activeCell="H29" sqref="H29"/>
    </sheetView>
  </sheetViews>
  <sheetFormatPr defaultRowHeight="15"/>
  <cols>
    <col min="1" max="1" width="19.28515625" customWidth="1"/>
    <col min="2" max="2" width="20.42578125" customWidth="1"/>
    <col min="3" max="3" width="13.5703125" customWidth="1"/>
    <col min="4" max="4" width="42.7109375" customWidth="1"/>
    <col min="5" max="5" width="14.28515625" customWidth="1"/>
    <col min="6" max="6" width="1.28515625" customWidth="1"/>
    <col min="7" max="7" width="11" bestFit="1" customWidth="1"/>
    <col min="8" max="8" width="12.85546875" bestFit="1" customWidth="1"/>
    <col min="9" max="9" width="15.85546875" bestFit="1" customWidth="1"/>
    <col min="10" max="10" width="12.7109375" customWidth="1"/>
    <col min="11" max="11" width="6.7109375" bestFit="1" customWidth="1"/>
    <col min="12" max="12" width="11.7109375" style="177" bestFit="1" customWidth="1"/>
    <col min="13" max="13" width="10.42578125" style="177" bestFit="1" customWidth="1"/>
    <col min="14" max="14" width="11.140625" style="177" bestFit="1" customWidth="1"/>
    <col min="15" max="16" width="12.140625" style="177" bestFit="1" customWidth="1"/>
  </cols>
  <sheetData>
    <row r="1" spans="1:16" ht="15.75">
      <c r="A1" s="585" t="s">
        <v>0</v>
      </c>
      <c r="B1" s="585"/>
      <c r="C1" s="585"/>
      <c r="D1" s="585"/>
      <c r="E1" s="585"/>
      <c r="F1" s="585"/>
      <c r="G1" s="585"/>
      <c r="H1" s="585"/>
      <c r="I1" s="585"/>
      <c r="J1" s="585"/>
    </row>
    <row r="2" spans="1:16" ht="15.75">
      <c r="A2" s="585" t="s">
        <v>179</v>
      </c>
      <c r="B2" s="585"/>
      <c r="C2" s="585"/>
      <c r="D2" s="585"/>
      <c r="E2" s="585"/>
      <c r="F2" s="585"/>
      <c r="G2" s="585"/>
      <c r="H2" s="585"/>
      <c r="I2" s="585"/>
      <c r="J2" s="585"/>
    </row>
    <row r="3" spans="1:16" ht="15.75">
      <c r="A3" s="585" t="s">
        <v>140</v>
      </c>
      <c r="B3" s="585"/>
      <c r="C3" s="585"/>
      <c r="D3" s="585"/>
      <c r="E3" s="585"/>
      <c r="F3" s="585"/>
      <c r="G3" s="585"/>
      <c r="H3" s="585"/>
      <c r="I3" s="585"/>
      <c r="J3" s="585"/>
    </row>
    <row r="4" spans="1:16" ht="16.5" thickBot="1">
      <c r="A4" s="152"/>
      <c r="B4" s="152"/>
      <c r="C4" s="152"/>
      <c r="F4" s="35"/>
      <c r="G4" s="35"/>
      <c r="H4" s="35"/>
      <c r="I4" s="35"/>
      <c r="J4" s="35"/>
    </row>
    <row r="5" spans="1:16" ht="19.5" thickBot="1">
      <c r="A5" s="153"/>
      <c r="B5" s="153"/>
      <c r="C5" s="153"/>
      <c r="E5" s="154"/>
      <c r="F5" s="208"/>
      <c r="G5" s="586" t="s">
        <v>141</v>
      </c>
      <c r="H5" s="586"/>
      <c r="I5" s="586"/>
      <c r="J5" s="587"/>
      <c r="L5"/>
      <c r="M5"/>
      <c r="N5"/>
      <c r="O5"/>
      <c r="P5"/>
    </row>
    <row r="6" spans="1:16" ht="46.15" customHeight="1" thickBot="1">
      <c r="A6" s="155" t="s">
        <v>4</v>
      </c>
      <c r="B6" s="4" t="s">
        <v>142</v>
      </c>
      <c r="C6" s="4" t="s">
        <v>383</v>
      </c>
      <c r="D6" s="549" t="s">
        <v>5</v>
      </c>
      <c r="E6" s="156" t="s">
        <v>143</v>
      </c>
      <c r="F6" s="209"/>
      <c r="G6" s="210" t="s">
        <v>144</v>
      </c>
      <c r="H6" s="210" t="s">
        <v>145</v>
      </c>
      <c r="I6" s="210" t="s">
        <v>146</v>
      </c>
      <c r="J6" s="211" t="s">
        <v>147</v>
      </c>
      <c r="K6" s="178"/>
      <c r="L6"/>
      <c r="M6"/>
      <c r="N6"/>
      <c r="O6"/>
      <c r="P6"/>
    </row>
    <row r="7" spans="1:16" s="2" customFormat="1">
      <c r="A7" s="301" t="s">
        <v>235</v>
      </c>
      <c r="B7" s="302" t="s">
        <v>180</v>
      </c>
      <c r="C7" s="547" t="s">
        <v>382</v>
      </c>
      <c r="D7" s="303" t="s">
        <v>181</v>
      </c>
      <c r="E7" s="304">
        <f>'GAS Activity Q4 2016 -2017'!G6</f>
        <v>785957.33000000007</v>
      </c>
      <c r="F7" s="304"/>
      <c r="G7" s="304">
        <f>'GAS Activity Q4 2016 -2017'!W6-'GAS Activity Q4 2016 -2017'!G6</f>
        <v>30496.800000000047</v>
      </c>
      <c r="H7" s="304">
        <v>0</v>
      </c>
      <c r="I7" s="304">
        <f>'GAS Activity Q4 2016 -2017'!W7</f>
        <v>-785957.33</v>
      </c>
      <c r="J7" s="305">
        <f>SUM(E7:I7)</f>
        <v>30496.800000000163</v>
      </c>
      <c r="K7" s="179"/>
      <c r="L7"/>
      <c r="M7"/>
      <c r="N7"/>
      <c r="O7"/>
      <c r="P7"/>
    </row>
    <row r="8" spans="1:16" s="2" customFormat="1" ht="30">
      <c r="A8" s="306" t="s">
        <v>236</v>
      </c>
      <c r="B8" s="307" t="s">
        <v>180</v>
      </c>
      <c r="C8" s="550" t="s">
        <v>382</v>
      </c>
      <c r="D8" s="308" t="s">
        <v>182</v>
      </c>
      <c r="E8" s="309">
        <f>'GAS Activity Q4 2016 -2017'!G10+'GAS Activity Q4 2016 -2017'!G12</f>
        <v>5369989.620000001</v>
      </c>
      <c r="F8" s="309"/>
      <c r="G8" s="309">
        <f>'GAS Activity Q4 2016 -2017'!W10+'GAS Activity Q4 2016 -2017'!W12-'GAS Activity Q4 2016 -2017'!G10-'GAS Activity Q4 2016 -2017'!G12</f>
        <v>7779.1499999994412</v>
      </c>
      <c r="H8" s="309">
        <f>'GAS Activity Q4 2016 -2017'!W11</f>
        <v>-3488999.0999999996</v>
      </c>
      <c r="I8" s="309">
        <f>'GAS Activity Q4 2016 -2017'!W13+'GAS Activity Q4 2016 -2017'!W14+'GAS Activity Q4 2016 -2017'!W15</f>
        <v>-1880990.52</v>
      </c>
      <c r="J8" s="310">
        <f>SUM(E8:I8)</f>
        <v>7779.1500000008382</v>
      </c>
      <c r="K8" s="179"/>
      <c r="L8"/>
      <c r="M8"/>
      <c r="N8"/>
      <c r="O8"/>
      <c r="P8"/>
    </row>
    <row r="9" spans="1:16" s="2" customFormat="1" ht="30">
      <c r="A9" s="306" t="s">
        <v>237</v>
      </c>
      <c r="B9" s="307" t="s">
        <v>183</v>
      </c>
      <c r="C9" s="550" t="s">
        <v>382</v>
      </c>
      <c r="D9" s="311" t="s">
        <v>184</v>
      </c>
      <c r="E9" s="309">
        <f>'GAS Activity Q4 2016 -2017'!G18</f>
        <v>1470852.25</v>
      </c>
      <c r="F9" s="309"/>
      <c r="G9" s="309">
        <f>'GAS Activity Q4 2016 -2017'!W18-'GAS Activity Q4 2016 -2017'!G18</f>
        <v>14784.310000000056</v>
      </c>
      <c r="H9" s="309">
        <f>'GAS Activity Q4 2016 -2017'!W19</f>
        <v>-801550.75</v>
      </c>
      <c r="I9" s="309">
        <f>'GAS Activity Q4 2016 -2017'!W20+'GAS Activity Q4 2016 -2017'!W21</f>
        <v>-669301.5</v>
      </c>
      <c r="J9" s="310">
        <f>'GAS Actual Q4 2016 -2017'!V22</f>
        <v>14784.310000000056</v>
      </c>
      <c r="K9" s="179"/>
      <c r="L9"/>
      <c r="M9"/>
      <c r="N9"/>
      <c r="O9"/>
      <c r="P9"/>
    </row>
    <row r="10" spans="1:16" s="2" customFormat="1">
      <c r="A10" s="312" t="s">
        <v>238</v>
      </c>
      <c r="B10" s="307" t="s">
        <v>180</v>
      </c>
      <c r="C10" s="550" t="s">
        <v>382</v>
      </c>
      <c r="D10" s="311" t="s">
        <v>185</v>
      </c>
      <c r="E10" s="309">
        <f>'GAS Activity Q4 2016 -2017'!G24</f>
        <v>3961262</v>
      </c>
      <c r="F10" s="309"/>
      <c r="G10" s="309">
        <f>'GAS Activity Q4 2016 -2017'!W24-'GAS Activity Q4 2016 -2017'!G24</f>
        <v>9706.3899999996647</v>
      </c>
      <c r="H10" s="309">
        <v>0</v>
      </c>
      <c r="I10" s="309">
        <f>'GAS Activity Q4 2016 -2017'!W25</f>
        <v>-3961262</v>
      </c>
      <c r="J10" s="310">
        <f t="shared" ref="J10:J23" si="0">SUM(E10:I10)</f>
        <v>9706.3899999996647</v>
      </c>
      <c r="K10" s="179"/>
      <c r="L10"/>
      <c r="M10"/>
      <c r="N10"/>
      <c r="O10"/>
      <c r="P10"/>
    </row>
    <row r="11" spans="1:16" s="2" customFormat="1" ht="45">
      <c r="A11" s="306" t="s">
        <v>239</v>
      </c>
      <c r="B11" s="307" t="s">
        <v>180</v>
      </c>
      <c r="C11" s="550" t="s">
        <v>382</v>
      </c>
      <c r="D11" s="311" t="s">
        <v>186</v>
      </c>
      <c r="E11" s="309">
        <f>'GAS Activity Q4 2016 -2017'!G28+'GAS Activity Q4 2016 -2017'!G29+'GAS Activity Q4 2016 -2017'!G30</f>
        <v>21928910.07</v>
      </c>
      <c r="F11" s="309"/>
      <c r="G11" s="309">
        <f>SUM('GAS Activity Q4 2016 -2017'!W28:W30)-SUM('GAS Activity Q4 2016 -2017'!G28:G30)</f>
        <v>2666214.1800000034</v>
      </c>
      <c r="H11" s="309">
        <f>'GAS Activity Q4 2016 -2017'!W31</f>
        <v>-499235.72</v>
      </c>
      <c r="I11" s="309">
        <f>SUM('GAS Activity Q4 2016 -2017'!W32:W34)</f>
        <v>-21928910.07</v>
      </c>
      <c r="J11" s="310">
        <f t="shared" si="0"/>
        <v>2166978.4600000046</v>
      </c>
      <c r="K11" s="179"/>
      <c r="L11"/>
      <c r="M11"/>
      <c r="N11"/>
      <c r="O11"/>
      <c r="P11"/>
    </row>
    <row r="12" spans="1:16" s="2" customFormat="1">
      <c r="A12" s="229" t="s">
        <v>240</v>
      </c>
      <c r="B12" s="307" t="s">
        <v>180</v>
      </c>
      <c r="C12" s="550" t="s">
        <v>382</v>
      </c>
      <c r="D12" s="311" t="s">
        <v>187</v>
      </c>
      <c r="E12" s="309">
        <f>'GAS Activity Q4 2016 -2017'!G37</f>
        <v>227819.36</v>
      </c>
      <c r="F12" s="309"/>
      <c r="G12" s="309">
        <f>'GAS Activity Q4 2016 -2017'!W37-'GAS Activity Q4 2016 -2017'!G37</f>
        <v>66428.640000000014</v>
      </c>
      <c r="H12" s="309">
        <v>0</v>
      </c>
      <c r="I12" s="309">
        <f>'GAS Activity Q4 2016 -2017'!W38</f>
        <v>-227819.36</v>
      </c>
      <c r="J12" s="310">
        <f t="shared" si="0"/>
        <v>66428.640000000014</v>
      </c>
      <c r="K12" s="179"/>
      <c r="L12"/>
      <c r="M12"/>
      <c r="N12"/>
      <c r="O12"/>
      <c r="P12"/>
    </row>
    <row r="13" spans="1:16" s="2" customFormat="1">
      <c r="A13" s="229" t="s">
        <v>241</v>
      </c>
      <c r="B13" s="307" t="s">
        <v>183</v>
      </c>
      <c r="C13" s="550" t="s">
        <v>382</v>
      </c>
      <c r="D13" s="311" t="s">
        <v>188</v>
      </c>
      <c r="E13" s="309">
        <f>'GAS Activity Q4 2016 -2017'!G41+'GAS Activity Q4 2016 -2017'!G42</f>
        <v>39029531.229999997</v>
      </c>
      <c r="F13" s="309"/>
      <c r="G13" s="309">
        <f>SUM('GAS Activity Q4 2016 -2017'!W41:W42)-SUM('GAS Activity Q4 2016 -2017'!G41:G42)</f>
        <v>467714.99000000209</v>
      </c>
      <c r="H13" s="309">
        <v>0</v>
      </c>
      <c r="I13" s="309">
        <f>'GAS Activity Q4 2016 -2017'!V43</f>
        <v>-39029531.229999997</v>
      </c>
      <c r="J13" s="310">
        <f t="shared" si="0"/>
        <v>467714.99000000209</v>
      </c>
      <c r="K13" s="179"/>
      <c r="L13"/>
      <c r="M13"/>
      <c r="N13"/>
      <c r="O13"/>
      <c r="P13"/>
    </row>
    <row r="14" spans="1:16" s="2" customFormat="1">
      <c r="A14" s="229" t="s">
        <v>242</v>
      </c>
      <c r="B14" s="307" t="s">
        <v>180</v>
      </c>
      <c r="C14" s="550" t="s">
        <v>382</v>
      </c>
      <c r="D14" s="311" t="s">
        <v>189</v>
      </c>
      <c r="E14" s="309">
        <f>'GAS Activity Q4 2016 -2017'!G46</f>
        <v>436858.74</v>
      </c>
      <c r="F14" s="309"/>
      <c r="G14" s="309">
        <f>'GAS Activity Q4 2016 -2017'!W46-'GAS Activity Q4 2016 -2017'!G46</f>
        <v>644675.18000000017</v>
      </c>
      <c r="H14" s="309">
        <v>0</v>
      </c>
      <c r="I14" s="309">
        <f>'GAS Activity Q4 2016 -2017'!W47</f>
        <v>-436858.74</v>
      </c>
      <c r="J14" s="310">
        <f t="shared" si="0"/>
        <v>644675.18000000017</v>
      </c>
      <c r="K14" s="179"/>
      <c r="L14"/>
      <c r="M14"/>
      <c r="N14"/>
      <c r="O14"/>
      <c r="P14"/>
    </row>
    <row r="15" spans="1:16" s="2" customFormat="1" ht="30">
      <c r="A15" s="306" t="s">
        <v>243</v>
      </c>
      <c r="B15" s="307" t="s">
        <v>180</v>
      </c>
      <c r="C15" s="550" t="s">
        <v>382</v>
      </c>
      <c r="D15" s="311" t="s">
        <v>190</v>
      </c>
      <c r="E15" s="309">
        <f>'GAS Activity Q4 2016 -2017'!G50</f>
        <v>1263973.54</v>
      </c>
      <c r="F15" s="309"/>
      <c r="G15" s="309">
        <f>'GAS Activity Q4 2016 -2017'!W50-'GAS Activity Q4 2016 -2017'!G50</f>
        <v>10171.169999999925</v>
      </c>
      <c r="H15" s="309">
        <f>'GAS Activity Q4 2016 -2017'!W51</f>
        <v>-160310.15</v>
      </c>
      <c r="I15" s="309">
        <f>'GAS Activity Q4 2016 -2017'!W52+'GAS Activity Q4 2016 -2017'!W53</f>
        <v>-1103663.3900000001</v>
      </c>
      <c r="J15" s="310">
        <f t="shared" si="0"/>
        <v>10171.169999999925</v>
      </c>
      <c r="K15" s="179"/>
      <c r="L15"/>
      <c r="M15"/>
      <c r="N15"/>
      <c r="O15"/>
      <c r="P15"/>
    </row>
    <row r="16" spans="1:16" s="2" customFormat="1">
      <c r="A16" s="229" t="s">
        <v>244</v>
      </c>
      <c r="B16" s="307" t="s">
        <v>180</v>
      </c>
      <c r="C16" s="550" t="s">
        <v>382</v>
      </c>
      <c r="D16" s="311" t="s">
        <v>191</v>
      </c>
      <c r="E16" s="309">
        <f>'GAS Activity Q4 2016 -2017'!G56</f>
        <v>2050122.67</v>
      </c>
      <c r="F16" s="309"/>
      <c r="G16" s="309">
        <f>'GAS Activity Q4 2016 -2017'!W56-'GAS Activity Q4 2016 -2017'!G56</f>
        <v>0</v>
      </c>
      <c r="H16" s="309">
        <f>'GAS Activity Q4 2016 -2017'!W57</f>
        <v>-1114592.67</v>
      </c>
      <c r="I16" s="309">
        <f>'GAS Activity Q4 2016 -2017'!W58</f>
        <v>-935530</v>
      </c>
      <c r="J16" s="310">
        <f t="shared" si="0"/>
        <v>0</v>
      </c>
      <c r="K16" s="179"/>
      <c r="L16"/>
      <c r="M16"/>
      <c r="N16"/>
      <c r="O16"/>
      <c r="P16"/>
    </row>
    <row r="17" spans="1:16" s="2" customFormat="1" ht="16.149999999999999" customHeight="1">
      <c r="A17" s="229" t="s">
        <v>245</v>
      </c>
      <c r="B17" s="307" t="s">
        <v>180</v>
      </c>
      <c r="C17" s="550" t="s">
        <v>382</v>
      </c>
      <c r="D17" s="308" t="s">
        <v>192</v>
      </c>
      <c r="E17" s="309">
        <f>'GAS Activity Q4 2016 -2017'!G61</f>
        <v>518202.47000000003</v>
      </c>
      <c r="F17" s="309"/>
      <c r="G17" s="309">
        <f>'GAS Activity Q4 2016 -2017'!W61-'GAS Activity Q4 2016 -2017'!G61</f>
        <v>252675.93999999977</v>
      </c>
      <c r="H17" s="309">
        <v>0</v>
      </c>
      <c r="I17" s="309">
        <f>'GAS Activity Q4 2016 -2017'!W62</f>
        <v>-518202.47</v>
      </c>
      <c r="J17" s="310">
        <f t="shared" si="0"/>
        <v>252675.93999999983</v>
      </c>
      <c r="K17" s="179"/>
      <c r="L17"/>
      <c r="M17"/>
      <c r="N17"/>
      <c r="O17"/>
      <c r="P17"/>
    </row>
    <row r="18" spans="1:16" s="2" customFormat="1">
      <c r="A18" s="229" t="s">
        <v>246</v>
      </c>
      <c r="B18" s="307" t="s">
        <v>180</v>
      </c>
      <c r="C18" s="550" t="s">
        <v>382</v>
      </c>
      <c r="D18" s="311" t="s">
        <v>193</v>
      </c>
      <c r="E18" s="309">
        <f>'GAS Activity Q4 2016 -2017'!G65</f>
        <v>289121.19</v>
      </c>
      <c r="F18" s="309"/>
      <c r="G18" s="309">
        <f>'GAS Activity Q4 2016 -2017'!W65-'GAS Activity Q4 2016 -2017'!G65</f>
        <v>5107.6499999999651</v>
      </c>
      <c r="H18" s="309">
        <v>0</v>
      </c>
      <c r="I18" s="309">
        <f>'GAS Activity Q4 2016 -2017'!W66</f>
        <v>-289121.19</v>
      </c>
      <c r="J18" s="310">
        <f t="shared" si="0"/>
        <v>5107.6499999999651</v>
      </c>
      <c r="K18" s="179"/>
      <c r="L18"/>
      <c r="M18"/>
      <c r="N18"/>
      <c r="O18"/>
      <c r="P18"/>
    </row>
    <row r="19" spans="1:16" s="2" customFormat="1">
      <c r="A19" s="229">
        <v>18237122</v>
      </c>
      <c r="B19" s="307" t="s">
        <v>180</v>
      </c>
      <c r="C19" s="550" t="s">
        <v>382</v>
      </c>
      <c r="D19" s="311" t="s">
        <v>194</v>
      </c>
      <c r="E19" s="309">
        <f>'GAS Activity Q4 2016 -2017'!G69</f>
        <v>169602.13</v>
      </c>
      <c r="F19" s="309"/>
      <c r="G19" s="309">
        <f>'GAS Activity Q4 2016 -2017'!W69-'GAS Activity Q4 2016 -2017'!G69</f>
        <v>0</v>
      </c>
      <c r="H19" s="309">
        <v>0</v>
      </c>
      <c r="I19" s="309">
        <f>'GAS Activity Q4 2016 -2017'!W70</f>
        <v>-169602.13</v>
      </c>
      <c r="J19" s="310">
        <f t="shared" si="0"/>
        <v>0</v>
      </c>
      <c r="K19" s="179"/>
      <c r="L19"/>
      <c r="M19"/>
      <c r="N19"/>
      <c r="O19"/>
      <c r="P19"/>
    </row>
    <row r="20" spans="1:16" s="2" customFormat="1">
      <c r="A20" s="229">
        <v>18237132</v>
      </c>
      <c r="B20" s="307" t="s">
        <v>180</v>
      </c>
      <c r="C20" s="550" t="s">
        <v>382</v>
      </c>
      <c r="D20" s="311" t="s">
        <v>195</v>
      </c>
      <c r="E20" s="309">
        <f>'GAS Activity Q4 2016 -2017'!G73</f>
        <v>133750.43</v>
      </c>
      <c r="F20" s="309"/>
      <c r="G20" s="309">
        <f>'GAS Activity Q4 2016 -2017'!W73-'GAS Activity Q4 2016 -2017'!G73</f>
        <v>0</v>
      </c>
      <c r="H20" s="309">
        <v>0</v>
      </c>
      <c r="I20" s="309">
        <f>'GAS Activity Q4 2016 -2017'!W74</f>
        <v>-133750.43</v>
      </c>
      <c r="J20" s="310">
        <f t="shared" si="0"/>
        <v>0</v>
      </c>
      <c r="K20" s="179"/>
      <c r="L20"/>
      <c r="M20"/>
      <c r="N20"/>
      <c r="O20"/>
      <c r="P20"/>
    </row>
    <row r="21" spans="1:16" s="2" customFormat="1">
      <c r="A21" s="229">
        <v>18237142</v>
      </c>
      <c r="B21" s="307" t="s">
        <v>180</v>
      </c>
      <c r="C21" s="550" t="s">
        <v>382</v>
      </c>
      <c r="D21" s="311" t="s">
        <v>196</v>
      </c>
      <c r="E21" s="309">
        <f>'GAS Activity Q4 2016 -2017'!G77</f>
        <v>53995.63</v>
      </c>
      <c r="F21" s="309"/>
      <c r="G21" s="309">
        <f>'GAS Activity Q4 2016 -2017'!W77-'GAS Activity Q4 2016 -2017'!G77</f>
        <v>0</v>
      </c>
      <c r="H21" s="309">
        <v>0</v>
      </c>
      <c r="I21" s="309">
        <f>'GAS Activity Q4 2016 -2017'!W78</f>
        <v>-53995.63</v>
      </c>
      <c r="J21" s="310">
        <f t="shared" si="0"/>
        <v>0</v>
      </c>
      <c r="K21" s="179"/>
      <c r="L21"/>
      <c r="M21"/>
      <c r="N21"/>
      <c r="O21"/>
      <c r="P21"/>
    </row>
    <row r="22" spans="1:16" s="2" customFormat="1">
      <c r="A22" s="229">
        <v>18237152</v>
      </c>
      <c r="B22" s="307" t="s">
        <v>180</v>
      </c>
      <c r="C22" s="550" t="s">
        <v>382</v>
      </c>
      <c r="D22" s="311" t="s">
        <v>197</v>
      </c>
      <c r="E22" s="309">
        <f>'GAS Activity Q4 2016 -2017'!G81</f>
        <v>67987.45</v>
      </c>
      <c r="F22" s="309"/>
      <c r="G22" s="309">
        <f>'GAS Activity Q4 2016 -2017'!W81-'GAS Activity Q4 2016 -2017'!G81</f>
        <v>0</v>
      </c>
      <c r="H22" s="309">
        <v>0</v>
      </c>
      <c r="I22" s="309">
        <f>'GAS Activity Q4 2016 -2017'!W82</f>
        <v>-67987.45</v>
      </c>
      <c r="J22" s="310">
        <f t="shared" si="0"/>
        <v>0</v>
      </c>
      <c r="K22" s="179"/>
      <c r="L22"/>
      <c r="M22"/>
      <c r="N22"/>
      <c r="O22"/>
      <c r="P22"/>
    </row>
    <row r="23" spans="1:16" s="2" customFormat="1">
      <c r="A23" s="229">
        <v>18608062</v>
      </c>
      <c r="B23" s="313" t="s">
        <v>86</v>
      </c>
      <c r="C23" s="550" t="s">
        <v>382</v>
      </c>
      <c r="D23" s="308" t="s">
        <v>137</v>
      </c>
      <c r="E23" s="309">
        <f>'GAS Activity Q4 2016 -2017'!G85</f>
        <v>-50267724.640000001</v>
      </c>
      <c r="F23" s="311"/>
      <c r="G23" s="309">
        <f>'GAS Activity Q4 2016 -2017'!V86</f>
        <v>-210163</v>
      </c>
      <c r="H23" s="309">
        <v>0</v>
      </c>
      <c r="I23" s="309">
        <f>'GAS Activity Q4 2016 -2017'!W87</f>
        <v>29176115.83117523</v>
      </c>
      <c r="J23" s="310">
        <f t="shared" si="0"/>
        <v>-21301771.80882477</v>
      </c>
      <c r="K23" s="179"/>
      <c r="L23"/>
      <c r="M23"/>
      <c r="N23"/>
      <c r="O23"/>
      <c r="P23"/>
    </row>
    <row r="24" spans="1:16" s="2" customFormat="1" ht="4.9000000000000004" customHeight="1">
      <c r="A24" s="157"/>
      <c r="B24" s="180"/>
      <c r="C24" s="180"/>
      <c r="D24" s="118"/>
      <c r="E24" s="143"/>
      <c r="F24" s="143"/>
      <c r="G24" s="143"/>
      <c r="H24" s="143"/>
      <c r="I24" s="143"/>
      <c r="J24" s="181"/>
      <c r="K24" s="182"/>
      <c r="L24"/>
      <c r="M24"/>
      <c r="N24"/>
      <c r="O24"/>
      <c r="P24"/>
    </row>
    <row r="25" spans="1:16" s="2" customFormat="1" ht="15.75" thickBot="1">
      <c r="A25" s="157"/>
      <c r="B25" s="180"/>
      <c r="C25" s="180"/>
      <c r="D25" s="183" t="s">
        <v>174</v>
      </c>
      <c r="E25" s="162">
        <f>SUM(E7:E24)</f>
        <v>27490211.469999999</v>
      </c>
      <c r="F25" s="163"/>
      <c r="G25" s="162">
        <f>SUM(G7:G24)</f>
        <v>3965591.400000005</v>
      </c>
      <c r="H25" s="162">
        <f>SUM(H7:H24)</f>
        <v>-6064688.3899999997</v>
      </c>
      <c r="I25" s="162">
        <f>SUM(I7:I24)</f>
        <v>-43016367.608824752</v>
      </c>
      <c r="J25" s="184">
        <f>SUM(J7:J24)</f>
        <v>-17625253.128824763</v>
      </c>
      <c r="K25" s="185"/>
      <c r="L25"/>
      <c r="M25"/>
      <c r="N25"/>
      <c r="O25"/>
      <c r="P25"/>
    </row>
    <row r="26" spans="1:16" s="2" customFormat="1" ht="16.5" thickTop="1" thickBot="1">
      <c r="A26" s="186"/>
      <c r="B26" s="187"/>
      <c r="C26" s="187"/>
      <c r="D26" s="188"/>
      <c r="E26" s="189"/>
      <c r="F26" s="190"/>
      <c r="G26" s="189"/>
      <c r="H26" s="189"/>
      <c r="I26" s="170"/>
      <c r="J26" s="191"/>
      <c r="L26"/>
      <c r="M26"/>
      <c r="N26"/>
      <c r="O26"/>
      <c r="P26"/>
    </row>
    <row r="27" spans="1:16" s="2" customFormat="1">
      <c r="L27"/>
      <c r="M27"/>
      <c r="N27"/>
      <c r="O27"/>
      <c r="P27"/>
    </row>
    <row r="28" spans="1:16" s="2" customFormat="1" ht="16.149999999999999" customHeight="1">
      <c r="A28" s="172" t="s">
        <v>257</v>
      </c>
      <c r="L28"/>
      <c r="M28"/>
      <c r="N28"/>
      <c r="O28"/>
      <c r="P28"/>
    </row>
    <row r="29" spans="1:16">
      <c r="A29" s="172" t="s">
        <v>258</v>
      </c>
      <c r="B29" s="172"/>
      <c r="C29" s="172"/>
      <c r="L29"/>
      <c r="M29"/>
      <c r="N29"/>
      <c r="O29"/>
      <c r="P29"/>
    </row>
    <row r="30" spans="1:16">
      <c r="A30" s="172" t="s">
        <v>259</v>
      </c>
      <c r="L30"/>
      <c r="M30"/>
      <c r="N30"/>
      <c r="O30"/>
      <c r="P30"/>
    </row>
    <row r="31" spans="1:16">
      <c r="A31" s="337" t="s">
        <v>260</v>
      </c>
      <c r="L31"/>
      <c r="M31"/>
      <c r="N31"/>
      <c r="O31"/>
      <c r="P31"/>
    </row>
    <row r="32" spans="1:16" ht="5.45" customHeight="1">
      <c r="A32" s="172"/>
    </row>
    <row r="33" spans="1:1" ht="16.5">
      <c r="A33" s="172" t="s">
        <v>387</v>
      </c>
    </row>
    <row r="34" spans="1:1" ht="16.5">
      <c r="A34" s="172" t="s">
        <v>391</v>
      </c>
    </row>
    <row r="35" spans="1:1" ht="16.5">
      <c r="A35" s="172" t="s">
        <v>390</v>
      </c>
    </row>
  </sheetData>
  <mergeCells count="4">
    <mergeCell ref="A1:J1"/>
    <mergeCell ref="A2:J2"/>
    <mergeCell ref="A3:J3"/>
    <mergeCell ref="G5:J5"/>
  </mergeCells>
  <pageMargins left="0.7" right="0.7" top="0.75" bottom="0.75" header="0.3" footer="0.3"/>
  <pageSetup scale="7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0"/>
  <sheetViews>
    <sheetView zoomScale="86" zoomScaleNormal="86" workbookViewId="0">
      <pane xSplit="3" ySplit="5" topLeftCell="O6" activePane="bottomRight" state="frozen"/>
      <selection activeCell="D12" sqref="D12"/>
      <selection pane="topRight" activeCell="D12" sqref="D12"/>
      <selection pane="bottomLeft" activeCell="D12" sqref="D12"/>
      <selection pane="bottomRight" activeCell="X3" sqref="X3"/>
    </sheetView>
  </sheetViews>
  <sheetFormatPr defaultRowHeight="15"/>
  <cols>
    <col min="1" max="1" width="10.7109375" style="1" customWidth="1"/>
    <col min="2" max="2" width="12" bestFit="1" customWidth="1"/>
    <col min="3" max="3" width="58.7109375" customWidth="1"/>
    <col min="4" max="4" width="15" customWidth="1"/>
    <col min="5" max="5" width="12" customWidth="1"/>
    <col min="6" max="6" width="12.7109375" customWidth="1"/>
    <col min="7" max="7" width="14.28515625" bestFit="1" customWidth="1"/>
    <col min="8" max="9" width="12.7109375" customWidth="1"/>
    <col min="10" max="12" width="12.140625" customWidth="1"/>
    <col min="13" max="21" width="16.42578125" customWidth="1"/>
    <col min="22" max="22" width="15.140625" bestFit="1" customWidth="1"/>
    <col min="23" max="23" width="18.7109375" style="35" customWidth="1"/>
  </cols>
  <sheetData>
    <row r="1" spans="1:24">
      <c r="A1" s="335" t="s">
        <v>0</v>
      </c>
      <c r="B1" s="335"/>
      <c r="C1" s="335"/>
      <c r="D1" s="335"/>
      <c r="E1" s="335"/>
      <c r="F1" s="335"/>
      <c r="G1" s="335"/>
      <c r="H1" s="335"/>
      <c r="I1" s="335"/>
      <c r="J1" s="335"/>
      <c r="K1" s="335"/>
      <c r="L1" s="335"/>
      <c r="M1" s="335"/>
      <c r="N1" s="335"/>
      <c r="O1" s="335"/>
      <c r="P1" s="335"/>
      <c r="Q1" s="335"/>
      <c r="R1" s="335"/>
      <c r="S1" s="335"/>
      <c r="T1" s="335"/>
      <c r="U1" s="335"/>
      <c r="V1" s="335"/>
      <c r="W1" s="338"/>
    </row>
    <row r="2" spans="1:24">
      <c r="A2" s="335" t="s">
        <v>198</v>
      </c>
      <c r="B2" s="335"/>
      <c r="C2" s="335"/>
      <c r="D2" s="335"/>
      <c r="E2" s="335"/>
      <c r="F2" s="335"/>
      <c r="G2" s="335"/>
      <c r="H2" s="335"/>
      <c r="I2" s="335"/>
      <c r="J2" s="335"/>
      <c r="K2" s="335"/>
      <c r="L2" s="335"/>
      <c r="M2" s="335"/>
      <c r="N2" s="335"/>
      <c r="O2" s="335"/>
      <c r="P2" s="335"/>
      <c r="Q2" s="335"/>
      <c r="R2" s="335"/>
      <c r="S2" s="335"/>
      <c r="T2" s="335"/>
      <c r="U2" s="335"/>
      <c r="V2" s="335"/>
      <c r="W2" s="338"/>
    </row>
    <row r="3" spans="1:24" ht="21">
      <c r="A3" s="336" t="s">
        <v>2</v>
      </c>
      <c r="B3" s="336"/>
      <c r="C3" s="336"/>
      <c r="D3" s="336"/>
      <c r="E3" s="336"/>
      <c r="F3" s="336"/>
      <c r="G3" s="336"/>
      <c r="H3" s="336"/>
      <c r="I3" s="336"/>
      <c r="J3" s="336"/>
      <c r="K3" s="336"/>
      <c r="L3" s="336"/>
      <c r="M3" s="336"/>
      <c r="N3" s="336"/>
      <c r="O3" s="336"/>
      <c r="P3" s="336"/>
      <c r="Q3" s="336"/>
      <c r="R3" s="336"/>
      <c r="S3" s="336"/>
      <c r="T3" s="336"/>
      <c r="U3" s="336"/>
      <c r="V3" s="336"/>
      <c r="W3" s="338"/>
    </row>
    <row r="4" spans="1:24" ht="7.15" customHeight="1" thickBot="1"/>
    <row r="5" spans="1:24" s="8" customFormat="1" ht="43.9" customHeight="1" thickBot="1">
      <c r="A5" s="3" t="s">
        <v>3</v>
      </c>
      <c r="B5" s="4" t="s">
        <v>4</v>
      </c>
      <c r="C5" s="5" t="s">
        <v>5</v>
      </c>
      <c r="D5" s="4" t="s">
        <v>6</v>
      </c>
      <c r="E5" s="4" t="s">
        <v>7</v>
      </c>
      <c r="F5" s="4" t="s">
        <v>8</v>
      </c>
      <c r="G5" s="6" t="s">
        <v>176</v>
      </c>
      <c r="H5" s="6">
        <v>42644</v>
      </c>
      <c r="I5" s="6">
        <v>42675</v>
      </c>
      <c r="J5" s="6" t="s">
        <v>10</v>
      </c>
      <c r="K5" s="6">
        <v>42736</v>
      </c>
      <c r="L5" s="6">
        <v>42767</v>
      </c>
      <c r="M5" s="6">
        <v>42795</v>
      </c>
      <c r="N5" s="6">
        <v>42826</v>
      </c>
      <c r="O5" s="6">
        <v>42856</v>
      </c>
      <c r="P5" s="6">
        <v>42887</v>
      </c>
      <c r="Q5" s="6">
        <v>42917</v>
      </c>
      <c r="R5" s="6">
        <v>42948</v>
      </c>
      <c r="S5" s="6">
        <v>42979</v>
      </c>
      <c r="T5" s="6">
        <v>43009</v>
      </c>
      <c r="U5" s="6">
        <v>43040</v>
      </c>
      <c r="V5" s="6">
        <v>43070</v>
      </c>
      <c r="W5" s="7" t="s">
        <v>177</v>
      </c>
    </row>
    <row r="6" spans="1:24" s="2" customFormat="1">
      <c r="A6" s="235">
        <v>18606102</v>
      </c>
      <c r="B6" s="236">
        <v>18608612</v>
      </c>
      <c r="C6" s="135" t="s">
        <v>91</v>
      </c>
      <c r="D6" s="314" t="s">
        <v>92</v>
      </c>
      <c r="E6" s="11"/>
      <c r="F6" s="96"/>
      <c r="G6" s="12">
        <v>785957.33000000007</v>
      </c>
      <c r="H6" s="97">
        <f>4354.8</f>
        <v>4354.8</v>
      </c>
      <c r="I6" s="97">
        <v>0</v>
      </c>
      <c r="J6" s="12">
        <v>2146.5</v>
      </c>
      <c r="K6" s="12">
        <f>3825</f>
        <v>3825</v>
      </c>
      <c r="L6" s="12">
        <v>0</v>
      </c>
      <c r="M6" s="12">
        <f>1890</f>
        <v>1890</v>
      </c>
      <c r="N6" s="12">
        <f>1115</f>
        <v>1115</v>
      </c>
      <c r="O6" s="12">
        <f>2520</f>
        <v>2520</v>
      </c>
      <c r="P6" s="12">
        <f>3433.23</f>
        <v>3433.23</v>
      </c>
      <c r="Q6" s="12">
        <f>1867.5</f>
        <v>1867.5</v>
      </c>
      <c r="R6" s="12">
        <f>877.5</f>
        <v>877.5</v>
      </c>
      <c r="S6" s="12">
        <f>3036.97</f>
        <v>3036.97</v>
      </c>
      <c r="T6" s="12">
        <f>2355.3</f>
        <v>2355.3000000000002</v>
      </c>
      <c r="U6" s="12">
        <f>1807.5</f>
        <v>1807.5</v>
      </c>
      <c r="V6" s="12">
        <f>1267.5</f>
        <v>1267.5</v>
      </c>
      <c r="W6" s="174">
        <f>SUM(G6:V6)</f>
        <v>816454.13000000012</v>
      </c>
    </row>
    <row r="7" spans="1:24" s="2" customFormat="1">
      <c r="A7" s="315"/>
      <c r="B7" s="236">
        <v>18608612</v>
      </c>
      <c r="C7" s="135" t="s">
        <v>14</v>
      </c>
      <c r="D7" s="316" t="s">
        <v>93</v>
      </c>
      <c r="E7" s="16">
        <v>43070</v>
      </c>
      <c r="F7" s="99" t="s">
        <v>16</v>
      </c>
      <c r="G7" s="17">
        <v>0</v>
      </c>
      <c r="H7" s="17">
        <v>0</v>
      </c>
      <c r="I7" s="17">
        <v>0</v>
      </c>
      <c r="J7" s="17">
        <v>0</v>
      </c>
      <c r="K7" s="17">
        <v>0</v>
      </c>
      <c r="L7" s="17">
        <v>0</v>
      </c>
      <c r="M7" s="17">
        <v>0</v>
      </c>
      <c r="N7" s="17">
        <v>0</v>
      </c>
      <c r="O7" s="17">
        <v>0</v>
      </c>
      <c r="P7" s="17">
        <v>0</v>
      </c>
      <c r="Q7" s="17">
        <v>0</v>
      </c>
      <c r="R7" s="17">
        <v>0</v>
      </c>
      <c r="S7" s="17">
        <v>0</v>
      </c>
      <c r="T7" s="17">
        <v>0</v>
      </c>
      <c r="U7" s="17">
        <v>0</v>
      </c>
      <c r="V7" s="17">
        <v>-785957.33</v>
      </c>
      <c r="W7" s="18">
        <f>SUM(G7:V7)</f>
        <v>-785957.33</v>
      </c>
    </row>
    <row r="8" spans="1:24" s="2" customFormat="1">
      <c r="A8" s="315"/>
      <c r="B8" s="236"/>
      <c r="C8" s="41" t="s">
        <v>94</v>
      </c>
      <c r="D8" s="317"/>
      <c r="E8" s="20"/>
      <c r="F8" s="100"/>
      <c r="G8" s="21">
        <f t="shared" ref="G8:W8" si="0">SUM(G6:G7)</f>
        <v>785957.33000000007</v>
      </c>
      <c r="H8" s="21">
        <f t="shared" si="0"/>
        <v>4354.8</v>
      </c>
      <c r="I8" s="21">
        <f t="shared" si="0"/>
        <v>0</v>
      </c>
      <c r="J8" s="21">
        <f t="shared" si="0"/>
        <v>2146.5</v>
      </c>
      <c r="K8" s="21">
        <f t="shared" si="0"/>
        <v>3825</v>
      </c>
      <c r="L8" s="21">
        <f t="shared" si="0"/>
        <v>0</v>
      </c>
      <c r="M8" s="21">
        <f t="shared" si="0"/>
        <v>1890</v>
      </c>
      <c r="N8" s="21">
        <f t="shared" si="0"/>
        <v>1115</v>
      </c>
      <c r="O8" s="21">
        <f t="shared" si="0"/>
        <v>2520</v>
      </c>
      <c r="P8" s="21">
        <f t="shared" si="0"/>
        <v>3433.23</v>
      </c>
      <c r="Q8" s="21">
        <f t="shared" si="0"/>
        <v>1867.5</v>
      </c>
      <c r="R8" s="21">
        <f t="shared" si="0"/>
        <v>877.5</v>
      </c>
      <c r="S8" s="21">
        <f t="shared" si="0"/>
        <v>3036.97</v>
      </c>
      <c r="T8" s="21">
        <f t="shared" si="0"/>
        <v>2355.3000000000002</v>
      </c>
      <c r="U8" s="21">
        <f t="shared" si="0"/>
        <v>1807.5</v>
      </c>
      <c r="V8" s="21">
        <f t="shared" si="0"/>
        <v>-784689.83</v>
      </c>
      <c r="W8" s="22">
        <f t="shared" si="0"/>
        <v>30496.800000000163</v>
      </c>
    </row>
    <row r="9" spans="1:24" s="31" customFormat="1" ht="11.45" customHeight="1">
      <c r="A9" s="318"/>
      <c r="B9" s="319"/>
      <c r="C9" s="240"/>
      <c r="D9" s="320"/>
      <c r="E9" s="102"/>
      <c r="F9" s="102"/>
      <c r="G9" s="28"/>
      <c r="H9" s="29"/>
      <c r="I9" s="29"/>
      <c r="J9" s="28"/>
      <c r="K9" s="28"/>
      <c r="L9" s="28"/>
      <c r="M9" s="28"/>
      <c r="N9" s="28"/>
      <c r="O9" s="28"/>
      <c r="P9" s="28"/>
      <c r="Q9" s="28"/>
      <c r="R9" s="28"/>
      <c r="S9" s="28"/>
      <c r="T9" s="28"/>
      <c r="U9" s="28"/>
      <c r="V9" s="28"/>
      <c r="W9" s="192"/>
    </row>
    <row r="10" spans="1:24" s="2" customFormat="1">
      <c r="A10" s="235">
        <v>18607102</v>
      </c>
      <c r="B10" s="236">
        <v>18608712</v>
      </c>
      <c r="C10" s="135" t="s">
        <v>95</v>
      </c>
      <c r="D10" s="594" t="s">
        <v>92</v>
      </c>
      <c r="E10" s="574"/>
      <c r="F10" s="575"/>
      <c r="G10" s="12">
        <v>5361208.370000001</v>
      </c>
      <c r="H10" s="33">
        <v>0</v>
      </c>
      <c r="I10" s="33">
        <f>H10</f>
        <v>0</v>
      </c>
      <c r="J10" s="33">
        <v>-477.9</v>
      </c>
      <c r="K10" s="33">
        <v>0</v>
      </c>
      <c r="L10" s="33">
        <f>4979.64</f>
        <v>4979.6400000000003</v>
      </c>
      <c r="M10" s="33">
        <v>0</v>
      </c>
      <c r="N10" s="33">
        <v>0</v>
      </c>
      <c r="O10" s="33">
        <v>0</v>
      </c>
      <c r="P10" s="33">
        <f>1286.16</f>
        <v>1286.1600000000001</v>
      </c>
      <c r="Q10" s="33">
        <f>135</f>
        <v>135</v>
      </c>
      <c r="R10" s="33">
        <v>0</v>
      </c>
      <c r="S10" s="33">
        <f>R10</f>
        <v>0</v>
      </c>
      <c r="T10" s="33">
        <f>S10</f>
        <v>0</v>
      </c>
      <c r="U10" s="33">
        <f>1091.25</f>
        <v>1091.25</v>
      </c>
      <c r="V10" s="33">
        <f>765</f>
        <v>765</v>
      </c>
      <c r="W10" s="14">
        <f>SUM(G10:V10)</f>
        <v>5368987.5200000005</v>
      </c>
      <c r="X10" s="66"/>
    </row>
    <row r="11" spans="1:24" s="2" customFormat="1">
      <c r="A11" s="235"/>
      <c r="B11" s="236">
        <v>18608772</v>
      </c>
      <c r="C11" s="135" t="s">
        <v>96</v>
      </c>
      <c r="D11" s="595"/>
      <c r="E11" s="574"/>
      <c r="F11" s="575"/>
      <c r="G11" s="12">
        <v>-3488999.0999999996</v>
      </c>
      <c r="H11" s="33">
        <v>0</v>
      </c>
      <c r="I11" s="33">
        <f>H11</f>
        <v>0</v>
      </c>
      <c r="J11" s="33">
        <v>0</v>
      </c>
      <c r="K11" s="33">
        <f>J11</f>
        <v>0</v>
      </c>
      <c r="L11" s="33">
        <f>K11</f>
        <v>0</v>
      </c>
      <c r="M11" s="33">
        <f t="shared" ref="M11:U11" si="1">L11</f>
        <v>0</v>
      </c>
      <c r="N11" s="33">
        <f t="shared" si="1"/>
        <v>0</v>
      </c>
      <c r="O11" s="33">
        <f t="shared" si="1"/>
        <v>0</v>
      </c>
      <c r="P11" s="33">
        <f t="shared" si="1"/>
        <v>0</v>
      </c>
      <c r="Q11" s="33">
        <f t="shared" si="1"/>
        <v>0</v>
      </c>
      <c r="R11" s="33">
        <f t="shared" si="1"/>
        <v>0</v>
      </c>
      <c r="S11" s="33">
        <f t="shared" si="1"/>
        <v>0</v>
      </c>
      <c r="T11" s="33">
        <f t="shared" si="1"/>
        <v>0</v>
      </c>
      <c r="U11" s="33">
        <f t="shared" si="1"/>
        <v>0</v>
      </c>
      <c r="V11" s="33"/>
      <c r="W11" s="14">
        <f t="shared" ref="W11:W14" si="2">SUM(G11:V11)</f>
        <v>-3488999.0999999996</v>
      </c>
      <c r="X11" s="66"/>
    </row>
    <row r="12" spans="1:24" s="2" customFormat="1">
      <c r="A12" s="235"/>
      <c r="B12" s="236">
        <v>18608722</v>
      </c>
      <c r="C12" s="135" t="s">
        <v>97</v>
      </c>
      <c r="D12" s="596"/>
      <c r="E12" s="574"/>
      <c r="F12" s="576"/>
      <c r="G12" s="12">
        <v>8781.25</v>
      </c>
      <c r="H12" s="33">
        <v>0</v>
      </c>
      <c r="I12" s="33">
        <f>H12</f>
        <v>0</v>
      </c>
      <c r="J12" s="33">
        <v>0</v>
      </c>
      <c r="K12" s="33">
        <f>J12</f>
        <v>0</v>
      </c>
      <c r="L12" s="33">
        <f t="shared" ref="L12:U12" si="3">K12</f>
        <v>0</v>
      </c>
      <c r="M12" s="33">
        <f t="shared" si="3"/>
        <v>0</v>
      </c>
      <c r="N12" s="33">
        <f t="shared" si="3"/>
        <v>0</v>
      </c>
      <c r="O12" s="33">
        <f t="shared" si="3"/>
        <v>0</v>
      </c>
      <c r="P12" s="33">
        <f t="shared" si="3"/>
        <v>0</v>
      </c>
      <c r="Q12" s="33">
        <f t="shared" si="3"/>
        <v>0</v>
      </c>
      <c r="R12" s="33">
        <f t="shared" si="3"/>
        <v>0</v>
      </c>
      <c r="S12" s="33">
        <f t="shared" si="3"/>
        <v>0</v>
      </c>
      <c r="T12" s="33">
        <f t="shared" si="3"/>
        <v>0</v>
      </c>
      <c r="U12" s="33">
        <f t="shared" si="3"/>
        <v>0</v>
      </c>
      <c r="V12" s="33">
        <f>U12</f>
        <v>0</v>
      </c>
      <c r="W12" s="14">
        <f t="shared" si="2"/>
        <v>8781.25</v>
      </c>
      <c r="X12" s="66"/>
    </row>
    <row r="13" spans="1:24" s="2" customFormat="1">
      <c r="A13" s="235"/>
      <c r="B13" s="236">
        <v>18608712</v>
      </c>
      <c r="C13" s="135" t="s">
        <v>14</v>
      </c>
      <c r="D13" s="594" t="s">
        <v>93</v>
      </c>
      <c r="E13" s="578">
        <v>43070</v>
      </c>
      <c r="F13" s="580" t="s">
        <v>16</v>
      </c>
      <c r="G13" s="72">
        <v>0</v>
      </c>
      <c r="H13" s="12">
        <v>0</v>
      </c>
      <c r="I13" s="12">
        <v>0</v>
      </c>
      <c r="J13" s="12">
        <v>0</v>
      </c>
      <c r="K13" s="12">
        <v>0</v>
      </c>
      <c r="L13" s="12">
        <v>0</v>
      </c>
      <c r="M13" s="12">
        <v>0</v>
      </c>
      <c r="N13" s="12">
        <v>0</v>
      </c>
      <c r="O13" s="12">
        <v>0</v>
      </c>
      <c r="P13" s="12">
        <v>0</v>
      </c>
      <c r="Q13" s="12">
        <v>0</v>
      </c>
      <c r="R13" s="12">
        <v>0</v>
      </c>
      <c r="S13" s="12">
        <v>0</v>
      </c>
      <c r="T13" s="12">
        <v>0</v>
      </c>
      <c r="U13" s="12">
        <v>0</v>
      </c>
      <c r="V13" s="33">
        <v>-5361208.37</v>
      </c>
      <c r="W13" s="14">
        <f t="shared" si="2"/>
        <v>-5361208.37</v>
      </c>
      <c r="X13" s="66"/>
    </row>
    <row r="14" spans="1:24" s="2" customFormat="1">
      <c r="A14" s="235"/>
      <c r="B14" s="236">
        <v>18608772</v>
      </c>
      <c r="C14" s="135" t="s">
        <v>14</v>
      </c>
      <c r="D14" s="595"/>
      <c r="E14" s="578"/>
      <c r="F14" s="581"/>
      <c r="G14" s="72">
        <v>0</v>
      </c>
      <c r="H14" s="12">
        <v>0</v>
      </c>
      <c r="I14" s="12">
        <v>0</v>
      </c>
      <c r="J14" s="12">
        <v>0</v>
      </c>
      <c r="K14" s="12">
        <v>0</v>
      </c>
      <c r="L14" s="12">
        <v>0</v>
      </c>
      <c r="M14" s="12">
        <v>0</v>
      </c>
      <c r="N14" s="12">
        <v>0</v>
      </c>
      <c r="O14" s="12">
        <v>0</v>
      </c>
      <c r="P14" s="12">
        <v>0</v>
      </c>
      <c r="Q14" s="12">
        <v>0</v>
      </c>
      <c r="R14" s="12">
        <v>0</v>
      </c>
      <c r="S14" s="12">
        <v>0</v>
      </c>
      <c r="T14" s="12">
        <v>0</v>
      </c>
      <c r="U14" s="12">
        <v>0</v>
      </c>
      <c r="V14" s="33">
        <v>3488999.1</v>
      </c>
      <c r="W14" s="14">
        <f t="shared" si="2"/>
        <v>3488999.1</v>
      </c>
      <c r="X14" s="66"/>
    </row>
    <row r="15" spans="1:24" s="2" customFormat="1">
      <c r="A15" s="315"/>
      <c r="B15" s="236">
        <v>18608722</v>
      </c>
      <c r="C15" s="135" t="s">
        <v>14</v>
      </c>
      <c r="D15" s="597"/>
      <c r="E15" s="579"/>
      <c r="F15" s="582"/>
      <c r="G15" s="37">
        <v>0</v>
      </c>
      <c r="H15" s="37">
        <v>0</v>
      </c>
      <c r="I15" s="37">
        <v>0</v>
      </c>
      <c r="J15" s="37">
        <v>0</v>
      </c>
      <c r="K15" s="37">
        <v>0</v>
      </c>
      <c r="L15" s="37">
        <v>0</v>
      </c>
      <c r="M15" s="37">
        <v>0</v>
      </c>
      <c r="N15" s="37">
        <v>0</v>
      </c>
      <c r="O15" s="37">
        <v>0</v>
      </c>
      <c r="P15" s="37">
        <v>0</v>
      </c>
      <c r="Q15" s="37">
        <v>0</v>
      </c>
      <c r="R15" s="37">
        <v>0</v>
      </c>
      <c r="S15" s="37">
        <v>0</v>
      </c>
      <c r="T15" s="37">
        <v>0</v>
      </c>
      <c r="U15" s="37">
        <v>0</v>
      </c>
      <c r="V15" s="175">
        <v>-8781.25</v>
      </c>
      <c r="W15" s="18">
        <f>SUM(G15:V15)</f>
        <v>-8781.25</v>
      </c>
      <c r="X15" s="66"/>
    </row>
    <row r="16" spans="1:24" s="2" customFormat="1">
      <c r="A16" s="321"/>
      <c r="B16" s="322"/>
      <c r="C16" s="41" t="s">
        <v>98</v>
      </c>
      <c r="D16" s="317"/>
      <c r="E16" s="42"/>
      <c r="F16" s="96"/>
      <c r="G16" s="21">
        <f t="shared" ref="G16:W16" si="4">SUM(G10:G15)</f>
        <v>1880990.5200000014</v>
      </c>
      <c r="H16" s="21">
        <f t="shared" si="4"/>
        <v>0</v>
      </c>
      <c r="I16" s="21">
        <f t="shared" si="4"/>
        <v>0</v>
      </c>
      <c r="J16" s="21">
        <f t="shared" si="4"/>
        <v>-477.9</v>
      </c>
      <c r="K16" s="21">
        <f t="shared" si="4"/>
        <v>0</v>
      </c>
      <c r="L16" s="21">
        <f t="shared" si="4"/>
        <v>4979.6400000000003</v>
      </c>
      <c r="M16" s="21">
        <f t="shared" si="4"/>
        <v>0</v>
      </c>
      <c r="N16" s="21">
        <f t="shared" si="4"/>
        <v>0</v>
      </c>
      <c r="O16" s="21">
        <f t="shared" si="4"/>
        <v>0</v>
      </c>
      <c r="P16" s="21">
        <f t="shared" si="4"/>
        <v>1286.1600000000001</v>
      </c>
      <c r="Q16" s="21">
        <f t="shared" si="4"/>
        <v>135</v>
      </c>
      <c r="R16" s="21">
        <f t="shared" si="4"/>
        <v>0</v>
      </c>
      <c r="S16" s="21">
        <f t="shared" si="4"/>
        <v>0</v>
      </c>
      <c r="T16" s="21">
        <f t="shared" si="4"/>
        <v>0</v>
      </c>
      <c r="U16" s="21">
        <f t="shared" si="4"/>
        <v>1091.25</v>
      </c>
      <c r="V16" s="21">
        <f t="shared" si="4"/>
        <v>-1880225.52</v>
      </c>
      <c r="W16" s="57">
        <f t="shared" si="4"/>
        <v>7779.1500000008382</v>
      </c>
    </row>
    <row r="17" spans="1:23" s="50" customFormat="1" ht="11.25">
      <c r="A17" s="238"/>
      <c r="B17" s="239"/>
      <c r="C17" s="240"/>
      <c r="D17" s="323"/>
      <c r="E17" s="70"/>
      <c r="F17" s="70"/>
      <c r="G17" s="103"/>
      <c r="H17" s="71"/>
      <c r="I17" s="71"/>
      <c r="J17" s="28"/>
      <c r="K17" s="49"/>
      <c r="L17" s="49"/>
      <c r="M17" s="28"/>
      <c r="N17" s="49"/>
      <c r="O17" s="49"/>
      <c r="P17" s="28"/>
      <c r="Q17" s="49"/>
      <c r="R17" s="49"/>
      <c r="S17" s="28"/>
      <c r="T17" s="49"/>
      <c r="U17" s="49"/>
      <c r="V17" s="28"/>
      <c r="W17" s="112"/>
    </row>
    <row r="18" spans="1:23" s="2" customFormat="1">
      <c r="A18" s="235">
        <v>18602102</v>
      </c>
      <c r="B18" s="236">
        <v>18608212</v>
      </c>
      <c r="C18" s="135" t="s">
        <v>99</v>
      </c>
      <c r="D18" s="324" t="s">
        <v>100</v>
      </c>
      <c r="E18" s="574"/>
      <c r="F18" s="575"/>
      <c r="G18" s="193">
        <v>1470852.25</v>
      </c>
      <c r="H18" s="51">
        <f>4607.2</f>
        <v>4607.2</v>
      </c>
      <c r="I18" s="51">
        <f>338.25</f>
        <v>338.25</v>
      </c>
      <c r="J18" s="12">
        <v>0</v>
      </c>
      <c r="K18" s="52">
        <f>J18</f>
        <v>0</v>
      </c>
      <c r="L18" s="52">
        <f t="shared" ref="L18:S19" si="5">K18</f>
        <v>0</v>
      </c>
      <c r="M18" s="52">
        <f t="shared" si="5"/>
        <v>0</v>
      </c>
      <c r="N18" s="52">
        <f t="shared" si="5"/>
        <v>0</v>
      </c>
      <c r="O18" s="52">
        <f t="shared" si="5"/>
        <v>0</v>
      </c>
      <c r="P18" s="52">
        <f t="shared" si="5"/>
        <v>0</v>
      </c>
      <c r="Q18" s="52">
        <f t="shared" si="5"/>
        <v>0</v>
      </c>
      <c r="R18" s="52">
        <f t="shared" si="5"/>
        <v>0</v>
      </c>
      <c r="S18" s="52">
        <f>5162.61</f>
        <v>5162.6099999999997</v>
      </c>
      <c r="T18" s="52">
        <f>4676.25</f>
        <v>4676.25</v>
      </c>
      <c r="U18" s="52">
        <v>0</v>
      </c>
      <c r="V18" s="52">
        <f>U18</f>
        <v>0</v>
      </c>
      <c r="W18" s="14">
        <f>SUM(G18:V18)</f>
        <v>1485636.56</v>
      </c>
    </row>
    <row r="19" spans="1:23" s="2" customFormat="1">
      <c r="A19" s="235"/>
      <c r="B19" s="236">
        <v>18608782</v>
      </c>
      <c r="C19" s="135" t="s">
        <v>101</v>
      </c>
      <c r="D19" s="317"/>
      <c r="E19" s="574"/>
      <c r="F19" s="576"/>
      <c r="G19" s="97">
        <v>-801550.75</v>
      </c>
      <c r="H19" s="97">
        <v>0</v>
      </c>
      <c r="I19" s="97">
        <f>H19</f>
        <v>0</v>
      </c>
      <c r="J19" s="12">
        <v>0</v>
      </c>
      <c r="K19" s="52">
        <f>J19</f>
        <v>0</v>
      </c>
      <c r="L19" s="52">
        <f t="shared" si="5"/>
        <v>0</v>
      </c>
      <c r="M19" s="52">
        <f t="shared" si="5"/>
        <v>0</v>
      </c>
      <c r="N19" s="52">
        <f t="shared" si="5"/>
        <v>0</v>
      </c>
      <c r="O19" s="52">
        <f t="shared" si="5"/>
        <v>0</v>
      </c>
      <c r="P19" s="52">
        <f t="shared" si="5"/>
        <v>0</v>
      </c>
      <c r="Q19" s="52">
        <f t="shared" si="5"/>
        <v>0</v>
      </c>
      <c r="R19" s="52">
        <f t="shared" si="5"/>
        <v>0</v>
      </c>
      <c r="S19" s="52">
        <f t="shared" si="5"/>
        <v>0</v>
      </c>
      <c r="T19" s="52">
        <f>S19</f>
        <v>0</v>
      </c>
      <c r="U19" s="52">
        <f>T19</f>
        <v>0</v>
      </c>
      <c r="V19" s="52">
        <f>U19</f>
        <v>0</v>
      </c>
      <c r="W19" s="14">
        <f t="shared" ref="W19:W20" si="6">SUM(G19:V19)</f>
        <v>-801550.75</v>
      </c>
    </row>
    <row r="20" spans="1:23" s="2" customFormat="1">
      <c r="A20" s="235"/>
      <c r="B20" s="236" t="s">
        <v>102</v>
      </c>
      <c r="C20" s="135" t="s">
        <v>14</v>
      </c>
      <c r="D20" s="324"/>
      <c r="E20" s="107"/>
      <c r="F20" s="108"/>
      <c r="G20" s="12">
        <v>0</v>
      </c>
      <c r="H20" s="12">
        <v>0</v>
      </c>
      <c r="I20" s="12">
        <v>0</v>
      </c>
      <c r="J20" s="12">
        <v>0</v>
      </c>
      <c r="K20" s="12">
        <v>0</v>
      </c>
      <c r="L20" s="12">
        <v>0</v>
      </c>
      <c r="M20" s="12">
        <v>0</v>
      </c>
      <c r="N20" s="12">
        <v>0</v>
      </c>
      <c r="O20" s="12">
        <v>0</v>
      </c>
      <c r="P20" s="12">
        <v>0</v>
      </c>
      <c r="Q20" s="12">
        <v>0</v>
      </c>
      <c r="R20" s="12">
        <v>0</v>
      </c>
      <c r="S20" s="12">
        <v>0</v>
      </c>
      <c r="T20" s="12">
        <v>0</v>
      </c>
      <c r="U20" s="12">
        <v>0</v>
      </c>
      <c r="V20" s="33">
        <v>-1470852.25</v>
      </c>
      <c r="W20" s="14">
        <f t="shared" si="6"/>
        <v>-1470852.25</v>
      </c>
    </row>
    <row r="21" spans="1:23" s="2" customFormat="1">
      <c r="A21" s="235"/>
      <c r="B21" s="236">
        <v>18608782</v>
      </c>
      <c r="C21" s="135" t="s">
        <v>14</v>
      </c>
      <c r="D21" s="316" t="s">
        <v>93</v>
      </c>
      <c r="E21" s="16">
        <v>43070</v>
      </c>
      <c r="F21" s="99" t="s">
        <v>16</v>
      </c>
      <c r="G21" s="37">
        <v>0</v>
      </c>
      <c r="H21" s="37">
        <v>0</v>
      </c>
      <c r="I21" s="37">
        <v>0</v>
      </c>
      <c r="J21" s="37">
        <v>0</v>
      </c>
      <c r="K21" s="37">
        <v>0</v>
      </c>
      <c r="L21" s="37">
        <v>0</v>
      </c>
      <c r="M21" s="37">
        <v>0</v>
      </c>
      <c r="N21" s="37">
        <v>0</v>
      </c>
      <c r="O21" s="37">
        <v>0</v>
      </c>
      <c r="P21" s="37">
        <v>0</v>
      </c>
      <c r="Q21" s="37">
        <v>0</v>
      </c>
      <c r="R21" s="37">
        <v>0</v>
      </c>
      <c r="S21" s="37">
        <v>0</v>
      </c>
      <c r="T21" s="37">
        <v>0</v>
      </c>
      <c r="U21" s="37">
        <v>0</v>
      </c>
      <c r="V21" s="175">
        <v>801550.75</v>
      </c>
      <c r="W21" s="18">
        <f>SUM(G21:V21)</f>
        <v>801550.75</v>
      </c>
    </row>
    <row r="22" spans="1:23" s="2" customFormat="1">
      <c r="A22" s="321"/>
      <c r="B22" s="322"/>
      <c r="C22" s="41" t="s">
        <v>103</v>
      </c>
      <c r="D22" s="325"/>
      <c r="E22" s="60"/>
      <c r="F22" s="109"/>
      <c r="G22" s="56">
        <f t="shared" ref="G22:V22" si="7">SUM(G18:G21)</f>
        <v>669301.5</v>
      </c>
      <c r="H22" s="56">
        <f t="shared" si="7"/>
        <v>4607.2</v>
      </c>
      <c r="I22" s="56">
        <f t="shared" si="7"/>
        <v>338.25</v>
      </c>
      <c r="J22" s="56">
        <f t="shared" si="7"/>
        <v>0</v>
      </c>
      <c r="K22" s="56">
        <f t="shared" si="7"/>
        <v>0</v>
      </c>
      <c r="L22" s="56">
        <f t="shared" si="7"/>
        <v>0</v>
      </c>
      <c r="M22" s="56">
        <f t="shared" si="7"/>
        <v>0</v>
      </c>
      <c r="N22" s="56">
        <f t="shared" si="7"/>
        <v>0</v>
      </c>
      <c r="O22" s="56">
        <f t="shared" si="7"/>
        <v>0</v>
      </c>
      <c r="P22" s="56">
        <f t="shared" si="7"/>
        <v>0</v>
      </c>
      <c r="Q22" s="56">
        <f t="shared" si="7"/>
        <v>0</v>
      </c>
      <c r="R22" s="56">
        <f t="shared" si="7"/>
        <v>0</v>
      </c>
      <c r="S22" s="56">
        <f t="shared" si="7"/>
        <v>5162.6099999999997</v>
      </c>
      <c r="T22" s="56">
        <f t="shared" si="7"/>
        <v>4676.25</v>
      </c>
      <c r="U22" s="56">
        <f t="shared" si="7"/>
        <v>0</v>
      </c>
      <c r="V22" s="56">
        <f t="shared" si="7"/>
        <v>-669301.5</v>
      </c>
      <c r="W22" s="57">
        <f>SUM(W18:W21)</f>
        <v>14784.310000000056</v>
      </c>
    </row>
    <row r="23" spans="1:23" s="50" customFormat="1" ht="11.25">
      <c r="A23" s="326"/>
      <c r="B23" s="327"/>
      <c r="C23" s="240"/>
      <c r="D23" s="323"/>
      <c r="E23" s="70"/>
      <c r="F23" s="70"/>
      <c r="G23" s="110"/>
      <c r="H23" s="71"/>
      <c r="I23" s="71"/>
      <c r="J23" s="73"/>
      <c r="K23" s="111"/>
      <c r="L23" s="111"/>
      <c r="M23" s="73"/>
      <c r="N23" s="111"/>
      <c r="O23" s="111"/>
      <c r="P23" s="73"/>
      <c r="Q23" s="111"/>
      <c r="R23" s="111"/>
      <c r="S23" s="73"/>
      <c r="T23" s="111"/>
      <c r="U23" s="111"/>
      <c r="V23" s="73"/>
      <c r="W23" s="112"/>
    </row>
    <row r="24" spans="1:23" s="2" customFormat="1">
      <c r="A24" s="321">
        <v>18603102</v>
      </c>
      <c r="B24" s="322">
        <v>18608312</v>
      </c>
      <c r="C24" s="135" t="s">
        <v>104</v>
      </c>
      <c r="D24" s="324" t="s">
        <v>92</v>
      </c>
      <c r="E24" s="113"/>
      <c r="F24" s="42"/>
      <c r="G24" s="52">
        <v>3961262</v>
      </c>
      <c r="H24" s="52">
        <v>0</v>
      </c>
      <c r="I24" s="52">
        <f>H24</f>
        <v>0</v>
      </c>
      <c r="J24" s="12">
        <v>244</v>
      </c>
      <c r="K24" s="52">
        <f>3360</f>
        <v>3360</v>
      </c>
      <c r="L24" s="52">
        <v>0</v>
      </c>
      <c r="M24" s="52">
        <f>L24</f>
        <v>0</v>
      </c>
      <c r="N24" s="52">
        <f>1457.63</f>
        <v>1457.63</v>
      </c>
      <c r="O24" s="52">
        <v>0</v>
      </c>
      <c r="P24" s="52">
        <f>O24</f>
        <v>0</v>
      </c>
      <c r="Q24" s="52">
        <f>P24</f>
        <v>0</v>
      </c>
      <c r="R24" s="52">
        <f>Q24</f>
        <v>0</v>
      </c>
      <c r="S24" s="52">
        <f>2836.13</f>
        <v>2836.13</v>
      </c>
      <c r="T24" s="52">
        <f>1808.63</f>
        <v>1808.63</v>
      </c>
      <c r="U24" s="52">
        <v>0</v>
      </c>
      <c r="V24" s="52">
        <f>U24</f>
        <v>0</v>
      </c>
      <c r="W24" s="14">
        <f t="shared" ref="W24" si="8">SUM(G24:V24)</f>
        <v>3970968.3899999997</v>
      </c>
    </row>
    <row r="25" spans="1:23" s="2" customFormat="1">
      <c r="A25" s="321"/>
      <c r="B25" s="322">
        <v>18608312</v>
      </c>
      <c r="C25" s="135" t="s">
        <v>14</v>
      </c>
      <c r="D25" s="316" t="s">
        <v>93</v>
      </c>
      <c r="E25" s="16">
        <v>43070</v>
      </c>
      <c r="F25" s="99" t="s">
        <v>16</v>
      </c>
      <c r="G25" s="37">
        <v>0</v>
      </c>
      <c r="H25" s="37">
        <v>0</v>
      </c>
      <c r="I25" s="37">
        <v>0</v>
      </c>
      <c r="J25" s="37">
        <v>0</v>
      </c>
      <c r="K25" s="37">
        <v>0</v>
      </c>
      <c r="L25" s="116">
        <v>0</v>
      </c>
      <c r="M25" s="116">
        <v>0</v>
      </c>
      <c r="N25" s="116">
        <v>0</v>
      </c>
      <c r="O25" s="116">
        <v>0</v>
      </c>
      <c r="P25" s="116">
        <v>0</v>
      </c>
      <c r="Q25" s="116">
        <v>0</v>
      </c>
      <c r="R25" s="116">
        <v>0</v>
      </c>
      <c r="S25" s="116">
        <v>0</v>
      </c>
      <c r="T25" s="116">
        <v>0</v>
      </c>
      <c r="U25" s="116">
        <v>0</v>
      </c>
      <c r="V25" s="116">
        <v>-3961262</v>
      </c>
      <c r="W25" s="18">
        <f>SUM(G25:V25)</f>
        <v>-3961262</v>
      </c>
    </row>
    <row r="26" spans="1:23" s="2" customFormat="1">
      <c r="A26" s="321"/>
      <c r="B26" s="322"/>
      <c r="C26" s="41" t="s">
        <v>105</v>
      </c>
      <c r="D26" s="325"/>
      <c r="E26" s="118"/>
      <c r="F26" s="109"/>
      <c r="G26" s="56">
        <f t="shared" ref="G26:V26" si="9">SUM(G24:G25)</f>
        <v>3961262</v>
      </c>
      <c r="H26" s="56">
        <f t="shared" si="9"/>
        <v>0</v>
      </c>
      <c r="I26" s="56">
        <f t="shared" si="9"/>
        <v>0</v>
      </c>
      <c r="J26" s="56">
        <f t="shared" si="9"/>
        <v>244</v>
      </c>
      <c r="K26" s="56">
        <f t="shared" si="9"/>
        <v>3360</v>
      </c>
      <c r="L26" s="56">
        <f t="shared" si="9"/>
        <v>0</v>
      </c>
      <c r="M26" s="56">
        <f t="shared" si="9"/>
        <v>0</v>
      </c>
      <c r="N26" s="56">
        <f t="shared" si="9"/>
        <v>1457.63</v>
      </c>
      <c r="O26" s="56">
        <f t="shared" si="9"/>
        <v>0</v>
      </c>
      <c r="P26" s="56">
        <f t="shared" si="9"/>
        <v>0</v>
      </c>
      <c r="Q26" s="56">
        <f t="shared" si="9"/>
        <v>0</v>
      </c>
      <c r="R26" s="56">
        <f t="shared" si="9"/>
        <v>0</v>
      </c>
      <c r="S26" s="56">
        <f t="shared" si="9"/>
        <v>2836.13</v>
      </c>
      <c r="T26" s="56">
        <f t="shared" si="9"/>
        <v>1808.63</v>
      </c>
      <c r="U26" s="56">
        <f t="shared" si="9"/>
        <v>0</v>
      </c>
      <c r="V26" s="56">
        <f t="shared" si="9"/>
        <v>-3961262</v>
      </c>
      <c r="W26" s="22">
        <f>SUM(W23:W25)</f>
        <v>9706.3899999996647</v>
      </c>
    </row>
    <row r="27" spans="1:23" s="50" customFormat="1" ht="11.45" customHeight="1">
      <c r="A27" s="326"/>
      <c r="B27" s="327"/>
      <c r="C27" s="328"/>
      <c r="D27" s="329"/>
      <c r="E27" s="70"/>
      <c r="F27" s="122"/>
      <c r="G27" s="103"/>
      <c r="H27" s="71"/>
      <c r="I27" s="71"/>
      <c r="J27" s="73"/>
      <c r="K27" s="111"/>
      <c r="L27" s="111"/>
      <c r="M27" s="73"/>
      <c r="N27" s="111"/>
      <c r="O27" s="111"/>
      <c r="P27" s="73"/>
      <c r="Q27" s="111"/>
      <c r="R27" s="111"/>
      <c r="S27" s="73"/>
      <c r="T27" s="111"/>
      <c r="U27" s="111"/>
      <c r="V27" s="73"/>
      <c r="W27" s="112"/>
    </row>
    <row r="28" spans="1:23" s="123" customFormat="1" ht="12.6" customHeight="1">
      <c r="A28" s="321">
        <v>18606302</v>
      </c>
      <c r="B28" s="322">
        <v>18609432</v>
      </c>
      <c r="C28" s="135" t="s">
        <v>106</v>
      </c>
      <c r="D28" s="594" t="s">
        <v>92</v>
      </c>
      <c r="E28" s="570"/>
      <c r="F28" s="572"/>
      <c r="G28" s="12">
        <v>6872373.6200000001</v>
      </c>
      <c r="H28" s="12">
        <f>158743.71</f>
        <v>158743.71</v>
      </c>
      <c r="I28" s="12">
        <f>170229.18</f>
        <v>170229.18</v>
      </c>
      <c r="J28" s="12">
        <v>218313.99</v>
      </c>
      <c r="K28" s="12">
        <f>108582.31</f>
        <v>108582.31</v>
      </c>
      <c r="L28" s="12">
        <f>117085.63</f>
        <v>117085.63</v>
      </c>
      <c r="M28" s="12">
        <f>152886.79</f>
        <v>152886.79</v>
      </c>
      <c r="N28" s="12">
        <v>0</v>
      </c>
      <c r="O28" s="12">
        <f>511322.7</f>
        <v>511322.7</v>
      </c>
      <c r="P28" s="12">
        <f>190276.88</f>
        <v>190276.88</v>
      </c>
      <c r="Q28" s="12">
        <f>153128.9</f>
        <v>153128.9</v>
      </c>
      <c r="R28" s="12">
        <f>182252.16</f>
        <v>182252.16</v>
      </c>
      <c r="S28" s="12">
        <f>142106.66</f>
        <v>142106.66</v>
      </c>
      <c r="T28" s="12">
        <f>182156.8</f>
        <v>182156.79999999999</v>
      </c>
      <c r="U28" s="12">
        <f>155411.13</f>
        <v>155411.13</v>
      </c>
      <c r="V28" s="52">
        <f>223717.34</f>
        <v>223717.34</v>
      </c>
      <c r="W28" s="14">
        <f>SUM(G28:V28)</f>
        <v>9538587.8000000026</v>
      </c>
    </row>
    <row r="29" spans="1:23" s="123" customFormat="1" ht="12.6" customHeight="1">
      <c r="A29" s="321">
        <v>18604102</v>
      </c>
      <c r="B29" s="322">
        <v>18608412</v>
      </c>
      <c r="C29" s="135" t="s">
        <v>107</v>
      </c>
      <c r="D29" s="595"/>
      <c r="E29" s="570"/>
      <c r="F29" s="572"/>
      <c r="G29" s="12">
        <v>2651381.7400000002</v>
      </c>
      <c r="H29" s="12">
        <v>0</v>
      </c>
      <c r="I29" s="12">
        <f>H29</f>
        <v>0</v>
      </c>
      <c r="J29" s="12">
        <v>0</v>
      </c>
      <c r="K29" s="12">
        <f>J29</f>
        <v>0</v>
      </c>
      <c r="L29" s="12">
        <f>K29</f>
        <v>0</v>
      </c>
      <c r="M29" s="12">
        <f t="shared" ref="M29:U30" si="10">L29</f>
        <v>0</v>
      </c>
      <c r="N29" s="12">
        <f t="shared" si="10"/>
        <v>0</v>
      </c>
      <c r="O29" s="12">
        <f t="shared" si="10"/>
        <v>0</v>
      </c>
      <c r="P29" s="12">
        <f t="shared" si="10"/>
        <v>0</v>
      </c>
      <c r="Q29" s="12">
        <f t="shared" si="10"/>
        <v>0</v>
      </c>
      <c r="R29" s="12">
        <f t="shared" si="10"/>
        <v>0</v>
      </c>
      <c r="S29" s="12">
        <f t="shared" si="10"/>
        <v>0</v>
      </c>
      <c r="T29" s="12">
        <f t="shared" si="10"/>
        <v>0</v>
      </c>
      <c r="U29" s="12">
        <f t="shared" si="10"/>
        <v>0</v>
      </c>
      <c r="V29" s="52">
        <f>U29</f>
        <v>0</v>
      </c>
      <c r="W29" s="14">
        <f t="shared" ref="W29:W33" si="11">SUM(G29:V29)</f>
        <v>2651381.7400000002</v>
      </c>
    </row>
    <row r="30" spans="1:23" s="123" customFormat="1" ht="12.6" customHeight="1">
      <c r="A30" s="321">
        <v>18614102</v>
      </c>
      <c r="B30" s="322">
        <v>18609312</v>
      </c>
      <c r="C30" s="135" t="s">
        <v>108</v>
      </c>
      <c r="D30" s="595"/>
      <c r="E30" s="570"/>
      <c r="F30" s="572"/>
      <c r="G30" s="12">
        <v>12405154.710000001</v>
      </c>
      <c r="H30" s="12">
        <v>0</v>
      </c>
      <c r="I30" s="12">
        <f>H30</f>
        <v>0</v>
      </c>
      <c r="J30" s="12">
        <v>0</v>
      </c>
      <c r="K30" s="12">
        <f>J30</f>
        <v>0</v>
      </c>
      <c r="L30" s="12">
        <f>K30</f>
        <v>0</v>
      </c>
      <c r="M30" s="12">
        <f>L30</f>
        <v>0</v>
      </c>
      <c r="N30" s="12">
        <f>M30</f>
        <v>0</v>
      </c>
      <c r="O30" s="12">
        <f t="shared" si="10"/>
        <v>0</v>
      </c>
      <c r="P30" s="12">
        <f t="shared" si="10"/>
        <v>0</v>
      </c>
      <c r="Q30" s="12">
        <f t="shared" si="10"/>
        <v>0</v>
      </c>
      <c r="R30" s="12">
        <f t="shared" si="10"/>
        <v>0</v>
      </c>
      <c r="S30" s="12">
        <f t="shared" si="10"/>
        <v>0</v>
      </c>
      <c r="T30" s="12">
        <f t="shared" si="10"/>
        <v>0</v>
      </c>
      <c r="U30" s="12">
        <f t="shared" si="10"/>
        <v>0</v>
      </c>
      <c r="V30" s="52">
        <f>U30</f>
        <v>0</v>
      </c>
      <c r="W30" s="14">
        <f t="shared" si="11"/>
        <v>12405154.710000001</v>
      </c>
    </row>
    <row r="31" spans="1:23" s="123" customFormat="1" ht="12.6" customHeight="1">
      <c r="A31" s="321">
        <v>18606303</v>
      </c>
      <c r="B31" s="322">
        <v>18609402</v>
      </c>
      <c r="C31" s="135" t="s">
        <v>109</v>
      </c>
      <c r="D31" s="596"/>
      <c r="E31" s="571"/>
      <c r="F31" s="573"/>
      <c r="G31" s="72">
        <v>0</v>
      </c>
      <c r="H31" s="124">
        <v>0</v>
      </c>
      <c r="I31" s="124">
        <v>0</v>
      </c>
      <c r="J31" s="124">
        <v>0</v>
      </c>
      <c r="K31" s="124">
        <f>J31</f>
        <v>0</v>
      </c>
      <c r="L31" s="124">
        <f t="shared" ref="L31" si="12">K31</f>
        <v>0</v>
      </c>
      <c r="M31" s="12">
        <v>-190064.35</v>
      </c>
      <c r="N31" s="12">
        <v>0</v>
      </c>
      <c r="O31" s="12">
        <f>N31</f>
        <v>0</v>
      </c>
      <c r="P31" s="12">
        <f>-74175.7</f>
        <v>-74175.7</v>
      </c>
      <c r="Q31" s="12">
        <v>0</v>
      </c>
      <c r="R31" s="12">
        <f>Q31</f>
        <v>0</v>
      </c>
      <c r="S31" s="12">
        <f>-139862.41</f>
        <v>-139862.41</v>
      </c>
      <c r="T31" s="12">
        <v>0</v>
      </c>
      <c r="U31" s="12">
        <f>T31</f>
        <v>0</v>
      </c>
      <c r="V31" s="52">
        <f>-95133.26</f>
        <v>-95133.26</v>
      </c>
      <c r="W31" s="14">
        <f t="shared" si="11"/>
        <v>-499235.72</v>
      </c>
    </row>
    <row r="32" spans="1:23" s="123" customFormat="1" ht="12.6" customHeight="1">
      <c r="A32" s="321"/>
      <c r="B32" s="322">
        <v>18609432</v>
      </c>
      <c r="C32" s="135" t="s">
        <v>14</v>
      </c>
      <c r="D32" s="594" t="s">
        <v>93</v>
      </c>
      <c r="E32" s="578">
        <v>43070</v>
      </c>
      <c r="F32" s="580" t="s">
        <v>16</v>
      </c>
      <c r="G32" s="72">
        <v>0</v>
      </c>
      <c r="H32" s="12">
        <v>0</v>
      </c>
      <c r="I32" s="12">
        <v>0</v>
      </c>
      <c r="J32" s="12">
        <v>0</v>
      </c>
      <c r="K32" s="12">
        <v>0</v>
      </c>
      <c r="L32" s="12">
        <v>0</v>
      </c>
      <c r="M32" s="12">
        <v>0</v>
      </c>
      <c r="N32" s="12">
        <v>0</v>
      </c>
      <c r="O32" s="12">
        <v>0</v>
      </c>
      <c r="P32" s="12">
        <v>0</v>
      </c>
      <c r="Q32" s="12">
        <v>0</v>
      </c>
      <c r="R32" s="12">
        <v>0</v>
      </c>
      <c r="S32" s="12">
        <v>0</v>
      </c>
      <c r="T32" s="12">
        <v>0</v>
      </c>
      <c r="U32" s="12">
        <v>0</v>
      </c>
      <c r="V32" s="52">
        <v>-6872373.6200000001</v>
      </c>
      <c r="W32" s="14">
        <f t="shared" si="11"/>
        <v>-6872373.6200000001</v>
      </c>
    </row>
    <row r="33" spans="1:23" s="123" customFormat="1" ht="12.6" customHeight="1">
      <c r="A33" s="326"/>
      <c r="B33" s="322">
        <v>18608412</v>
      </c>
      <c r="C33" s="135" t="s">
        <v>14</v>
      </c>
      <c r="D33" s="595"/>
      <c r="E33" s="578"/>
      <c r="F33" s="581"/>
      <c r="G33" s="72">
        <v>0</v>
      </c>
      <c r="H33" s="12">
        <v>0</v>
      </c>
      <c r="I33" s="12">
        <v>0</v>
      </c>
      <c r="J33" s="12">
        <v>0</v>
      </c>
      <c r="K33" s="12">
        <v>0</v>
      </c>
      <c r="L33" s="12">
        <v>0</v>
      </c>
      <c r="M33" s="12">
        <v>0</v>
      </c>
      <c r="N33" s="12">
        <v>0</v>
      </c>
      <c r="O33" s="12">
        <v>0</v>
      </c>
      <c r="P33" s="12">
        <v>0</v>
      </c>
      <c r="Q33" s="12">
        <v>0</v>
      </c>
      <c r="R33" s="12">
        <v>0</v>
      </c>
      <c r="S33" s="12">
        <v>0</v>
      </c>
      <c r="T33" s="12">
        <v>0</v>
      </c>
      <c r="U33" s="12">
        <v>0</v>
      </c>
      <c r="V33" s="52">
        <v>-2651381.7400000002</v>
      </c>
      <c r="W33" s="14">
        <f t="shared" si="11"/>
        <v>-2651381.7400000002</v>
      </c>
    </row>
    <row r="34" spans="1:23" s="2" customFormat="1">
      <c r="A34" s="235"/>
      <c r="B34" s="322">
        <v>18609312</v>
      </c>
      <c r="C34" s="135" t="s">
        <v>14</v>
      </c>
      <c r="D34" s="597"/>
      <c r="E34" s="579"/>
      <c r="F34" s="582"/>
      <c r="G34" s="115">
        <v>0</v>
      </c>
      <c r="H34" s="116">
        <v>0</v>
      </c>
      <c r="I34" s="116">
        <v>0</v>
      </c>
      <c r="J34" s="116">
        <v>0</v>
      </c>
      <c r="K34" s="116">
        <v>0</v>
      </c>
      <c r="L34" s="116">
        <v>0</v>
      </c>
      <c r="M34" s="116">
        <v>0</v>
      </c>
      <c r="N34" s="116">
        <v>0</v>
      </c>
      <c r="O34" s="116">
        <v>0</v>
      </c>
      <c r="P34" s="116">
        <v>0</v>
      </c>
      <c r="Q34" s="116">
        <v>0</v>
      </c>
      <c r="R34" s="116">
        <v>0</v>
      </c>
      <c r="S34" s="116">
        <v>0</v>
      </c>
      <c r="T34" s="116">
        <v>0</v>
      </c>
      <c r="U34" s="116">
        <v>0</v>
      </c>
      <c r="V34" s="52">
        <v>-12405154.710000001</v>
      </c>
      <c r="W34" s="18">
        <f>SUM(G34:V34)</f>
        <v>-12405154.710000001</v>
      </c>
    </row>
    <row r="35" spans="1:23" s="2" customFormat="1">
      <c r="A35" s="321"/>
      <c r="B35" s="322"/>
      <c r="C35" s="41" t="s">
        <v>110</v>
      </c>
      <c r="D35" s="325"/>
      <c r="E35" s="60"/>
      <c r="F35" s="109"/>
      <c r="G35" s="56">
        <f t="shared" ref="G35:V35" si="13">SUM(G28:G34)</f>
        <v>21928910.07</v>
      </c>
      <c r="H35" s="56">
        <f t="shared" si="13"/>
        <v>158743.71</v>
      </c>
      <c r="I35" s="56">
        <f t="shared" si="13"/>
        <v>170229.18</v>
      </c>
      <c r="J35" s="56">
        <f t="shared" si="13"/>
        <v>218313.99</v>
      </c>
      <c r="K35" s="56">
        <f t="shared" si="13"/>
        <v>108582.31</v>
      </c>
      <c r="L35" s="56">
        <f t="shared" si="13"/>
        <v>117085.63</v>
      </c>
      <c r="M35" s="56">
        <f t="shared" si="13"/>
        <v>-37177.56</v>
      </c>
      <c r="N35" s="56">
        <f t="shared" si="13"/>
        <v>0</v>
      </c>
      <c r="O35" s="56">
        <f t="shared" si="13"/>
        <v>511322.7</v>
      </c>
      <c r="P35" s="56">
        <f t="shared" si="13"/>
        <v>116101.18000000001</v>
      </c>
      <c r="Q35" s="56">
        <f t="shared" si="13"/>
        <v>153128.9</v>
      </c>
      <c r="R35" s="56">
        <f t="shared" si="13"/>
        <v>182252.16</v>
      </c>
      <c r="S35" s="56">
        <f t="shared" si="13"/>
        <v>2244.25</v>
      </c>
      <c r="T35" s="56">
        <f t="shared" si="13"/>
        <v>182156.79999999999</v>
      </c>
      <c r="U35" s="56">
        <f t="shared" si="13"/>
        <v>155411.13</v>
      </c>
      <c r="V35" s="56">
        <f t="shared" si="13"/>
        <v>-21800325.990000002</v>
      </c>
      <c r="W35" s="22">
        <f>SUM(W28:W34)</f>
        <v>2166978.4600000028</v>
      </c>
    </row>
    <row r="36" spans="1:23" s="50" customFormat="1" ht="12.6" customHeight="1">
      <c r="A36" s="321"/>
      <c r="B36" s="322"/>
      <c r="C36" s="240"/>
      <c r="D36" s="323"/>
      <c r="E36" s="70"/>
      <c r="F36" s="70"/>
      <c r="G36" s="47"/>
      <c r="H36" s="48"/>
      <c r="I36" s="48"/>
      <c r="J36" s="28"/>
      <c r="K36" s="49"/>
      <c r="L36" s="49"/>
      <c r="M36" s="125"/>
      <c r="N36" s="49"/>
      <c r="O36" s="49"/>
      <c r="P36" s="28"/>
      <c r="Q36" s="49"/>
      <c r="R36" s="49"/>
      <c r="S36" s="28"/>
      <c r="T36" s="49"/>
      <c r="U36" s="49"/>
      <c r="V36" s="28"/>
      <c r="W36" s="112"/>
    </row>
    <row r="37" spans="1:23" s="2" customFormat="1">
      <c r="A37" s="321">
        <v>18612102</v>
      </c>
      <c r="B37" s="322">
        <v>18609512</v>
      </c>
      <c r="C37" s="135" t="s">
        <v>111</v>
      </c>
      <c r="D37" s="324" t="s">
        <v>92</v>
      </c>
      <c r="E37" s="113"/>
      <c r="F37" s="42"/>
      <c r="G37" s="52">
        <v>227819.36</v>
      </c>
      <c r="H37" s="52">
        <f>4468</f>
        <v>4468</v>
      </c>
      <c r="I37" s="52">
        <f>6938.08</f>
        <v>6938.08</v>
      </c>
      <c r="J37" s="52">
        <v>-541.44000000000005</v>
      </c>
      <c r="K37" s="52">
        <v>329.5</v>
      </c>
      <c r="L37" s="52">
        <v>0</v>
      </c>
      <c r="M37" s="52">
        <f t="shared" ref="M37:U37" si="14">L37</f>
        <v>0</v>
      </c>
      <c r="N37" s="52">
        <f t="shared" si="14"/>
        <v>0</v>
      </c>
      <c r="O37" s="52">
        <f t="shared" si="14"/>
        <v>0</v>
      </c>
      <c r="P37" s="52">
        <f>54617</f>
        <v>54617</v>
      </c>
      <c r="Q37" s="52">
        <f>180.5</f>
        <v>180.5</v>
      </c>
      <c r="R37" s="52">
        <v>0</v>
      </c>
      <c r="S37" s="52">
        <f t="shared" si="14"/>
        <v>0</v>
      </c>
      <c r="T37" s="52">
        <f t="shared" si="14"/>
        <v>0</v>
      </c>
      <c r="U37" s="52">
        <f t="shared" si="14"/>
        <v>0</v>
      </c>
      <c r="V37" s="52">
        <f>U37+437</f>
        <v>437</v>
      </c>
      <c r="W37" s="14">
        <f t="shared" ref="W37" si="15">SUM(G37:V37)</f>
        <v>294248</v>
      </c>
    </row>
    <row r="38" spans="1:23" s="2" customFormat="1">
      <c r="A38" s="235"/>
      <c r="B38" s="322">
        <v>18609512</v>
      </c>
      <c r="C38" s="135" t="s">
        <v>30</v>
      </c>
      <c r="D38" s="330" t="s">
        <v>93</v>
      </c>
      <c r="E38" s="16">
        <v>43070</v>
      </c>
      <c r="F38" s="99" t="s">
        <v>16</v>
      </c>
      <c r="G38" s="37">
        <v>0</v>
      </c>
      <c r="H38" s="37">
        <v>0</v>
      </c>
      <c r="I38" s="37">
        <v>0</v>
      </c>
      <c r="J38" s="37">
        <v>0</v>
      </c>
      <c r="K38" s="37">
        <v>0</v>
      </c>
      <c r="L38" s="37">
        <v>0</v>
      </c>
      <c r="M38" s="37">
        <v>0</v>
      </c>
      <c r="N38" s="37">
        <v>0</v>
      </c>
      <c r="O38" s="37">
        <v>0</v>
      </c>
      <c r="P38" s="37">
        <v>0</v>
      </c>
      <c r="Q38" s="37">
        <v>0</v>
      </c>
      <c r="R38" s="37">
        <v>0</v>
      </c>
      <c r="S38" s="37">
        <v>0</v>
      </c>
      <c r="T38" s="37">
        <v>0</v>
      </c>
      <c r="U38" s="37">
        <v>0</v>
      </c>
      <c r="V38" s="175">
        <v>-227819.36</v>
      </c>
      <c r="W38" s="18">
        <f>SUM(G38:V38)</f>
        <v>-227819.36</v>
      </c>
    </row>
    <row r="39" spans="1:23" s="2" customFormat="1">
      <c r="A39" s="321"/>
      <c r="B39" s="322"/>
      <c r="C39" s="41" t="s">
        <v>112</v>
      </c>
      <c r="D39" s="317"/>
      <c r="E39" s="60"/>
      <c r="F39" s="127"/>
      <c r="G39" s="21">
        <f t="shared" ref="G39:V39" si="16">SUM(G37:G38)</f>
        <v>227819.36</v>
      </c>
      <c r="H39" s="21">
        <f t="shared" si="16"/>
        <v>4468</v>
      </c>
      <c r="I39" s="21">
        <f t="shared" si="16"/>
        <v>6938.08</v>
      </c>
      <c r="J39" s="21">
        <f t="shared" si="16"/>
        <v>-541.44000000000005</v>
      </c>
      <c r="K39" s="21">
        <f t="shared" si="16"/>
        <v>329.5</v>
      </c>
      <c r="L39" s="21">
        <f t="shared" si="16"/>
        <v>0</v>
      </c>
      <c r="M39" s="21">
        <f t="shared" si="16"/>
        <v>0</v>
      </c>
      <c r="N39" s="21">
        <f t="shared" si="16"/>
        <v>0</v>
      </c>
      <c r="O39" s="21">
        <f t="shared" si="16"/>
        <v>0</v>
      </c>
      <c r="P39" s="21">
        <f t="shared" si="16"/>
        <v>54617</v>
      </c>
      <c r="Q39" s="21">
        <f t="shared" si="16"/>
        <v>180.5</v>
      </c>
      <c r="R39" s="21">
        <f t="shared" si="16"/>
        <v>0</v>
      </c>
      <c r="S39" s="21">
        <f t="shared" si="16"/>
        <v>0</v>
      </c>
      <c r="T39" s="21">
        <f t="shared" si="16"/>
        <v>0</v>
      </c>
      <c r="U39" s="21">
        <f t="shared" si="16"/>
        <v>0</v>
      </c>
      <c r="V39" s="21">
        <f t="shared" si="16"/>
        <v>-227382.36</v>
      </c>
      <c r="W39" s="22">
        <f>SUM(W37:W38)</f>
        <v>66428.640000000014</v>
      </c>
    </row>
    <row r="40" spans="1:23" s="50" customFormat="1" ht="11.25">
      <c r="A40" s="238"/>
      <c r="B40" s="239"/>
      <c r="C40" s="240"/>
      <c r="D40" s="323"/>
      <c r="E40" s="70"/>
      <c r="F40" s="70"/>
      <c r="G40" s="47"/>
      <c r="H40" s="48"/>
      <c r="I40" s="48"/>
      <c r="J40" s="28"/>
      <c r="K40" s="49"/>
      <c r="L40" s="49"/>
      <c r="M40" s="28"/>
      <c r="N40" s="49"/>
      <c r="O40" s="49"/>
      <c r="P40" s="28"/>
      <c r="Q40" s="49"/>
      <c r="R40" s="49"/>
      <c r="S40" s="28"/>
      <c r="T40" s="49"/>
      <c r="U40" s="49"/>
      <c r="V40" s="28"/>
      <c r="W40" s="112"/>
    </row>
    <row r="41" spans="1:23" s="2" customFormat="1">
      <c r="A41" s="235">
        <v>18601102</v>
      </c>
      <c r="B41" s="236">
        <v>18608112</v>
      </c>
      <c r="C41" s="135" t="s">
        <v>113</v>
      </c>
      <c r="D41" s="594" t="s">
        <v>100</v>
      </c>
      <c r="E41" s="574"/>
      <c r="F41" s="575"/>
      <c r="G41" s="12">
        <v>4147808.8500000006</v>
      </c>
      <c r="H41" s="12">
        <f>7606.86</f>
        <v>7606.86</v>
      </c>
      <c r="I41" s="12">
        <f>32351.19</f>
        <v>32351.19</v>
      </c>
      <c r="J41" s="12">
        <v>28963.07</v>
      </c>
      <c r="K41" s="12">
        <v>0</v>
      </c>
      <c r="L41" s="12">
        <v>26073.78</v>
      </c>
      <c r="M41" s="12">
        <f>18420.62</f>
        <v>18420.62</v>
      </c>
      <c r="N41" s="12">
        <f>23427.41</f>
        <v>23427.41</v>
      </c>
      <c r="O41" s="12">
        <v>143</v>
      </c>
      <c r="P41" s="12">
        <f>17757.27</f>
        <v>17757.27</v>
      </c>
      <c r="Q41" s="12">
        <f>51717.65</f>
        <v>51717.65</v>
      </c>
      <c r="R41" s="12">
        <f>21607.48</f>
        <v>21607.48</v>
      </c>
      <c r="S41" s="12">
        <f>9823.25</f>
        <v>9823.25</v>
      </c>
      <c r="T41" s="12">
        <f>19278.45</f>
        <v>19278.45</v>
      </c>
      <c r="U41" s="12">
        <f>28882.22</f>
        <v>28882.22</v>
      </c>
      <c r="V41" s="12">
        <f>181662.74</f>
        <v>181662.74</v>
      </c>
      <c r="W41" s="14">
        <f t="shared" ref="W41:W43" si="17">SUM(G41:V41)</f>
        <v>4615523.8400000017</v>
      </c>
    </row>
    <row r="42" spans="1:23" s="2" customFormat="1">
      <c r="A42" s="235">
        <v>18601102</v>
      </c>
      <c r="B42" s="236">
        <v>18608112</v>
      </c>
      <c r="C42" s="135" t="s">
        <v>114</v>
      </c>
      <c r="D42" s="596"/>
      <c r="E42" s="574"/>
      <c r="F42" s="576"/>
      <c r="G42" s="72">
        <v>34881722.379999995</v>
      </c>
      <c r="H42" s="12">
        <v>0</v>
      </c>
      <c r="I42" s="12">
        <f>H42</f>
        <v>0</v>
      </c>
      <c r="J42" s="12">
        <v>0</v>
      </c>
      <c r="K42" s="12">
        <f>J42</f>
        <v>0</v>
      </c>
      <c r="L42" s="12">
        <f t="shared" ref="L42:U42" si="18">K42</f>
        <v>0</v>
      </c>
      <c r="M42" s="12">
        <f t="shared" si="18"/>
        <v>0</v>
      </c>
      <c r="N42" s="12">
        <f t="shared" si="18"/>
        <v>0</v>
      </c>
      <c r="O42" s="12">
        <f t="shared" si="18"/>
        <v>0</v>
      </c>
      <c r="P42" s="12">
        <f t="shared" si="18"/>
        <v>0</v>
      </c>
      <c r="Q42" s="12">
        <f t="shared" si="18"/>
        <v>0</v>
      </c>
      <c r="R42" s="12">
        <f t="shared" si="18"/>
        <v>0</v>
      </c>
      <c r="S42" s="12">
        <f t="shared" si="18"/>
        <v>0</v>
      </c>
      <c r="T42" s="12">
        <f t="shared" si="18"/>
        <v>0</v>
      </c>
      <c r="U42" s="12">
        <f t="shared" si="18"/>
        <v>0</v>
      </c>
      <c r="V42" s="12">
        <f>U42</f>
        <v>0</v>
      </c>
      <c r="W42" s="14">
        <f t="shared" si="17"/>
        <v>34881722.379999995</v>
      </c>
    </row>
    <row r="43" spans="1:23" s="2" customFormat="1">
      <c r="A43" s="235"/>
      <c r="B43" s="322">
        <v>18608112</v>
      </c>
      <c r="C43" s="135" t="s">
        <v>30</v>
      </c>
      <c r="D43" s="330" t="s">
        <v>93</v>
      </c>
      <c r="E43" s="16">
        <v>43070</v>
      </c>
      <c r="F43" s="99" t="s">
        <v>16</v>
      </c>
      <c r="G43" s="37">
        <v>0</v>
      </c>
      <c r="H43" s="37">
        <v>0</v>
      </c>
      <c r="I43" s="37">
        <v>0</v>
      </c>
      <c r="J43" s="37">
        <v>0</v>
      </c>
      <c r="K43" s="37">
        <v>0</v>
      </c>
      <c r="L43" s="37">
        <v>0</v>
      </c>
      <c r="M43" s="37">
        <v>0</v>
      </c>
      <c r="N43" s="37">
        <v>0</v>
      </c>
      <c r="O43" s="37">
        <v>0</v>
      </c>
      <c r="P43" s="37">
        <v>0</v>
      </c>
      <c r="Q43" s="37">
        <v>0</v>
      </c>
      <c r="R43" s="37">
        <v>0</v>
      </c>
      <c r="S43" s="37">
        <v>0</v>
      </c>
      <c r="T43" s="37">
        <v>0</v>
      </c>
      <c r="U43" s="37">
        <v>0</v>
      </c>
      <c r="V43" s="175">
        <v>-39029531.229999997</v>
      </c>
      <c r="W43" s="18">
        <f t="shared" si="17"/>
        <v>-39029531.229999997</v>
      </c>
    </row>
    <row r="44" spans="1:23" s="2" customFormat="1">
      <c r="A44" s="321"/>
      <c r="B44" s="322"/>
      <c r="C44" s="41" t="s">
        <v>115</v>
      </c>
      <c r="D44" s="317"/>
      <c r="E44" s="118"/>
      <c r="F44" s="127"/>
      <c r="G44" s="21">
        <f t="shared" ref="G44:V44" si="19">SUM(G41:G43)</f>
        <v>39029531.229999997</v>
      </c>
      <c r="H44" s="21">
        <f t="shared" si="19"/>
        <v>7606.86</v>
      </c>
      <c r="I44" s="21">
        <f t="shared" si="19"/>
        <v>32351.19</v>
      </c>
      <c r="J44" s="21">
        <f t="shared" si="19"/>
        <v>28963.07</v>
      </c>
      <c r="K44" s="21">
        <f t="shared" si="19"/>
        <v>0</v>
      </c>
      <c r="L44" s="21">
        <f t="shared" si="19"/>
        <v>26073.78</v>
      </c>
      <c r="M44" s="21">
        <f t="shared" si="19"/>
        <v>18420.62</v>
      </c>
      <c r="N44" s="21">
        <f t="shared" si="19"/>
        <v>23427.41</v>
      </c>
      <c r="O44" s="21">
        <f t="shared" si="19"/>
        <v>143</v>
      </c>
      <c r="P44" s="21">
        <f t="shared" si="19"/>
        <v>17757.27</v>
      </c>
      <c r="Q44" s="21">
        <f t="shared" si="19"/>
        <v>51717.65</v>
      </c>
      <c r="R44" s="21">
        <f t="shared" si="19"/>
        <v>21607.48</v>
      </c>
      <c r="S44" s="21">
        <f t="shared" si="19"/>
        <v>9823.25</v>
      </c>
      <c r="T44" s="21">
        <f t="shared" si="19"/>
        <v>19278.45</v>
      </c>
      <c r="U44" s="21">
        <f t="shared" si="19"/>
        <v>28882.22</v>
      </c>
      <c r="V44" s="21">
        <f t="shared" si="19"/>
        <v>-38847868.489999995</v>
      </c>
      <c r="W44" s="22">
        <f>SUM(W41:W43)</f>
        <v>467714.99000000209</v>
      </c>
    </row>
    <row r="45" spans="1:23" s="50" customFormat="1" ht="11.25">
      <c r="A45" s="238"/>
      <c r="B45" s="239"/>
      <c r="C45" s="240"/>
      <c r="D45" s="323"/>
      <c r="E45" s="70"/>
      <c r="F45" s="70"/>
      <c r="G45" s="47"/>
      <c r="H45" s="48"/>
      <c r="I45" s="48"/>
      <c r="J45" s="28"/>
      <c r="K45" s="49"/>
      <c r="L45" s="49"/>
      <c r="M45" s="28"/>
      <c r="N45" s="49"/>
      <c r="O45" s="49"/>
      <c r="P45" s="28"/>
      <c r="Q45" s="49"/>
      <c r="R45" s="49"/>
      <c r="S45" s="28"/>
      <c r="T45" s="49"/>
      <c r="U45" s="49"/>
      <c r="V45" s="28"/>
      <c r="W45" s="112"/>
    </row>
    <row r="46" spans="1:23" s="2" customFormat="1">
      <c r="A46" s="235">
        <v>18603202</v>
      </c>
      <c r="B46" s="236">
        <v>18609532</v>
      </c>
      <c r="C46" s="135" t="s">
        <v>116</v>
      </c>
      <c r="D46" s="324" t="s">
        <v>92</v>
      </c>
      <c r="E46" s="113"/>
      <c r="F46" s="42"/>
      <c r="G46" s="52">
        <v>436858.74</v>
      </c>
      <c r="H46" s="52">
        <f>-181223.3</f>
        <v>-181223.3</v>
      </c>
      <c r="I46" s="52">
        <f>194010.96</f>
        <v>194010.96</v>
      </c>
      <c r="J46" s="52">
        <v>29882.55</v>
      </c>
      <c r="K46" s="52">
        <f>3576.66</f>
        <v>3576.66</v>
      </c>
      <c r="L46" s="52">
        <f>15240.37</f>
        <v>15240.37</v>
      </c>
      <c r="M46" s="52">
        <f>32102.37</f>
        <v>32102.37</v>
      </c>
      <c r="N46" s="52">
        <f>21865.13</f>
        <v>21865.13</v>
      </c>
      <c r="O46" s="52">
        <f>22310.63</f>
        <v>22310.63</v>
      </c>
      <c r="P46" s="52">
        <f>47813.9</f>
        <v>47813.9</v>
      </c>
      <c r="Q46" s="52">
        <f>271130.54</f>
        <v>271130.53999999998</v>
      </c>
      <c r="R46" s="52">
        <f>2849.5</f>
        <v>2849.5</v>
      </c>
      <c r="S46" s="52">
        <f>77464.79</f>
        <v>77464.789999999994</v>
      </c>
      <c r="T46" s="52">
        <f>107236.08</f>
        <v>107236.08</v>
      </c>
      <c r="U46" s="52">
        <f>249</f>
        <v>249</v>
      </c>
      <c r="V46" s="52">
        <f>166</f>
        <v>166</v>
      </c>
      <c r="W46" s="14">
        <f t="shared" ref="W46:W47" si="20">SUM(G46:V46)</f>
        <v>1081533.9200000002</v>
      </c>
    </row>
    <row r="47" spans="1:23" s="2" customFormat="1">
      <c r="A47" s="235"/>
      <c r="B47" s="322">
        <v>18609532</v>
      </c>
      <c r="C47" s="135" t="s">
        <v>30</v>
      </c>
      <c r="D47" s="330" t="s">
        <v>93</v>
      </c>
      <c r="E47" s="16">
        <v>43070</v>
      </c>
      <c r="F47" s="99" t="s">
        <v>16</v>
      </c>
      <c r="G47" s="37">
        <v>0</v>
      </c>
      <c r="H47" s="37">
        <v>0</v>
      </c>
      <c r="I47" s="37">
        <v>0</v>
      </c>
      <c r="J47" s="37">
        <v>0</v>
      </c>
      <c r="K47" s="37">
        <v>0</v>
      </c>
      <c r="L47" s="37">
        <v>0</v>
      </c>
      <c r="M47" s="37">
        <v>0</v>
      </c>
      <c r="N47" s="37">
        <v>0</v>
      </c>
      <c r="O47" s="37">
        <v>0</v>
      </c>
      <c r="P47" s="37">
        <v>0</v>
      </c>
      <c r="Q47" s="37">
        <v>0</v>
      </c>
      <c r="R47" s="37">
        <v>0</v>
      </c>
      <c r="S47" s="37">
        <v>0</v>
      </c>
      <c r="T47" s="37">
        <v>0</v>
      </c>
      <c r="U47" s="37">
        <v>0</v>
      </c>
      <c r="V47" s="175">
        <v>-436858.74</v>
      </c>
      <c r="W47" s="18">
        <f t="shared" si="20"/>
        <v>-436858.74</v>
      </c>
    </row>
    <row r="48" spans="1:23" s="2" customFormat="1">
      <c r="A48" s="321"/>
      <c r="B48" s="322"/>
      <c r="C48" s="331" t="s">
        <v>117</v>
      </c>
      <c r="D48" s="317"/>
      <c r="E48" s="60"/>
      <c r="F48" s="127"/>
      <c r="G48" s="21">
        <f t="shared" ref="G48:V48" si="21">SUM(G46:G47)</f>
        <v>436858.74</v>
      </c>
      <c r="H48" s="21">
        <f t="shared" si="21"/>
        <v>-181223.3</v>
      </c>
      <c r="I48" s="21">
        <f t="shared" si="21"/>
        <v>194010.96</v>
      </c>
      <c r="J48" s="21">
        <f t="shared" si="21"/>
        <v>29882.55</v>
      </c>
      <c r="K48" s="21">
        <f t="shared" si="21"/>
        <v>3576.66</v>
      </c>
      <c r="L48" s="21">
        <f t="shared" si="21"/>
        <v>15240.37</v>
      </c>
      <c r="M48" s="21">
        <f t="shared" si="21"/>
        <v>32102.37</v>
      </c>
      <c r="N48" s="21">
        <f t="shared" si="21"/>
        <v>21865.13</v>
      </c>
      <c r="O48" s="21">
        <f t="shared" si="21"/>
        <v>22310.63</v>
      </c>
      <c r="P48" s="21">
        <f t="shared" si="21"/>
        <v>47813.9</v>
      </c>
      <c r="Q48" s="21">
        <f t="shared" si="21"/>
        <v>271130.53999999998</v>
      </c>
      <c r="R48" s="21">
        <f t="shared" si="21"/>
        <v>2849.5</v>
      </c>
      <c r="S48" s="21">
        <f t="shared" si="21"/>
        <v>77464.789999999994</v>
      </c>
      <c r="T48" s="21">
        <f t="shared" si="21"/>
        <v>107236.08</v>
      </c>
      <c r="U48" s="21">
        <f t="shared" si="21"/>
        <v>249</v>
      </c>
      <c r="V48" s="21">
        <f t="shared" si="21"/>
        <v>-436692.74</v>
      </c>
      <c r="W48" s="22">
        <f>SUM(W45:W47)</f>
        <v>644675.18000000017</v>
      </c>
    </row>
    <row r="49" spans="1:23" s="50" customFormat="1" ht="11.25">
      <c r="A49" s="238"/>
      <c r="B49" s="239"/>
      <c r="C49" s="240"/>
      <c r="D49" s="323"/>
      <c r="E49" s="70"/>
      <c r="F49" s="70"/>
      <c r="G49" s="47"/>
      <c r="H49" s="48"/>
      <c r="I49" s="48"/>
      <c r="J49" s="28"/>
      <c r="K49" s="49"/>
      <c r="L49" s="49"/>
      <c r="M49" s="28"/>
      <c r="N49" s="49"/>
      <c r="O49" s="49"/>
      <c r="P49" s="28"/>
      <c r="Q49" s="49"/>
      <c r="R49" s="49"/>
      <c r="S49" s="28"/>
      <c r="T49" s="49"/>
      <c r="U49" s="49"/>
      <c r="V49" s="28"/>
      <c r="W49" s="112"/>
    </row>
    <row r="50" spans="1:23" s="2" customFormat="1">
      <c r="A50" s="235">
        <v>18614402</v>
      </c>
      <c r="B50" s="236">
        <v>18609542</v>
      </c>
      <c r="C50" s="135" t="s">
        <v>118</v>
      </c>
      <c r="D50" s="594" t="s">
        <v>92</v>
      </c>
      <c r="E50" s="574"/>
      <c r="F50" s="572"/>
      <c r="G50" s="52">
        <v>1263973.54</v>
      </c>
      <c r="H50" s="52">
        <v>2360</v>
      </c>
      <c r="I50" s="52">
        <v>0</v>
      </c>
      <c r="J50" s="52">
        <v>-680.23</v>
      </c>
      <c r="K50" s="52">
        <v>0</v>
      </c>
      <c r="L50" s="52">
        <f t="shared" ref="L50:U52" si="22">K50</f>
        <v>0</v>
      </c>
      <c r="M50" s="52">
        <f t="shared" si="22"/>
        <v>0</v>
      </c>
      <c r="N50" s="52">
        <f t="shared" si="22"/>
        <v>0</v>
      </c>
      <c r="O50" s="52">
        <f t="shared" si="22"/>
        <v>0</v>
      </c>
      <c r="P50" s="52">
        <f t="shared" si="22"/>
        <v>0</v>
      </c>
      <c r="Q50" s="52">
        <f t="shared" si="22"/>
        <v>0</v>
      </c>
      <c r="R50" s="52">
        <f t="shared" si="22"/>
        <v>0</v>
      </c>
      <c r="S50" s="52">
        <f t="shared" si="22"/>
        <v>0</v>
      </c>
      <c r="T50" s="52">
        <f t="shared" si="22"/>
        <v>0</v>
      </c>
      <c r="U50" s="52">
        <f t="shared" si="22"/>
        <v>0</v>
      </c>
      <c r="V50" s="52">
        <f>U50+8491.4</f>
        <v>8491.4</v>
      </c>
      <c r="W50" s="14">
        <f t="shared" ref="W50:W53" si="23">SUM(G50:V50)</f>
        <v>1274144.71</v>
      </c>
    </row>
    <row r="51" spans="1:23" s="2" customFormat="1">
      <c r="A51" s="235"/>
      <c r="B51" s="236">
        <v>18608792</v>
      </c>
      <c r="C51" s="135" t="s">
        <v>119</v>
      </c>
      <c r="D51" s="596"/>
      <c r="E51" s="574"/>
      <c r="F51" s="573"/>
      <c r="G51" s="52">
        <v>-160310.15</v>
      </c>
      <c r="H51" s="52">
        <v>0</v>
      </c>
      <c r="I51" s="52">
        <f>H51</f>
        <v>0</v>
      </c>
      <c r="J51" s="52">
        <v>0</v>
      </c>
      <c r="K51" s="52">
        <f>J51</f>
        <v>0</v>
      </c>
      <c r="L51" s="52">
        <f t="shared" si="22"/>
        <v>0</v>
      </c>
      <c r="M51" s="52">
        <f t="shared" si="22"/>
        <v>0</v>
      </c>
      <c r="N51" s="52">
        <f t="shared" si="22"/>
        <v>0</v>
      </c>
      <c r="O51" s="52">
        <f t="shared" si="22"/>
        <v>0</v>
      </c>
      <c r="P51" s="52">
        <f t="shared" si="22"/>
        <v>0</v>
      </c>
      <c r="Q51" s="52">
        <f t="shared" si="22"/>
        <v>0</v>
      </c>
      <c r="R51" s="52">
        <f t="shared" si="22"/>
        <v>0</v>
      </c>
      <c r="S51" s="52">
        <f t="shared" si="22"/>
        <v>0</v>
      </c>
      <c r="T51" s="52">
        <f t="shared" si="22"/>
        <v>0</v>
      </c>
      <c r="U51" s="52">
        <f t="shared" si="22"/>
        <v>0</v>
      </c>
      <c r="V51" s="52">
        <f>U51</f>
        <v>0</v>
      </c>
      <c r="W51" s="14">
        <f t="shared" si="23"/>
        <v>-160310.15</v>
      </c>
    </row>
    <row r="52" spans="1:23" s="2" customFormat="1">
      <c r="A52" s="235"/>
      <c r="B52" s="236">
        <v>18609542</v>
      </c>
      <c r="C52" s="135" t="s">
        <v>30</v>
      </c>
      <c r="D52" s="594" t="s">
        <v>93</v>
      </c>
      <c r="E52" s="583">
        <v>43070</v>
      </c>
      <c r="F52" s="583" t="s">
        <v>16</v>
      </c>
      <c r="G52" s="52">
        <v>0</v>
      </c>
      <c r="H52" s="52">
        <v>0</v>
      </c>
      <c r="I52" s="52">
        <v>0</v>
      </c>
      <c r="J52" s="52">
        <v>0</v>
      </c>
      <c r="K52" s="52">
        <f t="shared" ref="K52" si="24">J52</f>
        <v>0</v>
      </c>
      <c r="L52" s="52">
        <f t="shared" si="22"/>
        <v>0</v>
      </c>
      <c r="M52" s="52">
        <f t="shared" si="22"/>
        <v>0</v>
      </c>
      <c r="N52" s="52">
        <f t="shared" si="22"/>
        <v>0</v>
      </c>
      <c r="O52" s="52">
        <f t="shared" si="22"/>
        <v>0</v>
      </c>
      <c r="P52" s="52">
        <f t="shared" si="22"/>
        <v>0</v>
      </c>
      <c r="Q52" s="52">
        <f t="shared" si="22"/>
        <v>0</v>
      </c>
      <c r="R52" s="52">
        <f t="shared" si="22"/>
        <v>0</v>
      </c>
      <c r="S52" s="52">
        <f t="shared" si="22"/>
        <v>0</v>
      </c>
      <c r="T52" s="52">
        <f t="shared" si="22"/>
        <v>0</v>
      </c>
      <c r="U52" s="52">
        <f t="shared" si="22"/>
        <v>0</v>
      </c>
      <c r="V52" s="52">
        <v>-1263973.54</v>
      </c>
      <c r="W52" s="14">
        <f t="shared" si="23"/>
        <v>-1263973.54</v>
      </c>
    </row>
    <row r="53" spans="1:23" s="2" customFormat="1">
      <c r="A53" s="235"/>
      <c r="B53" s="236">
        <v>18608792</v>
      </c>
      <c r="C53" s="135" t="s">
        <v>30</v>
      </c>
      <c r="D53" s="597"/>
      <c r="E53" s="584"/>
      <c r="F53" s="584"/>
      <c r="G53" s="37">
        <v>0</v>
      </c>
      <c r="H53" s="37">
        <v>0</v>
      </c>
      <c r="I53" s="37">
        <v>0</v>
      </c>
      <c r="J53" s="37">
        <v>0</v>
      </c>
      <c r="K53" s="37">
        <v>0</v>
      </c>
      <c r="L53" s="37">
        <v>0</v>
      </c>
      <c r="M53" s="37">
        <v>0</v>
      </c>
      <c r="N53" s="37">
        <v>0</v>
      </c>
      <c r="O53" s="37">
        <v>0</v>
      </c>
      <c r="P53" s="37">
        <v>0</v>
      </c>
      <c r="Q53" s="37">
        <v>0</v>
      </c>
      <c r="R53" s="37">
        <v>0</v>
      </c>
      <c r="S53" s="37">
        <v>0</v>
      </c>
      <c r="T53" s="37">
        <v>0</v>
      </c>
      <c r="U53" s="37">
        <v>0</v>
      </c>
      <c r="V53" s="175">
        <v>160310.15</v>
      </c>
      <c r="W53" s="18">
        <f t="shared" si="23"/>
        <v>160310.15</v>
      </c>
    </row>
    <row r="54" spans="1:23" s="2" customFormat="1">
      <c r="A54" s="321"/>
      <c r="B54" s="322"/>
      <c r="C54" s="331" t="s">
        <v>120</v>
      </c>
      <c r="D54" s="317"/>
      <c r="E54" s="60"/>
      <c r="F54" s="127"/>
      <c r="G54" s="21">
        <f t="shared" ref="G54:V54" si="25">SUM(G50:G53)</f>
        <v>1103663.3900000001</v>
      </c>
      <c r="H54" s="21">
        <f t="shared" si="25"/>
        <v>2360</v>
      </c>
      <c r="I54" s="21">
        <f t="shared" si="25"/>
        <v>0</v>
      </c>
      <c r="J54" s="21">
        <f t="shared" si="25"/>
        <v>-680.23</v>
      </c>
      <c r="K54" s="21">
        <f t="shared" si="25"/>
        <v>0</v>
      </c>
      <c r="L54" s="21">
        <f t="shared" si="25"/>
        <v>0</v>
      </c>
      <c r="M54" s="21">
        <f t="shared" si="25"/>
        <v>0</v>
      </c>
      <c r="N54" s="21">
        <f t="shared" si="25"/>
        <v>0</v>
      </c>
      <c r="O54" s="21">
        <f t="shared" si="25"/>
        <v>0</v>
      </c>
      <c r="P54" s="21">
        <f t="shared" si="25"/>
        <v>0</v>
      </c>
      <c r="Q54" s="21">
        <f t="shared" si="25"/>
        <v>0</v>
      </c>
      <c r="R54" s="21">
        <f t="shared" si="25"/>
        <v>0</v>
      </c>
      <c r="S54" s="21">
        <f t="shared" si="25"/>
        <v>0</v>
      </c>
      <c r="T54" s="21">
        <f t="shared" si="25"/>
        <v>0</v>
      </c>
      <c r="U54" s="21">
        <f t="shared" si="25"/>
        <v>0</v>
      </c>
      <c r="V54" s="21">
        <f t="shared" si="25"/>
        <v>-1095171.9900000002</v>
      </c>
      <c r="W54" s="22">
        <f>SUM(W50:W53)</f>
        <v>10171.170000000013</v>
      </c>
    </row>
    <row r="55" spans="1:23" s="50" customFormat="1" ht="11.25">
      <c r="A55" s="238"/>
      <c r="B55" s="239"/>
      <c r="C55" s="240"/>
      <c r="D55" s="323"/>
      <c r="E55" s="70"/>
      <c r="F55" s="70"/>
      <c r="G55" s="47"/>
      <c r="H55" s="48"/>
      <c r="I55" s="48"/>
      <c r="J55" s="28"/>
      <c r="K55" s="49"/>
      <c r="L55" s="49"/>
      <c r="M55" s="28"/>
      <c r="N55" s="49"/>
      <c r="O55" s="49"/>
      <c r="P55" s="28"/>
      <c r="Q55" s="49"/>
      <c r="R55" s="49"/>
      <c r="S55" s="28"/>
      <c r="T55" s="49"/>
      <c r="U55" s="49"/>
      <c r="V55" s="28"/>
      <c r="W55" s="112"/>
    </row>
    <row r="56" spans="1:23" s="2" customFormat="1">
      <c r="A56" s="235">
        <v>18608302</v>
      </c>
      <c r="B56" s="236">
        <v>18608752</v>
      </c>
      <c r="C56" s="135" t="s">
        <v>121</v>
      </c>
      <c r="D56" s="594" t="s">
        <v>92</v>
      </c>
      <c r="E56" s="574"/>
      <c r="F56" s="572"/>
      <c r="G56" s="52">
        <v>2050122.67</v>
      </c>
      <c r="H56" s="52">
        <v>0</v>
      </c>
      <c r="I56" s="52">
        <f>H56</f>
        <v>0</v>
      </c>
      <c r="J56" s="52">
        <v>0</v>
      </c>
      <c r="K56" s="52">
        <f>J56</f>
        <v>0</v>
      </c>
      <c r="L56" s="52">
        <f t="shared" ref="L56:V57" si="26">K56</f>
        <v>0</v>
      </c>
      <c r="M56" s="52">
        <f t="shared" si="26"/>
        <v>0</v>
      </c>
      <c r="N56" s="52">
        <f t="shared" si="26"/>
        <v>0</v>
      </c>
      <c r="O56" s="52">
        <f t="shared" si="26"/>
        <v>0</v>
      </c>
      <c r="P56" s="52">
        <f t="shared" si="26"/>
        <v>0</v>
      </c>
      <c r="Q56" s="52">
        <f t="shared" si="26"/>
        <v>0</v>
      </c>
      <c r="R56" s="52">
        <f t="shared" si="26"/>
        <v>0</v>
      </c>
      <c r="S56" s="52">
        <f t="shared" si="26"/>
        <v>0</v>
      </c>
      <c r="T56" s="52">
        <f t="shared" si="26"/>
        <v>0</v>
      </c>
      <c r="U56" s="52">
        <f t="shared" si="26"/>
        <v>0</v>
      </c>
      <c r="V56" s="52">
        <f t="shared" si="26"/>
        <v>0</v>
      </c>
      <c r="W56" s="14">
        <f t="shared" ref="W56:W58" si="27">SUM(G56:V56)</f>
        <v>2050122.67</v>
      </c>
    </row>
    <row r="57" spans="1:23" s="2" customFormat="1">
      <c r="A57" s="235"/>
      <c r="B57" s="236">
        <v>18608752</v>
      </c>
      <c r="C57" s="135" t="s">
        <v>199</v>
      </c>
      <c r="D57" s="596"/>
      <c r="E57" s="574"/>
      <c r="F57" s="573"/>
      <c r="G57" s="52">
        <v>-1114592.67</v>
      </c>
      <c r="H57" s="52">
        <v>0</v>
      </c>
      <c r="I57" s="52">
        <f>H57</f>
        <v>0</v>
      </c>
      <c r="J57" s="52">
        <v>0</v>
      </c>
      <c r="K57" s="52">
        <f>J57</f>
        <v>0</v>
      </c>
      <c r="L57" s="52">
        <f t="shared" si="26"/>
        <v>0</v>
      </c>
      <c r="M57" s="52">
        <f t="shared" si="26"/>
        <v>0</v>
      </c>
      <c r="N57" s="52">
        <f t="shared" si="26"/>
        <v>0</v>
      </c>
      <c r="O57" s="52">
        <f t="shared" si="26"/>
        <v>0</v>
      </c>
      <c r="P57" s="52">
        <f t="shared" si="26"/>
        <v>0</v>
      </c>
      <c r="Q57" s="52">
        <f t="shared" si="26"/>
        <v>0</v>
      </c>
      <c r="R57" s="52">
        <f t="shared" si="26"/>
        <v>0</v>
      </c>
      <c r="S57" s="52">
        <f t="shared" si="26"/>
        <v>0</v>
      </c>
      <c r="T57" s="52">
        <f t="shared" si="26"/>
        <v>0</v>
      </c>
      <c r="U57" s="52">
        <f t="shared" si="26"/>
        <v>0</v>
      </c>
      <c r="V57" s="52">
        <f t="shared" si="26"/>
        <v>0</v>
      </c>
      <c r="W57" s="14">
        <f t="shared" si="27"/>
        <v>-1114592.67</v>
      </c>
    </row>
    <row r="58" spans="1:23" s="2" customFormat="1">
      <c r="A58" s="235"/>
      <c r="B58" s="236">
        <v>18608752</v>
      </c>
      <c r="C58" s="135" t="s">
        <v>30</v>
      </c>
      <c r="D58" s="330" t="s">
        <v>93</v>
      </c>
      <c r="E58" s="16">
        <v>43070</v>
      </c>
      <c r="F58" s="99" t="s">
        <v>16</v>
      </c>
      <c r="G58" s="37">
        <v>0</v>
      </c>
      <c r="H58" s="37">
        <v>0</v>
      </c>
      <c r="I58" s="37">
        <v>0</v>
      </c>
      <c r="J58" s="37">
        <v>0</v>
      </c>
      <c r="K58" s="37">
        <v>0</v>
      </c>
      <c r="L58" s="37">
        <v>0</v>
      </c>
      <c r="M58" s="37">
        <v>0</v>
      </c>
      <c r="N58" s="37">
        <v>0</v>
      </c>
      <c r="O58" s="37">
        <v>0</v>
      </c>
      <c r="P58" s="37">
        <v>0</v>
      </c>
      <c r="Q58" s="37">
        <v>0</v>
      </c>
      <c r="R58" s="37">
        <v>0</v>
      </c>
      <c r="S58" s="37">
        <v>0</v>
      </c>
      <c r="T58" s="37">
        <v>0</v>
      </c>
      <c r="U58" s="37">
        <v>0</v>
      </c>
      <c r="V58" s="175">
        <v>-935530</v>
      </c>
      <c r="W58" s="18">
        <f t="shared" si="27"/>
        <v>-935530</v>
      </c>
    </row>
    <row r="59" spans="1:23" s="2" customFormat="1">
      <c r="A59" s="321"/>
      <c r="B59" s="322"/>
      <c r="C59" s="331" t="s">
        <v>123</v>
      </c>
      <c r="D59" s="317"/>
      <c r="E59" s="60"/>
      <c r="F59" s="127"/>
      <c r="G59" s="21">
        <f t="shared" ref="G59:V59" si="28">SUM(G56:G58)</f>
        <v>935530</v>
      </c>
      <c r="H59" s="21">
        <f t="shared" si="28"/>
        <v>0</v>
      </c>
      <c r="I59" s="21">
        <f t="shared" si="28"/>
        <v>0</v>
      </c>
      <c r="J59" s="21">
        <f t="shared" si="28"/>
        <v>0</v>
      </c>
      <c r="K59" s="21">
        <f t="shared" si="28"/>
        <v>0</v>
      </c>
      <c r="L59" s="21">
        <f t="shared" si="28"/>
        <v>0</v>
      </c>
      <c r="M59" s="21">
        <f t="shared" si="28"/>
        <v>0</v>
      </c>
      <c r="N59" s="21">
        <f t="shared" si="28"/>
        <v>0</v>
      </c>
      <c r="O59" s="21">
        <f t="shared" si="28"/>
        <v>0</v>
      </c>
      <c r="P59" s="21">
        <f t="shared" si="28"/>
        <v>0</v>
      </c>
      <c r="Q59" s="21">
        <f t="shared" si="28"/>
        <v>0</v>
      </c>
      <c r="R59" s="21">
        <f t="shared" si="28"/>
        <v>0</v>
      </c>
      <c r="S59" s="21">
        <f t="shared" si="28"/>
        <v>0</v>
      </c>
      <c r="T59" s="21">
        <f t="shared" si="28"/>
        <v>0</v>
      </c>
      <c r="U59" s="21">
        <f t="shared" si="28"/>
        <v>0</v>
      </c>
      <c r="V59" s="21">
        <f t="shared" si="28"/>
        <v>-935530</v>
      </c>
      <c r="W59" s="22">
        <f>SUM(W55:W58)</f>
        <v>0</v>
      </c>
    </row>
    <row r="60" spans="1:23" s="50" customFormat="1" ht="11.25">
      <c r="A60" s="238"/>
      <c r="B60" s="239"/>
      <c r="C60" s="240"/>
      <c r="D60" s="323"/>
      <c r="E60" s="70"/>
      <c r="F60" s="70"/>
      <c r="G60" s="47"/>
      <c r="H60" s="48"/>
      <c r="I60" s="48"/>
      <c r="J60" s="28"/>
      <c r="K60" s="49"/>
      <c r="L60" s="49"/>
      <c r="M60" s="28"/>
      <c r="N60" s="49"/>
      <c r="O60" s="49"/>
      <c r="P60" s="28"/>
      <c r="Q60" s="49"/>
      <c r="R60" s="49"/>
      <c r="S60" s="28"/>
      <c r="T60" s="49"/>
      <c r="U60" s="49"/>
      <c r="V60" s="28"/>
      <c r="W60" s="112"/>
    </row>
    <row r="61" spans="1:23" s="2" customFormat="1">
      <c r="A61" s="235">
        <v>18607104</v>
      </c>
      <c r="B61" s="236">
        <v>18608002</v>
      </c>
      <c r="C61" s="135" t="s">
        <v>124</v>
      </c>
      <c r="D61" s="324" t="s">
        <v>92</v>
      </c>
      <c r="E61" s="113"/>
      <c r="F61" s="42"/>
      <c r="G61" s="52">
        <v>518202.47000000003</v>
      </c>
      <c r="H61" s="52">
        <f>102328</f>
        <v>102328</v>
      </c>
      <c r="I61" s="52">
        <v>0</v>
      </c>
      <c r="J61" s="52">
        <v>8406.98</v>
      </c>
      <c r="K61" s="52">
        <f>37123.95</f>
        <v>37123.949999999997</v>
      </c>
      <c r="L61" s="52">
        <f>1584.89</f>
        <v>1584.89</v>
      </c>
      <c r="M61" s="52">
        <f>854.61</f>
        <v>854.61</v>
      </c>
      <c r="N61" s="52">
        <v>0</v>
      </c>
      <c r="O61" s="52">
        <f>57600.19</f>
        <v>57600.19</v>
      </c>
      <c r="P61" s="52">
        <f>2680.5</f>
        <v>2680.5</v>
      </c>
      <c r="Q61" s="52">
        <f>14186.35</f>
        <v>14186.35</v>
      </c>
      <c r="R61" s="52">
        <f>1430</f>
        <v>1430</v>
      </c>
      <c r="S61" s="52">
        <f>322.5</f>
        <v>322.5</v>
      </c>
      <c r="T61" s="52">
        <v>0</v>
      </c>
      <c r="U61" s="52">
        <f>18671.58</f>
        <v>18671.580000000002</v>
      </c>
      <c r="V61" s="52">
        <f>7486.39</f>
        <v>7486.39</v>
      </c>
      <c r="W61" s="14">
        <f>SUM(G61:V61)</f>
        <v>770878.4099999998</v>
      </c>
    </row>
    <row r="62" spans="1:23" s="2" customFormat="1">
      <c r="A62" s="235"/>
      <c r="B62" s="236">
        <v>18608002</v>
      </c>
      <c r="C62" s="135" t="s">
        <v>30</v>
      </c>
      <c r="D62" s="330" t="s">
        <v>93</v>
      </c>
      <c r="E62" s="16">
        <v>43070</v>
      </c>
      <c r="F62" s="99" t="s">
        <v>16</v>
      </c>
      <c r="G62" s="37">
        <v>0</v>
      </c>
      <c r="H62" s="37">
        <v>0</v>
      </c>
      <c r="I62" s="37">
        <v>0</v>
      </c>
      <c r="J62" s="37">
        <v>0</v>
      </c>
      <c r="K62" s="37">
        <v>0</v>
      </c>
      <c r="L62" s="37">
        <v>0</v>
      </c>
      <c r="M62" s="37">
        <v>0</v>
      </c>
      <c r="N62" s="37">
        <v>0</v>
      </c>
      <c r="O62" s="37">
        <v>0</v>
      </c>
      <c r="P62" s="37">
        <v>0</v>
      </c>
      <c r="Q62" s="37">
        <v>0</v>
      </c>
      <c r="R62" s="37">
        <v>0</v>
      </c>
      <c r="S62" s="37">
        <v>0</v>
      </c>
      <c r="T62" s="37">
        <v>0</v>
      </c>
      <c r="U62" s="37">
        <v>0</v>
      </c>
      <c r="V62" s="175">
        <f>-518202.47</f>
        <v>-518202.47</v>
      </c>
      <c r="W62" s="18">
        <f t="shared" ref="W62" si="29">SUM(G62:V62)</f>
        <v>-518202.47</v>
      </c>
    </row>
    <row r="63" spans="1:23" s="2" customFormat="1">
      <c r="A63" s="321"/>
      <c r="B63" s="322"/>
      <c r="C63" s="331" t="s">
        <v>125</v>
      </c>
      <c r="D63" s="317"/>
      <c r="E63" s="60"/>
      <c r="F63" s="127"/>
      <c r="G63" s="21">
        <f t="shared" ref="G63:V63" si="30">SUM(G61:G62)</f>
        <v>518202.47000000003</v>
      </c>
      <c r="H63" s="21">
        <f t="shared" si="30"/>
        <v>102328</v>
      </c>
      <c r="I63" s="21">
        <f t="shared" si="30"/>
        <v>0</v>
      </c>
      <c r="J63" s="21">
        <f t="shared" si="30"/>
        <v>8406.98</v>
      </c>
      <c r="K63" s="21">
        <f t="shared" si="30"/>
        <v>37123.949999999997</v>
      </c>
      <c r="L63" s="21">
        <f t="shared" si="30"/>
        <v>1584.89</v>
      </c>
      <c r="M63" s="21">
        <f t="shared" si="30"/>
        <v>854.61</v>
      </c>
      <c r="N63" s="21">
        <f t="shared" si="30"/>
        <v>0</v>
      </c>
      <c r="O63" s="21">
        <f t="shared" si="30"/>
        <v>57600.19</v>
      </c>
      <c r="P63" s="21">
        <f t="shared" si="30"/>
        <v>2680.5</v>
      </c>
      <c r="Q63" s="21">
        <f t="shared" si="30"/>
        <v>14186.35</v>
      </c>
      <c r="R63" s="21">
        <f t="shared" si="30"/>
        <v>1430</v>
      </c>
      <c r="S63" s="21">
        <f t="shared" si="30"/>
        <v>322.5</v>
      </c>
      <c r="T63" s="21">
        <f t="shared" si="30"/>
        <v>0</v>
      </c>
      <c r="U63" s="21">
        <f t="shared" si="30"/>
        <v>18671.580000000002</v>
      </c>
      <c r="V63" s="21">
        <f t="shared" si="30"/>
        <v>-510716.07999999996</v>
      </c>
      <c r="W63" s="22">
        <f>SUM(W61:W62)</f>
        <v>252675.93999999983</v>
      </c>
    </row>
    <row r="64" spans="1:23" s="50" customFormat="1" ht="11.25">
      <c r="A64" s="238"/>
      <c r="B64" s="239"/>
      <c r="C64" s="240"/>
      <c r="D64" s="323"/>
      <c r="E64" s="70"/>
      <c r="F64" s="70"/>
      <c r="G64" s="47"/>
      <c r="H64" s="48"/>
      <c r="I64" s="48"/>
      <c r="J64" s="28"/>
      <c r="K64" s="49"/>
      <c r="L64" s="49"/>
      <c r="M64" s="28"/>
      <c r="N64" s="49"/>
      <c r="O64" s="49"/>
      <c r="P64" s="28"/>
      <c r="Q64" s="49"/>
      <c r="R64" s="49"/>
      <c r="S64" s="67"/>
      <c r="T64" s="49"/>
      <c r="U64" s="49"/>
      <c r="V64" s="28"/>
      <c r="W64" s="112"/>
    </row>
    <row r="65" spans="1:24" s="2" customFormat="1">
      <c r="A65" s="235">
        <v>18230212</v>
      </c>
      <c r="B65" s="236">
        <v>18237112</v>
      </c>
      <c r="C65" s="135" t="s">
        <v>126</v>
      </c>
      <c r="D65" s="324" t="s">
        <v>92</v>
      </c>
      <c r="E65" s="113"/>
      <c r="F65" s="42"/>
      <c r="G65" s="12">
        <v>289121.19</v>
      </c>
      <c r="H65" s="12">
        <f>2929.3</f>
        <v>2929.3</v>
      </c>
      <c r="I65" s="12">
        <f>425.1</f>
        <v>425.1</v>
      </c>
      <c r="J65" s="12">
        <v>1753.25</v>
      </c>
      <c r="K65" s="12">
        <v>0</v>
      </c>
      <c r="L65" s="12">
        <f t="shared" ref="L65:V66" si="31">K65</f>
        <v>0</v>
      </c>
      <c r="M65" s="12">
        <f t="shared" si="31"/>
        <v>0</v>
      </c>
      <c r="N65" s="12">
        <f t="shared" si="31"/>
        <v>0</v>
      </c>
      <c r="O65" s="12">
        <f t="shared" si="31"/>
        <v>0</v>
      </c>
      <c r="P65" s="12">
        <f t="shared" si="31"/>
        <v>0</v>
      </c>
      <c r="Q65" s="12">
        <f t="shared" si="31"/>
        <v>0</v>
      </c>
      <c r="R65" s="12">
        <f t="shared" si="31"/>
        <v>0</v>
      </c>
      <c r="S65" s="12">
        <f t="shared" si="31"/>
        <v>0</v>
      </c>
      <c r="T65" s="12">
        <f t="shared" si="31"/>
        <v>0</v>
      </c>
      <c r="U65" s="12">
        <f t="shared" si="31"/>
        <v>0</v>
      </c>
      <c r="V65" s="12">
        <f t="shared" si="31"/>
        <v>0</v>
      </c>
      <c r="W65" s="14">
        <f>SUM(G65:V65)</f>
        <v>294228.83999999997</v>
      </c>
    </row>
    <row r="66" spans="1:24" s="2" customFormat="1">
      <c r="A66" s="235"/>
      <c r="B66" s="236">
        <v>18237112</v>
      </c>
      <c r="C66" s="237" t="s">
        <v>30</v>
      </c>
      <c r="D66" s="330" t="s">
        <v>93</v>
      </c>
      <c r="E66" s="16">
        <v>43070</v>
      </c>
      <c r="F66" s="99" t="s">
        <v>16</v>
      </c>
      <c r="G66" s="17">
        <v>0</v>
      </c>
      <c r="H66" s="17">
        <v>0</v>
      </c>
      <c r="I66" s="17">
        <v>0</v>
      </c>
      <c r="J66" s="17">
        <v>0</v>
      </c>
      <c r="K66" s="17">
        <v>0</v>
      </c>
      <c r="L66" s="17">
        <f t="shared" si="31"/>
        <v>0</v>
      </c>
      <c r="M66" s="17">
        <f t="shared" si="31"/>
        <v>0</v>
      </c>
      <c r="N66" s="17">
        <f t="shared" si="31"/>
        <v>0</v>
      </c>
      <c r="O66" s="17">
        <f t="shared" si="31"/>
        <v>0</v>
      </c>
      <c r="P66" s="17">
        <f t="shared" si="31"/>
        <v>0</v>
      </c>
      <c r="Q66" s="17">
        <f t="shared" si="31"/>
        <v>0</v>
      </c>
      <c r="R66" s="17">
        <f t="shared" si="31"/>
        <v>0</v>
      </c>
      <c r="S66" s="17">
        <f t="shared" si="31"/>
        <v>0</v>
      </c>
      <c r="T66" s="17">
        <f t="shared" si="31"/>
        <v>0</v>
      </c>
      <c r="U66" s="17">
        <f t="shared" si="31"/>
        <v>0</v>
      </c>
      <c r="V66" s="17">
        <v>-289121.19</v>
      </c>
      <c r="W66" s="18">
        <f t="shared" ref="W66" si="32">SUM(G66:V66)</f>
        <v>-289121.19</v>
      </c>
    </row>
    <row r="67" spans="1:24" s="2" customFormat="1">
      <c r="A67" s="235"/>
      <c r="B67" s="236"/>
      <c r="C67" s="199" t="s">
        <v>127</v>
      </c>
      <c r="D67" s="325"/>
      <c r="E67" s="60"/>
      <c r="F67" s="127"/>
      <c r="G67" s="21">
        <f t="shared" ref="G67:V67" si="33">SUM(G65:G66)</f>
        <v>289121.19</v>
      </c>
      <c r="H67" s="21">
        <f t="shared" si="33"/>
        <v>2929.3</v>
      </c>
      <c r="I67" s="21">
        <f t="shared" si="33"/>
        <v>425.1</v>
      </c>
      <c r="J67" s="21">
        <f t="shared" si="33"/>
        <v>1753.25</v>
      </c>
      <c r="K67" s="21">
        <f t="shared" si="33"/>
        <v>0</v>
      </c>
      <c r="L67" s="21">
        <f t="shared" si="33"/>
        <v>0</v>
      </c>
      <c r="M67" s="21">
        <f t="shared" si="33"/>
        <v>0</v>
      </c>
      <c r="N67" s="21">
        <f t="shared" si="33"/>
        <v>0</v>
      </c>
      <c r="O67" s="21">
        <f t="shared" si="33"/>
        <v>0</v>
      </c>
      <c r="P67" s="21">
        <f t="shared" si="33"/>
        <v>0</v>
      </c>
      <c r="Q67" s="21">
        <f t="shared" si="33"/>
        <v>0</v>
      </c>
      <c r="R67" s="21">
        <f t="shared" si="33"/>
        <v>0</v>
      </c>
      <c r="S67" s="21">
        <f t="shared" si="33"/>
        <v>0</v>
      </c>
      <c r="T67" s="21">
        <f t="shared" si="33"/>
        <v>0</v>
      </c>
      <c r="U67" s="21">
        <f t="shared" si="33"/>
        <v>0</v>
      </c>
      <c r="V67" s="21">
        <f t="shared" si="33"/>
        <v>-289121.19</v>
      </c>
      <c r="W67" s="22">
        <f>SUM(W65:W66)</f>
        <v>5107.6499999999651</v>
      </c>
    </row>
    <row r="68" spans="1:24" s="50" customFormat="1" ht="11.25">
      <c r="A68" s="238"/>
      <c r="B68" s="239"/>
      <c r="C68" s="240"/>
      <c r="D68" s="323"/>
      <c r="E68" s="70"/>
      <c r="F68" s="128"/>
      <c r="G68" s="47"/>
      <c r="H68" s="48"/>
      <c r="I68" s="48"/>
      <c r="J68" s="28"/>
      <c r="K68" s="49"/>
      <c r="L68" s="49"/>
      <c r="M68" s="28"/>
      <c r="N68" s="49"/>
      <c r="O68" s="49"/>
      <c r="P68" s="28"/>
      <c r="Q68" s="49"/>
      <c r="R68" s="49"/>
      <c r="S68" s="28"/>
      <c r="T68" s="49"/>
      <c r="U68" s="49"/>
      <c r="V68" s="28"/>
      <c r="W68" s="112"/>
    </row>
    <row r="69" spans="1:24" s="2" customFormat="1">
      <c r="A69" s="235"/>
      <c r="B69" s="236">
        <v>18237122</v>
      </c>
      <c r="C69" s="135" t="s">
        <v>128</v>
      </c>
      <c r="D69" s="332" t="s">
        <v>92</v>
      </c>
      <c r="E69" s="130" t="s">
        <v>129</v>
      </c>
      <c r="F69" s="131"/>
      <c r="G69" s="12">
        <v>169602.13</v>
      </c>
      <c r="H69" s="51">
        <v>0</v>
      </c>
      <c r="I69" s="51">
        <f>H69</f>
        <v>0</v>
      </c>
      <c r="J69" s="12">
        <v>0</v>
      </c>
      <c r="K69" s="12">
        <f>J69</f>
        <v>0</v>
      </c>
      <c r="L69" s="12">
        <f>K69</f>
        <v>0</v>
      </c>
      <c r="M69" s="12">
        <f t="shared" ref="M69:V70" si="34">L69</f>
        <v>0</v>
      </c>
      <c r="N69" s="12">
        <f t="shared" si="34"/>
        <v>0</v>
      </c>
      <c r="O69" s="12">
        <f t="shared" si="34"/>
        <v>0</v>
      </c>
      <c r="P69" s="12">
        <f t="shared" si="34"/>
        <v>0</v>
      </c>
      <c r="Q69" s="12">
        <f t="shared" si="34"/>
        <v>0</v>
      </c>
      <c r="R69" s="12">
        <f t="shared" si="34"/>
        <v>0</v>
      </c>
      <c r="S69" s="12">
        <f t="shared" si="34"/>
        <v>0</v>
      </c>
      <c r="T69" s="12">
        <f t="shared" si="34"/>
        <v>0</v>
      </c>
      <c r="U69" s="12">
        <f t="shared" si="34"/>
        <v>0</v>
      </c>
      <c r="V69" s="12">
        <f t="shared" si="34"/>
        <v>0</v>
      </c>
      <c r="W69" s="14">
        <f>SUM(G69:V69)</f>
        <v>169602.13</v>
      </c>
    </row>
    <row r="70" spans="1:24" s="2" customFormat="1">
      <c r="A70" s="235"/>
      <c r="B70" s="236">
        <v>18237122</v>
      </c>
      <c r="C70" s="237" t="s">
        <v>30</v>
      </c>
      <c r="D70" s="330" t="s">
        <v>93</v>
      </c>
      <c r="E70" s="132">
        <v>43070</v>
      </c>
      <c r="F70" s="133" t="s">
        <v>16</v>
      </c>
      <c r="G70" s="37">
        <v>0</v>
      </c>
      <c r="H70" s="37">
        <v>0</v>
      </c>
      <c r="I70" s="37">
        <v>0</v>
      </c>
      <c r="J70" s="37">
        <v>0</v>
      </c>
      <c r="K70" s="17">
        <v>0</v>
      </c>
      <c r="L70" s="17">
        <f t="shared" ref="L70" si="35">K70</f>
        <v>0</v>
      </c>
      <c r="M70" s="17">
        <f t="shared" si="34"/>
        <v>0</v>
      </c>
      <c r="N70" s="17">
        <f t="shared" si="34"/>
        <v>0</v>
      </c>
      <c r="O70" s="17">
        <f t="shared" si="34"/>
        <v>0</v>
      </c>
      <c r="P70" s="17">
        <f t="shared" si="34"/>
        <v>0</v>
      </c>
      <c r="Q70" s="17">
        <f t="shared" si="34"/>
        <v>0</v>
      </c>
      <c r="R70" s="17">
        <f t="shared" si="34"/>
        <v>0</v>
      </c>
      <c r="S70" s="17">
        <f t="shared" si="34"/>
        <v>0</v>
      </c>
      <c r="T70" s="17">
        <f t="shared" si="34"/>
        <v>0</v>
      </c>
      <c r="U70" s="17">
        <f t="shared" si="34"/>
        <v>0</v>
      </c>
      <c r="V70" s="17">
        <v>-169602.13</v>
      </c>
      <c r="W70" s="18">
        <f t="shared" ref="W70" si="36">SUM(G70:V70)</f>
        <v>-169602.13</v>
      </c>
    </row>
    <row r="71" spans="1:24" s="2" customFormat="1">
      <c r="A71" s="235"/>
      <c r="B71" s="236"/>
      <c r="C71" s="199" t="s">
        <v>130</v>
      </c>
      <c r="D71" s="325"/>
      <c r="E71" s="60"/>
      <c r="F71" s="109"/>
      <c r="G71" s="56">
        <f t="shared" ref="G71:V71" si="37">SUM(G69:G70)</f>
        <v>169602.13</v>
      </c>
      <c r="H71" s="56">
        <f t="shared" si="37"/>
        <v>0</v>
      </c>
      <c r="I71" s="56">
        <f t="shared" si="37"/>
        <v>0</v>
      </c>
      <c r="J71" s="56">
        <f t="shared" si="37"/>
        <v>0</v>
      </c>
      <c r="K71" s="56">
        <f t="shared" si="37"/>
        <v>0</v>
      </c>
      <c r="L71" s="56">
        <f t="shared" si="37"/>
        <v>0</v>
      </c>
      <c r="M71" s="56">
        <f t="shared" si="37"/>
        <v>0</v>
      </c>
      <c r="N71" s="56">
        <f t="shared" si="37"/>
        <v>0</v>
      </c>
      <c r="O71" s="56">
        <f t="shared" si="37"/>
        <v>0</v>
      </c>
      <c r="P71" s="56">
        <f t="shared" si="37"/>
        <v>0</v>
      </c>
      <c r="Q71" s="56">
        <f t="shared" si="37"/>
        <v>0</v>
      </c>
      <c r="R71" s="56">
        <f t="shared" si="37"/>
        <v>0</v>
      </c>
      <c r="S71" s="56">
        <f t="shared" si="37"/>
        <v>0</v>
      </c>
      <c r="T71" s="56">
        <f t="shared" si="37"/>
        <v>0</v>
      </c>
      <c r="U71" s="56">
        <f t="shared" si="37"/>
        <v>0</v>
      </c>
      <c r="V71" s="56">
        <f t="shared" si="37"/>
        <v>-169602.13</v>
      </c>
      <c r="W71" s="22">
        <f>SUM(W69:W70)</f>
        <v>0</v>
      </c>
    </row>
    <row r="72" spans="1:24" s="50" customFormat="1" ht="11.25">
      <c r="A72" s="238"/>
      <c r="B72" s="239"/>
      <c r="C72" s="240"/>
      <c r="D72" s="323"/>
      <c r="E72" s="70"/>
      <c r="F72" s="70"/>
      <c r="G72" s="47"/>
      <c r="H72" s="48"/>
      <c r="I72" s="48"/>
      <c r="J72" s="28"/>
      <c r="K72" s="49"/>
      <c r="L72" s="49"/>
      <c r="M72" s="28"/>
      <c r="N72" s="49"/>
      <c r="O72" s="49"/>
      <c r="P72" s="28"/>
      <c r="Q72" s="49"/>
      <c r="R72" s="49"/>
      <c r="S72" s="67"/>
      <c r="T72" s="49"/>
      <c r="U72" s="49"/>
      <c r="V72" s="28"/>
      <c r="W72" s="112"/>
    </row>
    <row r="73" spans="1:24" s="2" customFormat="1" ht="17.45" customHeight="1">
      <c r="A73" s="235"/>
      <c r="B73" s="236">
        <v>18237132</v>
      </c>
      <c r="C73" s="135" t="s">
        <v>131</v>
      </c>
      <c r="D73" s="332" t="s">
        <v>92</v>
      </c>
      <c r="E73" s="130" t="s">
        <v>129</v>
      </c>
      <c r="F73" s="131"/>
      <c r="G73" s="52">
        <v>133750.43</v>
      </c>
      <c r="H73" s="51">
        <v>0</v>
      </c>
      <c r="I73" s="51">
        <f>H73</f>
        <v>0</v>
      </c>
      <c r="J73" s="52">
        <v>0</v>
      </c>
      <c r="K73" s="52">
        <f>J73</f>
        <v>0</v>
      </c>
      <c r="L73" s="52">
        <f t="shared" ref="L73:V74" si="38">K73</f>
        <v>0</v>
      </c>
      <c r="M73" s="52">
        <f t="shared" si="38"/>
        <v>0</v>
      </c>
      <c r="N73" s="52">
        <f t="shared" si="38"/>
        <v>0</v>
      </c>
      <c r="O73" s="52">
        <f t="shared" si="38"/>
        <v>0</v>
      </c>
      <c r="P73" s="52">
        <f t="shared" si="38"/>
        <v>0</v>
      </c>
      <c r="Q73" s="52">
        <f t="shared" si="38"/>
        <v>0</v>
      </c>
      <c r="R73" s="52">
        <f t="shared" si="38"/>
        <v>0</v>
      </c>
      <c r="S73" s="52">
        <f t="shared" si="38"/>
        <v>0</v>
      </c>
      <c r="T73" s="52">
        <f t="shared" si="38"/>
        <v>0</v>
      </c>
      <c r="U73" s="52">
        <f t="shared" si="38"/>
        <v>0</v>
      </c>
      <c r="V73" s="52">
        <f t="shared" si="38"/>
        <v>0</v>
      </c>
      <c r="W73" s="14">
        <f>SUM(G73:V73)</f>
        <v>133750.43</v>
      </c>
    </row>
    <row r="74" spans="1:24" s="2" customFormat="1">
      <c r="A74" s="235"/>
      <c r="B74" s="236">
        <v>18237132</v>
      </c>
      <c r="C74" s="237" t="s">
        <v>30</v>
      </c>
      <c r="D74" s="330" t="s">
        <v>93</v>
      </c>
      <c r="E74" s="16">
        <v>43070</v>
      </c>
      <c r="F74" s="99" t="s">
        <v>16</v>
      </c>
      <c r="G74" s="37">
        <v>0</v>
      </c>
      <c r="H74" s="37">
        <v>0</v>
      </c>
      <c r="I74" s="37">
        <v>0</v>
      </c>
      <c r="J74" s="37">
        <v>0</v>
      </c>
      <c r="K74" s="17">
        <v>0</v>
      </c>
      <c r="L74" s="17">
        <f t="shared" si="38"/>
        <v>0</v>
      </c>
      <c r="M74" s="17">
        <f t="shared" si="38"/>
        <v>0</v>
      </c>
      <c r="N74" s="17">
        <f t="shared" si="38"/>
        <v>0</v>
      </c>
      <c r="O74" s="17">
        <f t="shared" si="38"/>
        <v>0</v>
      </c>
      <c r="P74" s="17">
        <f t="shared" si="38"/>
        <v>0</v>
      </c>
      <c r="Q74" s="17">
        <f t="shared" si="38"/>
        <v>0</v>
      </c>
      <c r="R74" s="17">
        <f t="shared" si="38"/>
        <v>0</v>
      </c>
      <c r="S74" s="17">
        <f t="shared" si="38"/>
        <v>0</v>
      </c>
      <c r="T74" s="17">
        <f t="shared" si="38"/>
        <v>0</v>
      </c>
      <c r="U74" s="17">
        <f t="shared" si="38"/>
        <v>0</v>
      </c>
      <c r="V74" s="17">
        <v>-133750.43</v>
      </c>
      <c r="W74" s="18">
        <f t="shared" ref="W74" si="39">SUM(G74:V74)</f>
        <v>-133750.43</v>
      </c>
    </row>
    <row r="75" spans="1:24" s="2" customFormat="1">
      <c r="A75" s="235"/>
      <c r="B75" s="236"/>
      <c r="C75" s="199" t="s">
        <v>132</v>
      </c>
      <c r="D75" s="333"/>
      <c r="E75" s="60"/>
      <c r="F75" s="109"/>
      <c r="G75" s="56">
        <f>SUM(G73:G74)</f>
        <v>133750.43</v>
      </c>
      <c r="H75" s="56">
        <f t="shared" ref="H75:I75" si="40">SUM(H73:H74)</f>
        <v>0</v>
      </c>
      <c r="I75" s="56">
        <f t="shared" si="40"/>
        <v>0</v>
      </c>
      <c r="J75" s="56">
        <f>SUM(J73:J74)</f>
        <v>0</v>
      </c>
      <c r="K75" s="56">
        <f t="shared" ref="K75:V75" si="41">SUM(K73:K74)</f>
        <v>0</v>
      </c>
      <c r="L75" s="56">
        <f t="shared" si="41"/>
        <v>0</v>
      </c>
      <c r="M75" s="56">
        <f t="shared" si="41"/>
        <v>0</v>
      </c>
      <c r="N75" s="56">
        <f t="shared" si="41"/>
        <v>0</v>
      </c>
      <c r="O75" s="56">
        <f t="shared" si="41"/>
        <v>0</v>
      </c>
      <c r="P75" s="56">
        <f t="shared" si="41"/>
        <v>0</v>
      </c>
      <c r="Q75" s="56">
        <f t="shared" si="41"/>
        <v>0</v>
      </c>
      <c r="R75" s="56">
        <f t="shared" si="41"/>
        <v>0</v>
      </c>
      <c r="S75" s="56">
        <f t="shared" si="41"/>
        <v>0</v>
      </c>
      <c r="T75" s="56">
        <f t="shared" si="41"/>
        <v>0</v>
      </c>
      <c r="U75" s="56">
        <f t="shared" si="41"/>
        <v>0</v>
      </c>
      <c r="V75" s="56">
        <f t="shared" si="41"/>
        <v>-133750.43</v>
      </c>
      <c r="W75" s="22">
        <f>SUM(W73:W74)</f>
        <v>0</v>
      </c>
      <c r="X75" s="75"/>
    </row>
    <row r="76" spans="1:24" s="50" customFormat="1" ht="11.25">
      <c r="A76" s="238"/>
      <c r="B76" s="239"/>
      <c r="C76" s="240"/>
      <c r="D76" s="323"/>
      <c r="E76" s="70"/>
      <c r="F76" s="128"/>
      <c r="G76" s="47"/>
      <c r="H76" s="48"/>
      <c r="I76" s="48"/>
      <c r="J76" s="28"/>
      <c r="K76" s="49"/>
      <c r="L76" s="49"/>
      <c r="M76" s="28"/>
      <c r="N76" s="49"/>
      <c r="O76" s="49"/>
      <c r="P76" s="28"/>
      <c r="Q76" s="49"/>
      <c r="R76" s="49"/>
      <c r="S76" s="67"/>
      <c r="T76" s="49"/>
      <c r="U76" s="49"/>
      <c r="V76" s="28"/>
      <c r="W76" s="112"/>
    </row>
    <row r="77" spans="1:24" s="2" customFormat="1" ht="16.899999999999999" customHeight="1">
      <c r="A77" s="235"/>
      <c r="B77" s="236">
        <v>18237142</v>
      </c>
      <c r="C77" s="135" t="s">
        <v>133</v>
      </c>
      <c r="D77" s="332" t="s">
        <v>92</v>
      </c>
      <c r="E77" s="130" t="s">
        <v>129</v>
      </c>
      <c r="F77" s="131"/>
      <c r="G77" s="12">
        <v>53995.63</v>
      </c>
      <c r="H77" s="51">
        <v>0</v>
      </c>
      <c r="I77" s="51">
        <f>H77</f>
        <v>0</v>
      </c>
      <c r="J77" s="12">
        <v>0</v>
      </c>
      <c r="K77" s="12">
        <f>J77</f>
        <v>0</v>
      </c>
      <c r="L77" s="12">
        <f t="shared" ref="L77:V77" si="42">K77</f>
        <v>0</v>
      </c>
      <c r="M77" s="12">
        <f t="shared" si="42"/>
        <v>0</v>
      </c>
      <c r="N77" s="12">
        <f t="shared" si="42"/>
        <v>0</v>
      </c>
      <c r="O77" s="12">
        <f t="shared" si="42"/>
        <v>0</v>
      </c>
      <c r="P77" s="12">
        <f t="shared" si="42"/>
        <v>0</v>
      </c>
      <c r="Q77" s="12">
        <f t="shared" si="42"/>
        <v>0</v>
      </c>
      <c r="R77" s="12">
        <f t="shared" si="42"/>
        <v>0</v>
      </c>
      <c r="S77" s="12">
        <f t="shared" si="42"/>
        <v>0</v>
      </c>
      <c r="T77" s="12">
        <f t="shared" si="42"/>
        <v>0</v>
      </c>
      <c r="U77" s="12">
        <f t="shared" si="42"/>
        <v>0</v>
      </c>
      <c r="V77" s="12">
        <f t="shared" si="42"/>
        <v>0</v>
      </c>
      <c r="W77" s="14">
        <f>SUM(G77:V77)</f>
        <v>53995.63</v>
      </c>
    </row>
    <row r="78" spans="1:24" s="2" customFormat="1">
      <c r="A78" s="134"/>
      <c r="B78" s="236">
        <v>18237142</v>
      </c>
      <c r="C78" s="237" t="s">
        <v>30</v>
      </c>
      <c r="D78" s="330" t="s">
        <v>93</v>
      </c>
      <c r="E78" s="16">
        <v>43070</v>
      </c>
      <c r="F78" s="99" t="s">
        <v>16</v>
      </c>
      <c r="G78" s="37">
        <v>0</v>
      </c>
      <c r="H78" s="37">
        <v>0</v>
      </c>
      <c r="I78" s="37">
        <v>0</v>
      </c>
      <c r="J78" s="37">
        <v>0</v>
      </c>
      <c r="K78" s="37">
        <v>0</v>
      </c>
      <c r="L78" s="37">
        <v>0</v>
      </c>
      <c r="M78" s="37">
        <v>0</v>
      </c>
      <c r="N78" s="37">
        <v>0</v>
      </c>
      <c r="O78" s="37">
        <v>0</v>
      </c>
      <c r="P78" s="37">
        <v>0</v>
      </c>
      <c r="Q78" s="37">
        <v>0</v>
      </c>
      <c r="R78" s="37">
        <v>0</v>
      </c>
      <c r="S78" s="37">
        <v>0</v>
      </c>
      <c r="T78" s="37">
        <v>0</v>
      </c>
      <c r="U78" s="37">
        <v>0</v>
      </c>
      <c r="V78" s="37">
        <v>-53995.63</v>
      </c>
      <c r="W78" s="18">
        <f t="shared" ref="W78" si="43">SUM(G78:V78)</f>
        <v>-53995.63</v>
      </c>
    </row>
    <row r="79" spans="1:24" s="2" customFormat="1">
      <c r="A79" s="134"/>
      <c r="B79" s="135"/>
      <c r="C79" s="199" t="s">
        <v>134</v>
      </c>
      <c r="D79" s="333"/>
      <c r="E79" s="118"/>
      <c r="F79" s="109"/>
      <c r="G79" s="56">
        <f>SUM(G77:G78)</f>
        <v>53995.63</v>
      </c>
      <c r="H79" s="56">
        <f t="shared" ref="H79:I79" si="44">SUM(H77:H78)</f>
        <v>0</v>
      </c>
      <c r="I79" s="56">
        <f t="shared" si="44"/>
        <v>0</v>
      </c>
      <c r="J79" s="56">
        <f>SUM(J77:J78)</f>
        <v>0</v>
      </c>
      <c r="K79" s="56">
        <f t="shared" ref="K79:V79" si="45">SUM(K77:K78)</f>
        <v>0</v>
      </c>
      <c r="L79" s="56">
        <f t="shared" si="45"/>
        <v>0</v>
      </c>
      <c r="M79" s="56">
        <f t="shared" si="45"/>
        <v>0</v>
      </c>
      <c r="N79" s="56">
        <f t="shared" si="45"/>
        <v>0</v>
      </c>
      <c r="O79" s="56">
        <f t="shared" si="45"/>
        <v>0</v>
      </c>
      <c r="P79" s="56">
        <f t="shared" si="45"/>
        <v>0</v>
      </c>
      <c r="Q79" s="56">
        <f t="shared" si="45"/>
        <v>0</v>
      </c>
      <c r="R79" s="56">
        <f t="shared" si="45"/>
        <v>0</v>
      </c>
      <c r="S79" s="56">
        <f t="shared" si="45"/>
        <v>0</v>
      </c>
      <c r="T79" s="56">
        <f t="shared" si="45"/>
        <v>0</v>
      </c>
      <c r="U79" s="56">
        <f t="shared" si="45"/>
        <v>0</v>
      </c>
      <c r="V79" s="56">
        <f t="shared" si="45"/>
        <v>-53995.63</v>
      </c>
      <c r="W79" s="22">
        <f>SUM(W77:W78)</f>
        <v>0</v>
      </c>
    </row>
    <row r="80" spans="1:24" s="50" customFormat="1" ht="11.25">
      <c r="A80" s="238"/>
      <c r="B80" s="239"/>
      <c r="C80" s="240"/>
      <c r="D80" s="323"/>
      <c r="E80" s="70"/>
      <c r="F80" s="128"/>
      <c r="G80" s="47"/>
      <c r="H80" s="48"/>
      <c r="I80" s="48"/>
      <c r="J80" s="28"/>
      <c r="K80" s="49"/>
      <c r="L80" s="49"/>
      <c r="M80" s="28"/>
      <c r="N80" s="49"/>
      <c r="O80" s="49"/>
      <c r="P80" s="28"/>
      <c r="Q80" s="49"/>
      <c r="R80" s="49"/>
      <c r="S80" s="67"/>
      <c r="T80" s="49"/>
      <c r="U80" s="49"/>
      <c r="V80" s="28"/>
      <c r="W80" s="112"/>
    </row>
    <row r="81" spans="1:23" s="2" customFormat="1">
      <c r="A81" s="235"/>
      <c r="B81" s="236">
        <v>18237152</v>
      </c>
      <c r="C81" s="135" t="s">
        <v>135</v>
      </c>
      <c r="D81" s="332" t="s">
        <v>92</v>
      </c>
      <c r="E81" s="130" t="s">
        <v>129</v>
      </c>
      <c r="F81" s="131"/>
      <c r="G81" s="12">
        <v>67987.45</v>
      </c>
      <c r="H81" s="12">
        <v>0</v>
      </c>
      <c r="I81" s="12">
        <f>H81</f>
        <v>0</v>
      </c>
      <c r="J81" s="12">
        <v>0</v>
      </c>
      <c r="K81" s="12">
        <f>J81</f>
        <v>0</v>
      </c>
      <c r="L81" s="12">
        <f t="shared" ref="L81:V81" si="46">K81</f>
        <v>0</v>
      </c>
      <c r="M81" s="12">
        <f t="shared" si="46"/>
        <v>0</v>
      </c>
      <c r="N81" s="12">
        <f t="shared" si="46"/>
        <v>0</v>
      </c>
      <c r="O81" s="12">
        <f t="shared" si="46"/>
        <v>0</v>
      </c>
      <c r="P81" s="12">
        <f t="shared" si="46"/>
        <v>0</v>
      </c>
      <c r="Q81" s="12">
        <f t="shared" si="46"/>
        <v>0</v>
      </c>
      <c r="R81" s="12">
        <f t="shared" si="46"/>
        <v>0</v>
      </c>
      <c r="S81" s="12">
        <f t="shared" si="46"/>
        <v>0</v>
      </c>
      <c r="T81" s="12">
        <f t="shared" si="46"/>
        <v>0</v>
      </c>
      <c r="U81" s="12">
        <f t="shared" si="46"/>
        <v>0</v>
      </c>
      <c r="V81" s="12">
        <f t="shared" si="46"/>
        <v>0</v>
      </c>
      <c r="W81" s="14">
        <f>SUM(G81:V81)</f>
        <v>67987.45</v>
      </c>
    </row>
    <row r="82" spans="1:23" s="2" customFormat="1">
      <c r="A82" s="235"/>
      <c r="B82" s="236">
        <v>18237152</v>
      </c>
      <c r="C82" s="237" t="s">
        <v>30</v>
      </c>
      <c r="D82" s="330" t="s">
        <v>93</v>
      </c>
      <c r="E82" s="16">
        <v>43070</v>
      </c>
      <c r="F82" s="99" t="s">
        <v>16</v>
      </c>
      <c r="G82" s="37">
        <v>0</v>
      </c>
      <c r="H82" s="37">
        <v>0</v>
      </c>
      <c r="I82" s="37">
        <v>0</v>
      </c>
      <c r="J82" s="37">
        <v>0</v>
      </c>
      <c r="K82" s="37">
        <v>0</v>
      </c>
      <c r="L82" s="37">
        <v>0</v>
      </c>
      <c r="M82" s="37">
        <v>0</v>
      </c>
      <c r="N82" s="37">
        <v>0</v>
      </c>
      <c r="O82" s="37">
        <v>0</v>
      </c>
      <c r="P82" s="37">
        <v>0</v>
      </c>
      <c r="Q82" s="37">
        <v>0</v>
      </c>
      <c r="R82" s="37">
        <v>0</v>
      </c>
      <c r="S82" s="37">
        <v>0</v>
      </c>
      <c r="T82" s="37">
        <v>0</v>
      </c>
      <c r="U82" s="37">
        <v>0</v>
      </c>
      <c r="V82" s="194">
        <v>-67987.45</v>
      </c>
      <c r="W82" s="18">
        <f t="shared" ref="W82" si="47">SUM(G82:V82)</f>
        <v>-67987.45</v>
      </c>
    </row>
    <row r="83" spans="1:23" s="2" customFormat="1">
      <c r="A83" s="134"/>
      <c r="B83" s="135"/>
      <c r="C83" s="199" t="s">
        <v>136</v>
      </c>
      <c r="D83" s="325"/>
      <c r="E83" s="118"/>
      <c r="F83" s="109"/>
      <c r="G83" s="56">
        <f>SUM(G81:G82)</f>
        <v>67987.45</v>
      </c>
      <c r="H83" s="56">
        <f t="shared" ref="H83:I83" si="48">SUM(H81:H82)</f>
        <v>0</v>
      </c>
      <c r="I83" s="56">
        <f t="shared" si="48"/>
        <v>0</v>
      </c>
      <c r="J83" s="56">
        <f>SUM(J81:J82)</f>
        <v>0</v>
      </c>
      <c r="K83" s="56">
        <f t="shared" ref="K83:V83" si="49">SUM(K81:K82)</f>
        <v>0</v>
      </c>
      <c r="L83" s="56">
        <f t="shared" si="49"/>
        <v>0</v>
      </c>
      <c r="M83" s="56">
        <f t="shared" si="49"/>
        <v>0</v>
      </c>
      <c r="N83" s="56">
        <f t="shared" si="49"/>
        <v>0</v>
      </c>
      <c r="O83" s="56">
        <f t="shared" si="49"/>
        <v>0</v>
      </c>
      <c r="P83" s="56">
        <f t="shared" si="49"/>
        <v>0</v>
      </c>
      <c r="Q83" s="56">
        <f t="shared" si="49"/>
        <v>0</v>
      </c>
      <c r="R83" s="56">
        <f t="shared" si="49"/>
        <v>0</v>
      </c>
      <c r="S83" s="56">
        <f t="shared" si="49"/>
        <v>0</v>
      </c>
      <c r="T83" s="56">
        <f t="shared" si="49"/>
        <v>0</v>
      </c>
      <c r="U83" s="56">
        <f t="shared" si="49"/>
        <v>0</v>
      </c>
      <c r="V83" s="56">
        <f t="shared" si="49"/>
        <v>-67987.45</v>
      </c>
      <c r="W83" s="22">
        <f>SUM(W81:W82)</f>
        <v>0</v>
      </c>
    </row>
    <row r="84" spans="1:23" s="50" customFormat="1" ht="11.25">
      <c r="A84" s="238"/>
      <c r="B84" s="239"/>
      <c r="C84" s="240"/>
      <c r="D84" s="323"/>
      <c r="E84" s="70"/>
      <c r="F84" s="128"/>
      <c r="G84" s="47"/>
      <c r="H84" s="48"/>
      <c r="I84" s="48"/>
      <c r="J84" s="28"/>
      <c r="K84" s="49"/>
      <c r="L84" s="49"/>
      <c r="M84" s="28"/>
      <c r="N84" s="49"/>
      <c r="O84" s="49"/>
      <c r="P84" s="28"/>
      <c r="Q84" s="49"/>
      <c r="R84" s="49"/>
      <c r="S84" s="67"/>
      <c r="T84" s="49"/>
      <c r="U84" s="49"/>
      <c r="V84" s="28"/>
      <c r="W84" s="112"/>
    </row>
    <row r="85" spans="1:23" s="2" customFormat="1">
      <c r="A85" s="134"/>
      <c r="B85" s="236">
        <v>18608062</v>
      </c>
      <c r="C85" s="135" t="s">
        <v>137</v>
      </c>
      <c r="D85" s="332" t="s">
        <v>86</v>
      </c>
      <c r="E85" s="139" t="s">
        <v>87</v>
      </c>
      <c r="F85" s="139" t="s">
        <v>87</v>
      </c>
      <c r="G85" s="12">
        <v>-50267724.640000001</v>
      </c>
      <c r="H85" s="82">
        <v>0</v>
      </c>
      <c r="I85" s="82">
        <f>H85</f>
        <v>0</v>
      </c>
      <c r="J85" s="12">
        <v>0</v>
      </c>
      <c r="K85" s="12">
        <f>J85</f>
        <v>0</v>
      </c>
      <c r="L85" s="12">
        <f t="shared" ref="L85:U87" si="50">K85</f>
        <v>0</v>
      </c>
      <c r="M85" s="12">
        <f t="shared" si="50"/>
        <v>0</v>
      </c>
      <c r="N85" s="12">
        <f t="shared" si="50"/>
        <v>0</v>
      </c>
      <c r="O85" s="12">
        <f t="shared" si="50"/>
        <v>0</v>
      </c>
      <c r="P85" s="12">
        <f t="shared" si="50"/>
        <v>0</v>
      </c>
      <c r="Q85" s="12">
        <f t="shared" si="50"/>
        <v>0</v>
      </c>
      <c r="R85" s="12">
        <f t="shared" si="50"/>
        <v>0</v>
      </c>
      <c r="S85" s="12">
        <f t="shared" si="50"/>
        <v>0</v>
      </c>
      <c r="T85" s="12">
        <f t="shared" si="50"/>
        <v>0</v>
      </c>
      <c r="U85" s="12">
        <f t="shared" si="50"/>
        <v>0</v>
      </c>
      <c r="V85" s="12">
        <f>U85</f>
        <v>0</v>
      </c>
      <c r="W85" s="14">
        <f>SUM(G85:V85)</f>
        <v>-50267724.640000001</v>
      </c>
    </row>
    <row r="86" spans="1:23" s="2" customFormat="1">
      <c r="A86" s="134"/>
      <c r="B86" s="236">
        <v>18608062</v>
      </c>
      <c r="C86" s="135" t="s">
        <v>378</v>
      </c>
      <c r="D86" s="461" t="s">
        <v>93</v>
      </c>
      <c r="E86" s="139" t="s">
        <v>87</v>
      </c>
      <c r="F86" s="139" t="s">
        <v>87</v>
      </c>
      <c r="G86" s="201">
        <v>0</v>
      </c>
      <c r="H86" s="527">
        <v>0</v>
      </c>
      <c r="I86" s="527">
        <v>0</v>
      </c>
      <c r="J86" s="527">
        <v>0</v>
      </c>
      <c r="K86" s="527">
        <v>0</v>
      </c>
      <c r="L86" s="527">
        <v>0</v>
      </c>
      <c r="M86" s="527">
        <v>0</v>
      </c>
      <c r="N86" s="527">
        <v>0</v>
      </c>
      <c r="O86" s="527">
        <v>0</v>
      </c>
      <c r="P86" s="527">
        <v>0</v>
      </c>
      <c r="Q86" s="527">
        <v>0</v>
      </c>
      <c r="R86" s="527">
        <v>0</v>
      </c>
      <c r="S86" s="527">
        <v>0</v>
      </c>
      <c r="T86" s="527">
        <v>0</v>
      </c>
      <c r="U86" s="527">
        <v>0</v>
      </c>
      <c r="V86" s="201">
        <v>-210163</v>
      </c>
      <c r="W86" s="207">
        <f>SUM(G86:V86)</f>
        <v>-210163</v>
      </c>
    </row>
    <row r="87" spans="1:23" s="2" customFormat="1">
      <c r="A87" s="134"/>
      <c r="B87" s="236">
        <v>18608062</v>
      </c>
      <c r="C87" s="237" t="s">
        <v>30</v>
      </c>
      <c r="D87" s="316" t="s">
        <v>93</v>
      </c>
      <c r="E87" s="16">
        <v>43070</v>
      </c>
      <c r="F87" s="99" t="s">
        <v>16</v>
      </c>
      <c r="G87" s="17">
        <v>0</v>
      </c>
      <c r="H87" s="17">
        <v>0</v>
      </c>
      <c r="I87" s="17">
        <v>0</v>
      </c>
      <c r="J87" s="17">
        <v>0</v>
      </c>
      <c r="K87" s="17">
        <v>0</v>
      </c>
      <c r="L87" s="17">
        <v>0</v>
      </c>
      <c r="M87" s="17">
        <v>0</v>
      </c>
      <c r="N87" s="17">
        <v>0</v>
      </c>
      <c r="O87" s="17">
        <f>N87</f>
        <v>0</v>
      </c>
      <c r="P87" s="17">
        <f t="shared" si="50"/>
        <v>0</v>
      </c>
      <c r="Q87" s="17">
        <f t="shared" si="50"/>
        <v>0</v>
      </c>
      <c r="R87" s="17">
        <f t="shared" si="50"/>
        <v>0</v>
      </c>
      <c r="S87" s="17">
        <f t="shared" si="50"/>
        <v>0</v>
      </c>
      <c r="T87" s="17">
        <f t="shared" si="50"/>
        <v>0</v>
      </c>
      <c r="U87" s="17">
        <f t="shared" si="50"/>
        <v>0</v>
      </c>
      <c r="V87" s="17">
        <f>-'2017 GRC Stlmt'!D16</f>
        <v>29176115.83117523</v>
      </c>
      <c r="W87" s="18">
        <f t="shared" ref="W87" si="51">SUM(G87:V87)</f>
        <v>29176115.83117523</v>
      </c>
    </row>
    <row r="88" spans="1:23" s="2" customFormat="1">
      <c r="A88" s="134"/>
      <c r="B88" s="135"/>
      <c r="C88" s="199" t="s">
        <v>138</v>
      </c>
      <c r="D88" s="332"/>
      <c r="E88" s="60"/>
      <c r="F88" s="55"/>
      <c r="G88" s="56">
        <f t="shared" ref="G88:I88" si="52">SUM(G85:G87)</f>
        <v>-50267724.640000001</v>
      </c>
      <c r="H88" s="56">
        <f t="shared" si="52"/>
        <v>0</v>
      </c>
      <c r="I88" s="56">
        <f t="shared" si="52"/>
        <v>0</v>
      </c>
      <c r="J88" s="56">
        <f>SUM(J85:J87)</f>
        <v>0</v>
      </c>
      <c r="K88" s="56">
        <f t="shared" ref="K88:U88" si="53">SUM(K85:K87)</f>
        <v>0</v>
      </c>
      <c r="L88" s="56">
        <f t="shared" si="53"/>
        <v>0</v>
      </c>
      <c r="M88" s="56">
        <f t="shared" si="53"/>
        <v>0</v>
      </c>
      <c r="N88" s="56">
        <f t="shared" si="53"/>
        <v>0</v>
      </c>
      <c r="O88" s="56">
        <f t="shared" si="53"/>
        <v>0</v>
      </c>
      <c r="P88" s="56">
        <f t="shared" si="53"/>
        <v>0</v>
      </c>
      <c r="Q88" s="56">
        <f t="shared" si="53"/>
        <v>0</v>
      </c>
      <c r="R88" s="56">
        <f t="shared" si="53"/>
        <v>0</v>
      </c>
      <c r="S88" s="56">
        <f t="shared" si="53"/>
        <v>0</v>
      </c>
      <c r="T88" s="56">
        <f t="shared" si="53"/>
        <v>0</v>
      </c>
      <c r="U88" s="56">
        <f t="shared" si="53"/>
        <v>0</v>
      </c>
      <c r="V88" s="56">
        <f>SUM(V85:V87)</f>
        <v>28965952.83117523</v>
      </c>
      <c r="W88" s="22">
        <f>SUM(W85:W87)</f>
        <v>-21301771.80882477</v>
      </c>
    </row>
    <row r="89" spans="1:23" s="50" customFormat="1" ht="11.25">
      <c r="A89" s="238"/>
      <c r="B89" s="239"/>
      <c r="C89" s="240"/>
      <c r="D89" s="323"/>
      <c r="E89" s="70"/>
      <c r="F89" s="46"/>
      <c r="G89" s="47"/>
      <c r="H89" s="48"/>
      <c r="I89" s="48"/>
      <c r="J89" s="28"/>
      <c r="K89" s="49"/>
      <c r="L89" s="49"/>
      <c r="M89" s="28"/>
      <c r="N89" s="49"/>
      <c r="O89" s="49"/>
      <c r="P89" s="28"/>
      <c r="Q89" s="49"/>
      <c r="R89" s="49"/>
      <c r="S89" s="67"/>
      <c r="T89" s="49"/>
      <c r="U89" s="49"/>
      <c r="V89" s="28"/>
      <c r="W89" s="112"/>
    </row>
    <row r="90" spans="1:23" s="2" customFormat="1">
      <c r="A90" s="134"/>
      <c r="B90" s="135"/>
      <c r="C90" s="135"/>
      <c r="D90" s="324"/>
      <c r="E90" s="142"/>
      <c r="F90" s="143"/>
      <c r="G90" s="84"/>
      <c r="H90" s="84"/>
      <c r="I90" s="84"/>
      <c r="J90" s="84"/>
      <c r="K90" s="84"/>
      <c r="L90" s="84"/>
      <c r="M90" s="84"/>
      <c r="N90" s="84"/>
      <c r="O90" s="84"/>
      <c r="P90" s="84"/>
      <c r="Q90" s="84"/>
      <c r="R90" s="84"/>
      <c r="S90" s="84"/>
      <c r="T90" s="84"/>
      <c r="U90" s="84"/>
      <c r="V90" s="84"/>
      <c r="W90" s="195"/>
    </row>
    <row r="91" spans="1:23" s="2" customFormat="1" ht="15.75" thickBot="1">
      <c r="A91" s="134"/>
      <c r="B91" s="135"/>
      <c r="C91" s="199" t="s">
        <v>89</v>
      </c>
      <c r="D91" s="334"/>
      <c r="E91" s="146"/>
      <c r="F91" s="147"/>
      <c r="G91" s="148">
        <f>G8+G16+G22+G26+G35+G39+G44+G48+G54+G59+G63+G67+G71+G75+G79+G83+G88</f>
        <v>21924758.799999982</v>
      </c>
      <c r="H91" s="148">
        <f t="shared" ref="H91:W91" si="54">H8+H16+H22+H26+H35+H39+H44+H48+H54+H59+H63+H67+H71+H75+H79+H83+H88</f>
        <v>106174.56999999999</v>
      </c>
      <c r="I91" s="148">
        <f t="shared" si="54"/>
        <v>404292.75999999995</v>
      </c>
      <c r="J91" s="148">
        <f t="shared" si="54"/>
        <v>288010.77</v>
      </c>
      <c r="K91" s="148">
        <f t="shared" si="54"/>
        <v>156797.41999999998</v>
      </c>
      <c r="L91" s="148">
        <f t="shared" si="54"/>
        <v>164964.31</v>
      </c>
      <c r="M91" s="148">
        <f t="shared" si="54"/>
        <v>16090.04</v>
      </c>
      <c r="N91" s="148">
        <f t="shared" si="54"/>
        <v>47865.17</v>
      </c>
      <c r="O91" s="148">
        <f t="shared" si="54"/>
        <v>593896.52</v>
      </c>
      <c r="P91" s="148">
        <f t="shared" si="54"/>
        <v>243689.24</v>
      </c>
      <c r="Q91" s="148">
        <f t="shared" si="54"/>
        <v>492346.43999999994</v>
      </c>
      <c r="R91" s="148">
        <f t="shared" si="54"/>
        <v>209016.64</v>
      </c>
      <c r="S91" s="148">
        <f t="shared" si="54"/>
        <v>100890.5</v>
      </c>
      <c r="T91" s="148">
        <f t="shared" si="54"/>
        <v>317511.51</v>
      </c>
      <c r="U91" s="148">
        <f t="shared" si="54"/>
        <v>206112.68</v>
      </c>
      <c r="V91" s="148">
        <f t="shared" si="54"/>
        <v>-42897670.498824753</v>
      </c>
      <c r="W91" s="149">
        <f t="shared" si="54"/>
        <v>-17625253.128824763</v>
      </c>
    </row>
    <row r="92" spans="1:23" s="50" customFormat="1" ht="12.75" thickTop="1" thickBot="1">
      <c r="A92" s="88"/>
      <c r="B92" s="89"/>
      <c r="C92" s="90"/>
      <c r="D92" s="91"/>
      <c r="E92" s="91"/>
      <c r="F92" s="91"/>
      <c r="G92" s="92"/>
      <c r="H92" s="91"/>
      <c r="I92" s="91"/>
      <c r="J92" s="92"/>
      <c r="K92" s="93"/>
      <c r="L92" s="93"/>
      <c r="M92" s="92"/>
      <c r="N92" s="93"/>
      <c r="O92" s="93"/>
      <c r="P92" s="92"/>
      <c r="Q92" s="93"/>
      <c r="R92" s="93"/>
      <c r="S92" s="92"/>
      <c r="T92" s="93"/>
      <c r="U92" s="93"/>
      <c r="V92" s="92"/>
      <c r="W92" s="196"/>
    </row>
    <row r="93" spans="1:23">
      <c r="A93" s="151"/>
      <c r="B93" s="2"/>
      <c r="C93" s="2"/>
      <c r="F93" s="35"/>
      <c r="G93" s="35"/>
      <c r="H93" s="35"/>
      <c r="I93" s="35"/>
    </row>
    <row r="94" spans="1:23">
      <c r="A94" s="151"/>
      <c r="B94" s="2"/>
      <c r="C94" s="2"/>
      <c r="F94" s="35"/>
      <c r="G94" s="35"/>
      <c r="H94" s="35"/>
      <c r="I94" s="35"/>
      <c r="V94" s="529"/>
      <c r="W94" s="534"/>
    </row>
    <row r="95" spans="1:23">
      <c r="A95" s="151"/>
      <c r="B95" s="2"/>
      <c r="C95" s="2"/>
      <c r="F95" s="35"/>
      <c r="G95" s="35"/>
      <c r="H95" s="35"/>
      <c r="I95" s="35"/>
    </row>
    <row r="96" spans="1:23">
      <c r="A96" s="151"/>
      <c r="B96" s="2"/>
      <c r="C96" s="2"/>
      <c r="F96" s="35"/>
      <c r="G96" s="35"/>
      <c r="H96" s="35"/>
      <c r="I96" s="35"/>
    </row>
    <row r="97" spans="1:9">
      <c r="A97" s="151"/>
      <c r="B97" s="2"/>
      <c r="C97" s="2"/>
      <c r="F97" s="35"/>
      <c r="G97" s="35"/>
      <c r="H97" s="35"/>
      <c r="I97" s="35"/>
    </row>
    <row r="98" spans="1:9">
      <c r="A98" s="151"/>
      <c r="B98" s="2"/>
      <c r="C98" s="2"/>
      <c r="F98" s="35"/>
      <c r="G98" s="35"/>
      <c r="H98" s="35"/>
      <c r="I98" s="35"/>
    </row>
    <row r="99" spans="1:9">
      <c r="A99" s="151"/>
      <c r="B99" s="2"/>
      <c r="C99" s="2"/>
      <c r="F99" s="35"/>
      <c r="G99" s="35"/>
      <c r="H99" s="35"/>
      <c r="I99" s="35"/>
    </row>
    <row r="100" spans="1:9">
      <c r="A100" s="151"/>
      <c r="B100" s="2"/>
      <c r="C100" s="2"/>
      <c r="F100" s="35"/>
      <c r="G100" s="35"/>
      <c r="H100" s="35"/>
      <c r="I100" s="35"/>
    </row>
    <row r="101" spans="1:9">
      <c r="A101" s="151"/>
      <c r="B101" s="2"/>
      <c r="C101" s="2"/>
    </row>
    <row r="102" spans="1:9">
      <c r="A102" s="151"/>
      <c r="B102" s="2"/>
      <c r="C102" s="2"/>
    </row>
    <row r="103" spans="1:9">
      <c r="A103" s="151"/>
      <c r="B103" s="2"/>
      <c r="C103" s="2"/>
    </row>
    <row r="104" spans="1:9">
      <c r="A104" s="151"/>
      <c r="B104" s="2"/>
      <c r="C104" s="2"/>
    </row>
    <row r="105" spans="1:9">
      <c r="A105" s="151"/>
      <c r="B105" s="2"/>
      <c r="C105" s="2"/>
    </row>
    <row r="106" spans="1:9">
      <c r="A106" s="151"/>
      <c r="B106" s="2"/>
      <c r="C106" s="2"/>
    </row>
    <row r="107" spans="1:9">
      <c r="A107" s="151"/>
      <c r="B107" s="2"/>
      <c r="C107" s="2"/>
    </row>
    <row r="108" spans="1:9">
      <c r="A108" s="151"/>
      <c r="B108" s="2"/>
      <c r="C108" s="2"/>
    </row>
    <row r="109" spans="1:9">
      <c r="A109" s="151"/>
      <c r="B109" s="2"/>
      <c r="C109" s="2"/>
    </row>
    <row r="110" spans="1:9">
      <c r="A110" s="151"/>
      <c r="B110" s="2"/>
      <c r="C110" s="2"/>
    </row>
  </sheetData>
  <mergeCells count="26">
    <mergeCell ref="D56:D57"/>
    <mergeCell ref="E56:E57"/>
    <mergeCell ref="F56:F57"/>
    <mergeCell ref="D50:D51"/>
    <mergeCell ref="E50:E51"/>
    <mergeCell ref="F50:F51"/>
    <mergeCell ref="D52:D53"/>
    <mergeCell ref="E52:E53"/>
    <mergeCell ref="F52:F53"/>
    <mergeCell ref="D32:D34"/>
    <mergeCell ref="E32:E34"/>
    <mergeCell ref="F32:F34"/>
    <mergeCell ref="D41:D42"/>
    <mergeCell ref="E41:E42"/>
    <mergeCell ref="F41:F42"/>
    <mergeCell ref="D28:D31"/>
    <mergeCell ref="E28:E31"/>
    <mergeCell ref="F28:F31"/>
    <mergeCell ref="D10:D12"/>
    <mergeCell ref="E10:E12"/>
    <mergeCell ref="F10:F12"/>
    <mergeCell ref="D13:D15"/>
    <mergeCell ref="E13:E15"/>
    <mergeCell ref="F13:F15"/>
    <mergeCell ref="E18:E19"/>
    <mergeCell ref="F18:F19"/>
  </mergeCells>
  <printOptions horizontalCentered="1"/>
  <pageMargins left="0.2" right="0.2" top="0.5" bottom="0.5" header="0.3" footer="0.3"/>
  <pageSetup scale="3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5"/>
  <sheetViews>
    <sheetView workbookViewId="0">
      <selection activeCell="G9" sqref="G9"/>
    </sheetView>
  </sheetViews>
  <sheetFormatPr defaultRowHeight="15"/>
  <sheetData>
    <row r="1" spans="1:1">
      <c r="A1" s="554" t="s">
        <v>407</v>
      </c>
    </row>
    <row r="4" spans="1:1">
      <c r="A4" t="s">
        <v>399</v>
      </c>
    </row>
    <row r="5" spans="1:1">
      <c r="A5" t="s">
        <v>247</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5"/>
  <sheetViews>
    <sheetView zoomScale="91" zoomScaleNormal="91" workbookViewId="0">
      <pane xSplit="2" ySplit="5" topLeftCell="C6" activePane="bottomRight" state="frozen"/>
      <selection activeCell="D12" sqref="D12"/>
      <selection pane="topRight" activeCell="D12" sqref="D12"/>
      <selection pane="bottomLeft" activeCell="D12" sqref="D12"/>
      <selection pane="bottomRight" activeCell="R32" sqref="R32"/>
    </sheetView>
  </sheetViews>
  <sheetFormatPr defaultRowHeight="15"/>
  <cols>
    <col min="1" max="1" width="12" bestFit="1" customWidth="1"/>
    <col min="2" max="2" width="58.5703125" customWidth="1"/>
    <col min="3" max="3" width="12.42578125" customWidth="1"/>
    <col min="4" max="4" width="12.85546875" customWidth="1"/>
    <col min="5" max="5" width="7" style="2" bestFit="1" customWidth="1"/>
    <col min="6" max="6" width="7.28515625" style="2" bestFit="1" customWidth="1"/>
    <col min="7" max="7" width="7.7109375" style="2" bestFit="1" customWidth="1"/>
    <col min="8" max="8" width="6.7109375" style="2" bestFit="1" customWidth="1"/>
    <col min="9" max="9" width="7.140625" style="2" bestFit="1" customWidth="1"/>
    <col min="10" max="10" width="7.42578125" style="2" bestFit="1" customWidth="1"/>
    <col min="11" max="11" width="7" style="2" bestFit="1" customWidth="1"/>
    <col min="12" max="12" width="7.7109375" style="2" bestFit="1" customWidth="1"/>
    <col min="13" max="13" width="6.7109375" style="2" bestFit="1" customWidth="1"/>
    <col min="14" max="14" width="6.28515625" style="2" bestFit="1" customWidth="1"/>
    <col min="15" max="15" width="7.28515625" style="2" bestFit="1" customWidth="1"/>
    <col min="16" max="16" width="7.140625" style="2" bestFit="1" customWidth="1"/>
    <col min="17" max="17" width="7" style="2" bestFit="1" customWidth="1"/>
    <col min="18" max="18" width="7.28515625" bestFit="1" customWidth="1"/>
    <col min="19" max="19" width="13.28515625" bestFit="1" customWidth="1"/>
    <col min="20" max="20" width="12.85546875" customWidth="1"/>
    <col min="21" max="21" width="19.28515625" customWidth="1"/>
  </cols>
  <sheetData>
    <row r="1" spans="1:25">
      <c r="A1" s="335" t="s">
        <v>0</v>
      </c>
      <c r="B1" s="335"/>
      <c r="C1" s="335"/>
      <c r="D1" s="335"/>
      <c r="E1" s="335"/>
      <c r="F1" s="335"/>
      <c r="G1" s="335"/>
      <c r="H1" s="335"/>
      <c r="I1" s="335"/>
      <c r="J1" s="335"/>
      <c r="K1" s="335"/>
      <c r="L1" s="335"/>
      <c r="M1" s="335"/>
      <c r="N1" s="335"/>
      <c r="O1" s="335"/>
      <c r="P1" s="335"/>
      <c r="Q1" s="335"/>
      <c r="R1" s="335"/>
      <c r="S1" s="335"/>
      <c r="T1" s="335"/>
      <c r="U1" s="217"/>
      <c r="V1" s="217"/>
      <c r="W1" s="217"/>
      <c r="X1" s="217"/>
      <c r="Y1" s="217"/>
    </row>
    <row r="2" spans="1:25">
      <c r="A2" s="335" t="s">
        <v>200</v>
      </c>
      <c r="B2" s="335"/>
      <c r="C2" s="335"/>
      <c r="D2" s="335"/>
      <c r="E2" s="335"/>
      <c r="F2" s="335"/>
      <c r="G2" s="335"/>
      <c r="H2" s="335"/>
      <c r="I2" s="335"/>
      <c r="J2" s="335"/>
      <c r="K2" s="335"/>
      <c r="L2" s="335"/>
      <c r="M2" s="335"/>
      <c r="N2" s="335"/>
      <c r="O2" s="335"/>
      <c r="P2" s="335"/>
      <c r="Q2" s="335"/>
      <c r="R2" s="335"/>
      <c r="S2" s="335"/>
      <c r="T2" s="335"/>
      <c r="U2" s="217"/>
      <c r="V2" s="217"/>
      <c r="W2" s="217"/>
      <c r="X2" s="217"/>
      <c r="Y2" s="217"/>
    </row>
    <row r="3" spans="1:25" ht="21">
      <c r="A3" s="336" t="s">
        <v>2</v>
      </c>
      <c r="B3" s="336"/>
      <c r="C3" s="336"/>
      <c r="D3" s="336"/>
      <c r="E3" s="336"/>
      <c r="F3" s="336"/>
      <c r="G3" s="336"/>
      <c r="H3" s="336"/>
      <c r="I3" s="336"/>
      <c r="J3" s="336"/>
      <c r="K3" s="336"/>
      <c r="L3" s="336"/>
      <c r="M3" s="336"/>
      <c r="N3" s="336"/>
      <c r="O3" s="336"/>
      <c r="P3" s="336"/>
      <c r="Q3" s="336"/>
      <c r="R3" s="336"/>
      <c r="S3" s="336"/>
      <c r="T3" s="336"/>
      <c r="U3" s="218"/>
      <c r="V3" s="218"/>
      <c r="W3" s="218"/>
      <c r="X3" s="218"/>
      <c r="Y3" s="218"/>
    </row>
    <row r="4" spans="1:25" ht="7.15" customHeight="1" thickBot="1"/>
    <row r="5" spans="1:25" s="8" customFormat="1" ht="43.9" customHeight="1" thickBot="1">
      <c r="A5" s="3" t="s">
        <v>4</v>
      </c>
      <c r="B5" s="5" t="s">
        <v>5</v>
      </c>
      <c r="C5" s="4" t="s">
        <v>373</v>
      </c>
      <c r="D5" s="6" t="s">
        <v>176</v>
      </c>
      <c r="E5" s="6">
        <v>42644</v>
      </c>
      <c r="F5" s="6">
        <v>42675</v>
      </c>
      <c r="G5" s="6" t="s">
        <v>10</v>
      </c>
      <c r="H5" s="6">
        <v>42736</v>
      </c>
      <c r="I5" s="6">
        <v>42767</v>
      </c>
      <c r="J5" s="6">
        <v>42795</v>
      </c>
      <c r="K5" s="6">
        <v>42826</v>
      </c>
      <c r="L5" s="6">
        <v>42856</v>
      </c>
      <c r="M5" s="6">
        <v>42887</v>
      </c>
      <c r="N5" s="6">
        <v>42917</v>
      </c>
      <c r="O5" s="6">
        <v>42948</v>
      </c>
      <c r="P5" s="6">
        <v>42979</v>
      </c>
      <c r="Q5" s="6">
        <v>43009</v>
      </c>
      <c r="R5" s="6">
        <v>43040</v>
      </c>
      <c r="S5" s="6">
        <v>43070</v>
      </c>
      <c r="T5" s="7" t="s">
        <v>212</v>
      </c>
    </row>
    <row r="6" spans="1:25" s="2" customFormat="1">
      <c r="A6" s="235" t="s">
        <v>201</v>
      </c>
      <c r="B6" s="197" t="s">
        <v>371</v>
      </c>
      <c r="C6" s="205" t="s">
        <v>374</v>
      </c>
      <c r="D6" s="12">
        <v>0</v>
      </c>
      <c r="E6" s="13">
        <v>0</v>
      </c>
      <c r="F6" s="13">
        <v>0</v>
      </c>
      <c r="G6" s="13">
        <v>0</v>
      </c>
      <c r="H6" s="13">
        <v>0</v>
      </c>
      <c r="I6" s="13">
        <v>0</v>
      </c>
      <c r="J6" s="13">
        <v>0</v>
      </c>
      <c r="K6" s="13">
        <v>0</v>
      </c>
      <c r="L6" s="13">
        <v>0</v>
      </c>
      <c r="M6" s="13">
        <v>0</v>
      </c>
      <c r="N6" s="13">
        <v>0</v>
      </c>
      <c r="O6" s="13">
        <v>0</v>
      </c>
      <c r="P6" s="13">
        <v>0</v>
      </c>
      <c r="Q6" s="13">
        <v>0</v>
      </c>
      <c r="R6" s="13">
        <v>0</v>
      </c>
      <c r="S6" s="12">
        <f>'2017 GRC Stlmt'!C26</f>
        <v>8862686.9900000002</v>
      </c>
      <c r="T6" s="174">
        <f>SUM(D6:S6)</f>
        <v>8862686.9900000002</v>
      </c>
    </row>
    <row r="7" spans="1:25" s="2" customFormat="1">
      <c r="A7" s="235" t="s">
        <v>201</v>
      </c>
      <c r="B7" s="198" t="s">
        <v>248</v>
      </c>
      <c r="C7" s="465">
        <v>44913</v>
      </c>
      <c r="D7" s="17">
        <v>0</v>
      </c>
      <c r="E7" s="17">
        <v>0</v>
      </c>
      <c r="F7" s="17">
        <v>0</v>
      </c>
      <c r="G7" s="17">
        <v>0</v>
      </c>
      <c r="H7" s="17">
        <v>0</v>
      </c>
      <c r="I7" s="17">
        <v>0</v>
      </c>
      <c r="J7" s="17">
        <v>0</v>
      </c>
      <c r="K7" s="17">
        <v>0</v>
      </c>
      <c r="L7" s="17">
        <v>0</v>
      </c>
      <c r="M7" s="17">
        <v>0</v>
      </c>
      <c r="N7" s="17">
        <v>0</v>
      </c>
      <c r="O7" s="17">
        <v>0</v>
      </c>
      <c r="P7" s="17">
        <v>0</v>
      </c>
      <c r="Q7" s="17">
        <v>0</v>
      </c>
      <c r="R7" s="17">
        <v>0</v>
      </c>
      <c r="S7" s="17">
        <f>-'2017 GRC Stlmt'!C12/5/12*13/31</f>
        <v>-67721.278677419352</v>
      </c>
      <c r="T7" s="18">
        <f>SUM(D7:S7)</f>
        <v>-67721.278677419352</v>
      </c>
    </row>
    <row r="8" spans="1:25" s="2" customFormat="1">
      <c r="A8" s="235"/>
      <c r="B8" s="199" t="s">
        <v>202</v>
      </c>
      <c r="C8" s="199"/>
      <c r="D8" s="75">
        <f t="shared" ref="D8:R8" si="0">SUM(D6:D7)</f>
        <v>0</v>
      </c>
      <c r="E8" s="75">
        <f t="shared" si="0"/>
        <v>0</v>
      </c>
      <c r="F8" s="75">
        <f t="shared" si="0"/>
        <v>0</v>
      </c>
      <c r="G8" s="75">
        <f t="shared" si="0"/>
        <v>0</v>
      </c>
      <c r="H8" s="75">
        <f t="shared" si="0"/>
        <v>0</v>
      </c>
      <c r="I8" s="75">
        <f t="shared" si="0"/>
        <v>0</v>
      </c>
      <c r="J8" s="75">
        <f t="shared" si="0"/>
        <v>0</v>
      </c>
      <c r="K8" s="75">
        <f t="shared" si="0"/>
        <v>0</v>
      </c>
      <c r="L8" s="75">
        <f t="shared" si="0"/>
        <v>0</v>
      </c>
      <c r="M8" s="75">
        <f t="shared" si="0"/>
        <v>0</v>
      </c>
      <c r="N8" s="75">
        <f t="shared" si="0"/>
        <v>0</v>
      </c>
      <c r="O8" s="75">
        <f t="shared" si="0"/>
        <v>0</v>
      </c>
      <c r="P8" s="75">
        <f t="shared" si="0"/>
        <v>0</v>
      </c>
      <c r="Q8" s="75">
        <f t="shared" si="0"/>
        <v>0</v>
      </c>
      <c r="R8" s="75">
        <f t="shared" si="0"/>
        <v>0</v>
      </c>
      <c r="S8" s="75">
        <f>SUM(S6:S7)</f>
        <v>8794965.7113225814</v>
      </c>
      <c r="T8" s="200">
        <f>SUM(T6:T7)</f>
        <v>8794965.7113225814</v>
      </c>
    </row>
    <row r="9" spans="1:25" s="2" customFormat="1" ht="6" customHeight="1">
      <c r="A9" s="235"/>
      <c r="B9" s="198"/>
      <c r="C9" s="204"/>
      <c r="D9" s="212"/>
      <c r="E9" s="213"/>
      <c r="F9" s="213"/>
      <c r="G9" s="213"/>
      <c r="H9" s="213"/>
      <c r="I9" s="213"/>
      <c r="J9" s="213"/>
      <c r="K9" s="213"/>
      <c r="L9" s="213"/>
      <c r="M9" s="213"/>
      <c r="N9" s="213"/>
      <c r="O9" s="213"/>
      <c r="P9" s="213"/>
      <c r="Q9" s="214"/>
      <c r="R9" s="214"/>
      <c r="S9" s="215"/>
      <c r="T9" s="216"/>
    </row>
    <row r="10" spans="1:25" s="2" customFormat="1">
      <c r="A10" s="235" t="s">
        <v>203</v>
      </c>
      <c r="B10" s="135" t="s">
        <v>372</v>
      </c>
      <c r="C10" s="463" t="s">
        <v>374</v>
      </c>
      <c r="D10" s="12">
        <v>0</v>
      </c>
      <c r="E10" s="12">
        <v>0</v>
      </c>
      <c r="F10" s="12">
        <v>0</v>
      </c>
      <c r="G10" s="12">
        <v>0</v>
      </c>
      <c r="H10" s="12">
        <v>0</v>
      </c>
      <c r="I10" s="12">
        <v>0</v>
      </c>
      <c r="J10" s="12">
        <v>0</v>
      </c>
      <c r="K10" s="12">
        <v>0</v>
      </c>
      <c r="L10" s="12">
        <v>0</v>
      </c>
      <c r="M10" s="12">
        <v>0</v>
      </c>
      <c r="N10" s="12">
        <v>0</v>
      </c>
      <c r="O10" s="12">
        <v>0</v>
      </c>
      <c r="P10" s="12">
        <v>0</v>
      </c>
      <c r="Q10" s="12">
        <v>0</v>
      </c>
      <c r="R10" s="12">
        <v>0</v>
      </c>
      <c r="S10" s="12">
        <v>-1743761.81</v>
      </c>
      <c r="T10" s="14">
        <f>SUM(D10:S10)</f>
        <v>-1743761.81</v>
      </c>
    </row>
    <row r="11" spans="1:25" s="2" customFormat="1">
      <c r="A11" s="235" t="s">
        <v>203</v>
      </c>
      <c r="B11" s="135" t="s">
        <v>249</v>
      </c>
      <c r="C11" s="465">
        <v>44913</v>
      </c>
      <c r="D11" s="37"/>
      <c r="E11" s="37"/>
      <c r="F11" s="37"/>
      <c r="G11" s="37"/>
      <c r="H11" s="37"/>
      <c r="I11" s="37"/>
      <c r="J11" s="37"/>
      <c r="K11" s="37"/>
      <c r="L11" s="37"/>
      <c r="M11" s="37"/>
      <c r="N11" s="37"/>
      <c r="O11" s="37"/>
      <c r="P11" s="37"/>
      <c r="Q11" s="37"/>
      <c r="R11" s="37"/>
      <c r="S11" s="37">
        <f>-'2017 GRC Stlmt'!C16/5/12*13/31</f>
        <v>17965.35167352654</v>
      </c>
      <c r="T11" s="18">
        <f>SUM(D11:S11)</f>
        <v>17965.35167352654</v>
      </c>
    </row>
    <row r="12" spans="1:25" s="2" customFormat="1">
      <c r="A12" s="235"/>
      <c r="B12" s="199" t="s">
        <v>204</v>
      </c>
      <c r="C12" s="199"/>
      <c r="D12" s="21">
        <f t="shared" ref="D12:R12" si="1">SUM(D10:D11)</f>
        <v>0</v>
      </c>
      <c r="E12" s="21">
        <f t="shared" si="1"/>
        <v>0</v>
      </c>
      <c r="F12" s="21">
        <f t="shared" si="1"/>
        <v>0</v>
      </c>
      <c r="G12" s="21">
        <f t="shared" si="1"/>
        <v>0</v>
      </c>
      <c r="H12" s="21">
        <f t="shared" si="1"/>
        <v>0</v>
      </c>
      <c r="I12" s="21">
        <f t="shared" si="1"/>
        <v>0</v>
      </c>
      <c r="J12" s="21">
        <f t="shared" si="1"/>
        <v>0</v>
      </c>
      <c r="K12" s="21">
        <f t="shared" si="1"/>
        <v>0</v>
      </c>
      <c r="L12" s="21">
        <f t="shared" si="1"/>
        <v>0</v>
      </c>
      <c r="M12" s="21">
        <f t="shared" si="1"/>
        <v>0</v>
      </c>
      <c r="N12" s="21">
        <f t="shared" si="1"/>
        <v>0</v>
      </c>
      <c r="O12" s="21">
        <f t="shared" si="1"/>
        <v>0</v>
      </c>
      <c r="P12" s="21">
        <f t="shared" si="1"/>
        <v>0</v>
      </c>
      <c r="Q12" s="21">
        <f t="shared" si="1"/>
        <v>0</v>
      </c>
      <c r="R12" s="21">
        <f t="shared" si="1"/>
        <v>0</v>
      </c>
      <c r="S12" s="21">
        <f>SUM(S10:S11)</f>
        <v>-1725796.4583264736</v>
      </c>
      <c r="T12" s="200">
        <f>SUM(T10:T11)</f>
        <v>-1725796.4583264736</v>
      </c>
    </row>
    <row r="13" spans="1:25">
      <c r="A13" s="76"/>
      <c r="B13" s="77"/>
      <c r="C13" s="462"/>
      <c r="D13" s="83"/>
      <c r="E13" s="84"/>
      <c r="F13" s="84"/>
      <c r="G13" s="84"/>
      <c r="H13" s="84"/>
      <c r="I13" s="84"/>
      <c r="J13" s="84"/>
      <c r="K13" s="84"/>
      <c r="L13" s="84"/>
      <c r="M13" s="84"/>
      <c r="N13" s="84"/>
      <c r="O13" s="84"/>
      <c r="P13" s="84"/>
      <c r="Q13" s="84"/>
      <c r="R13" s="83"/>
      <c r="S13" s="83"/>
      <c r="T13" s="176"/>
    </row>
    <row r="14" spans="1:25" ht="15.75" thickBot="1">
      <c r="A14" s="76"/>
      <c r="B14" s="241" t="s">
        <v>89</v>
      </c>
      <c r="C14" s="241"/>
      <c r="D14" s="86">
        <f>D12+D8</f>
        <v>0</v>
      </c>
      <c r="E14" s="86">
        <f t="shared" ref="E14:S14" si="2">E12+E8</f>
        <v>0</v>
      </c>
      <c r="F14" s="86">
        <f t="shared" si="2"/>
        <v>0</v>
      </c>
      <c r="G14" s="86">
        <f t="shared" si="2"/>
        <v>0</v>
      </c>
      <c r="H14" s="86">
        <f t="shared" si="2"/>
        <v>0</v>
      </c>
      <c r="I14" s="86">
        <f t="shared" si="2"/>
        <v>0</v>
      </c>
      <c r="J14" s="86">
        <f t="shared" si="2"/>
        <v>0</v>
      </c>
      <c r="K14" s="86">
        <f t="shared" si="2"/>
        <v>0</v>
      </c>
      <c r="L14" s="86">
        <f t="shared" si="2"/>
        <v>0</v>
      </c>
      <c r="M14" s="86">
        <f t="shared" si="2"/>
        <v>0</v>
      </c>
      <c r="N14" s="86">
        <f t="shared" si="2"/>
        <v>0</v>
      </c>
      <c r="O14" s="86">
        <f t="shared" si="2"/>
        <v>0</v>
      </c>
      <c r="P14" s="86">
        <f t="shared" si="2"/>
        <v>0</v>
      </c>
      <c r="Q14" s="86">
        <f t="shared" si="2"/>
        <v>0</v>
      </c>
      <c r="R14" s="86">
        <f t="shared" si="2"/>
        <v>0</v>
      </c>
      <c r="S14" s="86">
        <f t="shared" si="2"/>
        <v>7069169.2529961076</v>
      </c>
      <c r="T14" s="87">
        <f>T12+T8</f>
        <v>7069169.2529961076</v>
      </c>
    </row>
    <row r="15" spans="1:25" s="50" customFormat="1" ht="12.75" thickTop="1" thickBot="1">
      <c r="A15" s="88"/>
      <c r="B15" s="90"/>
      <c r="C15" s="90"/>
      <c r="D15" s="92"/>
      <c r="E15" s="91"/>
      <c r="F15" s="91"/>
      <c r="G15" s="92"/>
      <c r="H15" s="93"/>
      <c r="I15" s="93"/>
      <c r="J15" s="92"/>
      <c r="K15" s="93"/>
      <c r="L15" s="93"/>
      <c r="M15" s="92"/>
      <c r="N15" s="93"/>
      <c r="O15" s="93"/>
      <c r="P15" s="92"/>
      <c r="Q15" s="93"/>
      <c r="R15" s="93"/>
      <c r="S15" s="92"/>
      <c r="T15" s="150"/>
    </row>
    <row r="16" spans="1:25">
      <c r="T16" s="35"/>
    </row>
    <row r="17" spans="1:21">
      <c r="T17" s="35"/>
    </row>
    <row r="18" spans="1:21">
      <c r="A18" s="177" t="s">
        <v>380</v>
      </c>
      <c r="T18" s="35"/>
    </row>
    <row r="19" spans="1:21">
      <c r="A19" s="203"/>
      <c r="B19" s="204"/>
      <c r="C19" s="204"/>
      <c r="T19" s="35"/>
    </row>
    <row r="20" spans="1:21" s="2" customFormat="1">
      <c r="A20" s="203"/>
      <c r="B20" s="204"/>
      <c r="C20" s="204"/>
      <c r="D20" s="94"/>
      <c r="R20"/>
      <c r="S20"/>
      <c r="T20" s="35"/>
      <c r="U20"/>
    </row>
    <row r="21" spans="1:21">
      <c r="A21" s="203"/>
      <c r="B21" s="204"/>
      <c r="C21" s="204"/>
      <c r="T21" s="35"/>
    </row>
    <row r="22" spans="1:21">
      <c r="T22" s="35"/>
    </row>
    <row r="23" spans="1:21">
      <c r="D23" s="464"/>
      <c r="T23" s="35"/>
    </row>
    <row r="24" spans="1:21">
      <c r="D24" s="464"/>
      <c r="T24" s="35"/>
    </row>
    <row r="25" spans="1:21">
      <c r="D25" s="464"/>
      <c r="T25" s="35"/>
    </row>
    <row r="26" spans="1:21">
      <c r="D26" s="466"/>
      <c r="T26" s="35"/>
    </row>
    <row r="27" spans="1:21">
      <c r="D27" s="466"/>
      <c r="T27" s="35"/>
    </row>
    <row r="28" spans="1:21">
      <c r="D28" s="464"/>
      <c r="T28" s="35"/>
    </row>
    <row r="29" spans="1:21">
      <c r="D29" s="464"/>
      <c r="T29" s="35"/>
    </row>
    <row r="30" spans="1:21">
      <c r="D30" s="464"/>
      <c r="T30" s="35"/>
    </row>
    <row r="31" spans="1:21">
      <c r="D31" s="464"/>
    </row>
    <row r="32" spans="1:21">
      <c r="D32" s="464"/>
    </row>
    <row r="33" spans="4:4">
      <c r="D33" s="464"/>
    </row>
    <row r="34" spans="4:4">
      <c r="D34" s="464"/>
    </row>
    <row r="35" spans="4:4">
      <c r="D35" s="464"/>
    </row>
    <row r="36" spans="4:4">
      <c r="D36" s="464"/>
    </row>
    <row r="37" spans="4:4">
      <c r="D37" s="464"/>
    </row>
    <row r="38" spans="4:4" ht="13.15" customHeight="1">
      <c r="D38" s="464"/>
    </row>
    <row r="39" spans="4:4">
      <c r="D39" s="464"/>
    </row>
    <row r="40" spans="4:4">
      <c r="D40" s="464"/>
    </row>
    <row r="41" spans="4:4">
      <c r="D41" s="464"/>
    </row>
    <row r="42" spans="4:4">
      <c r="D42" s="464"/>
    </row>
    <row r="43" spans="4:4">
      <c r="D43" s="464"/>
    </row>
    <row r="44" spans="4:4">
      <c r="D44" s="464"/>
    </row>
    <row r="45" spans="4:4">
      <c r="D45" s="464"/>
    </row>
    <row r="46" spans="4:4">
      <c r="D46" s="464"/>
    </row>
    <row r="47" spans="4:4">
      <c r="D47" s="464"/>
    </row>
    <row r="48" spans="4:4">
      <c r="D48" s="464"/>
    </row>
    <row r="49" spans="4:4">
      <c r="D49" s="464"/>
    </row>
    <row r="50" spans="4:4">
      <c r="D50" s="464"/>
    </row>
    <row r="51" spans="4:4">
      <c r="D51" s="464"/>
    </row>
    <row r="52" spans="4:4">
      <c r="D52" s="464"/>
    </row>
    <row r="53" spans="4:4">
      <c r="D53" s="464"/>
    </row>
    <row r="54" spans="4:4">
      <c r="D54" s="464"/>
    </row>
    <row r="55" spans="4:4">
      <c r="D55" s="464"/>
    </row>
    <row r="56" spans="4:4">
      <c r="D56" s="464"/>
    </row>
    <row r="57" spans="4:4">
      <c r="D57" s="464"/>
    </row>
    <row r="58" spans="4:4">
      <c r="D58" s="464"/>
    </row>
    <row r="59" spans="4:4">
      <c r="D59" s="464"/>
    </row>
    <row r="60" spans="4:4">
      <c r="D60" s="464"/>
    </row>
    <row r="61" spans="4:4">
      <c r="D61" s="464"/>
    </row>
    <row r="62" spans="4:4">
      <c r="D62" s="464"/>
    </row>
    <row r="63" spans="4:4">
      <c r="D63" s="464"/>
    </row>
    <row r="64" spans="4:4">
      <c r="D64" s="464"/>
    </row>
    <row r="65" spans="4:4">
      <c r="D65" s="464"/>
    </row>
    <row r="66" spans="4:4">
      <c r="D66" s="464"/>
    </row>
    <row r="67" spans="4:4">
      <c r="D67" s="464"/>
    </row>
    <row r="68" spans="4:4">
      <c r="D68" s="464"/>
    </row>
    <row r="69" spans="4:4">
      <c r="D69" s="464"/>
    </row>
    <row r="70" spans="4:4">
      <c r="D70" s="464"/>
    </row>
    <row r="71" spans="4:4">
      <c r="D71" s="464"/>
    </row>
    <row r="72" spans="4:4">
      <c r="D72" s="464"/>
    </row>
    <row r="73" spans="4:4">
      <c r="D73" s="464"/>
    </row>
    <row r="74" spans="4:4">
      <c r="D74" s="464"/>
    </row>
    <row r="75" spans="4:4">
      <c r="D75" s="464"/>
    </row>
    <row r="76" spans="4:4">
      <c r="D76" s="464"/>
    </row>
    <row r="77" spans="4:4">
      <c r="D77" s="464"/>
    </row>
    <row r="78" spans="4:4">
      <c r="D78" s="464"/>
    </row>
    <row r="79" spans="4:4">
      <c r="D79" s="464"/>
    </row>
    <row r="80" spans="4:4">
      <c r="D80" s="464"/>
    </row>
    <row r="81" spans="4:4">
      <c r="D81" s="464"/>
    </row>
    <row r="82" spans="4:4">
      <c r="D82" s="464"/>
    </row>
    <row r="83" spans="4:4">
      <c r="D83" s="464"/>
    </row>
    <row r="84" spans="4:4">
      <c r="D84" s="464"/>
    </row>
    <row r="85" spans="4:4">
      <c r="D85" s="464"/>
    </row>
    <row r="86" spans="4:4">
      <c r="D86" s="464"/>
    </row>
    <row r="87" spans="4:4">
      <c r="D87" s="464"/>
    </row>
    <row r="88" spans="4:4">
      <c r="D88" s="464"/>
    </row>
    <row r="89" spans="4:4">
      <c r="D89" s="464"/>
    </row>
    <row r="90" spans="4:4">
      <c r="D90" s="464"/>
    </row>
    <row r="91" spans="4:4">
      <c r="D91" s="464"/>
    </row>
    <row r="92" spans="4:4">
      <c r="D92" s="464"/>
    </row>
    <row r="93" spans="4:4">
      <c r="D93" s="464"/>
    </row>
    <row r="94" spans="4:4">
      <c r="D94" s="464"/>
    </row>
    <row r="95" spans="4:4">
      <c r="D95" s="464"/>
    </row>
    <row r="96" spans="4:4">
      <c r="D96" s="464"/>
    </row>
    <row r="97" spans="4:4">
      <c r="D97" s="464"/>
    </row>
    <row r="98" spans="4:4">
      <c r="D98" s="464"/>
    </row>
    <row r="99" spans="4:4">
      <c r="D99" s="464"/>
    </row>
    <row r="100" spans="4:4">
      <c r="D100" s="464"/>
    </row>
    <row r="101" spans="4:4">
      <c r="D101" s="464"/>
    </row>
    <row r="102" spans="4:4">
      <c r="D102" s="464"/>
    </row>
    <row r="103" spans="4:4">
      <c r="D103" s="464"/>
    </row>
    <row r="104" spans="4:4">
      <c r="D104" s="464"/>
    </row>
    <row r="105" spans="4:4">
      <c r="D105" s="464"/>
    </row>
    <row r="106" spans="4:4">
      <c r="D106" s="464"/>
    </row>
    <row r="107" spans="4:4">
      <c r="D107" s="464"/>
    </row>
    <row r="108" spans="4:4">
      <c r="D108" s="464"/>
    </row>
    <row r="109" spans="4:4">
      <c r="D109" s="464"/>
    </row>
    <row r="110" spans="4:4">
      <c r="D110" s="464"/>
    </row>
    <row r="111" spans="4:4">
      <c r="D111" s="464"/>
    </row>
    <row r="112" spans="4:4">
      <c r="D112" s="464"/>
    </row>
    <row r="113" spans="4:4">
      <c r="D113" s="464"/>
    </row>
    <row r="114" spans="4:4">
      <c r="D114" s="464"/>
    </row>
    <row r="115" spans="4:4">
      <c r="D115" s="464"/>
    </row>
    <row r="116" spans="4:4">
      <c r="D116" s="464"/>
    </row>
    <row r="117" spans="4:4">
      <c r="D117" s="464"/>
    </row>
    <row r="118" spans="4:4">
      <c r="D118" s="464"/>
    </row>
    <row r="119" spans="4:4">
      <c r="D119" s="464"/>
    </row>
    <row r="120" spans="4:4">
      <c r="D120" s="464"/>
    </row>
    <row r="121" spans="4:4">
      <c r="D121" s="464"/>
    </row>
    <row r="122" spans="4:4">
      <c r="D122" s="464"/>
    </row>
    <row r="123" spans="4:4">
      <c r="D123" s="464"/>
    </row>
    <row r="124" spans="4:4">
      <c r="D124" s="464"/>
    </row>
    <row r="125" spans="4:4">
      <c r="D125" s="464"/>
    </row>
    <row r="126" spans="4:4">
      <c r="D126" s="464"/>
    </row>
    <row r="127" spans="4:4">
      <c r="D127" s="464"/>
    </row>
    <row r="128" spans="4:4">
      <c r="D128" s="464"/>
    </row>
    <row r="129" spans="4:4">
      <c r="D129" s="464"/>
    </row>
    <row r="130" spans="4:4">
      <c r="D130" s="464"/>
    </row>
    <row r="131" spans="4:4">
      <c r="D131" s="464"/>
    </row>
    <row r="132" spans="4:4">
      <c r="D132" s="464"/>
    </row>
    <row r="133" spans="4:4">
      <c r="D133" s="464"/>
    </row>
    <row r="134" spans="4:4">
      <c r="D134" s="464"/>
    </row>
    <row r="135" spans="4:4">
      <c r="D135" s="464"/>
    </row>
  </sheetData>
  <printOptions horizontalCentered="1"/>
  <pageMargins left="0.2" right="0.2" top="0.75" bottom="0.75" header="0.3" footer="0.3"/>
  <pageSetup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
  <sheetViews>
    <sheetView zoomScale="91" zoomScaleNormal="91" workbookViewId="0">
      <pane xSplit="2" ySplit="5" topLeftCell="C6" activePane="bottomRight" state="frozen"/>
      <selection activeCell="D12" sqref="D12"/>
      <selection pane="topRight" activeCell="D12" sqref="D12"/>
      <selection pane="bottomLeft" activeCell="D12" sqref="D12"/>
      <selection pane="bottomRight" activeCell="F37" sqref="F37"/>
    </sheetView>
  </sheetViews>
  <sheetFormatPr defaultRowHeight="15"/>
  <cols>
    <col min="1" max="1" width="12" bestFit="1" customWidth="1"/>
    <col min="2" max="2" width="57.28515625" customWidth="1"/>
    <col min="3" max="3" width="12.85546875" customWidth="1"/>
    <col min="4" max="4" width="7" style="2" bestFit="1" customWidth="1"/>
    <col min="5" max="5" width="7.28515625" style="2" bestFit="1" customWidth="1"/>
    <col min="6" max="6" width="7.7109375" style="2" bestFit="1" customWidth="1"/>
    <col min="7" max="7" width="6.7109375" style="2" bestFit="1" customWidth="1"/>
    <col min="8" max="8" width="7.140625" style="2" bestFit="1" customWidth="1"/>
    <col min="9" max="9" width="7.42578125" style="2" bestFit="1" customWidth="1"/>
    <col min="10" max="10" width="7" style="2" bestFit="1" customWidth="1"/>
    <col min="11" max="11" width="7.7109375" style="2" bestFit="1" customWidth="1"/>
    <col min="12" max="12" width="6.7109375" style="2" bestFit="1" customWidth="1"/>
    <col min="13" max="13" width="6.28515625" style="2" bestFit="1" customWidth="1"/>
    <col min="14" max="14" width="7.28515625" style="2" bestFit="1" customWidth="1"/>
    <col min="15" max="15" width="7.140625" style="2" bestFit="1" customWidth="1"/>
    <col min="16" max="16" width="7" style="2" bestFit="1" customWidth="1"/>
    <col min="17" max="17" width="7.28515625" bestFit="1" customWidth="1"/>
    <col min="18" max="18" width="13.28515625" bestFit="1" customWidth="1"/>
    <col min="19" max="19" width="13.42578125" customWidth="1"/>
    <col min="20" max="20" width="19.28515625" customWidth="1"/>
  </cols>
  <sheetData>
    <row r="1" spans="1:24">
      <c r="A1" s="335" t="s">
        <v>0</v>
      </c>
      <c r="B1" s="335"/>
      <c r="C1" s="335"/>
      <c r="D1" s="335"/>
      <c r="E1" s="335"/>
      <c r="F1" s="335"/>
      <c r="G1" s="335"/>
      <c r="H1" s="335"/>
      <c r="I1" s="335"/>
      <c r="J1" s="335"/>
      <c r="K1" s="335"/>
      <c r="L1" s="335"/>
      <c r="M1" s="335"/>
      <c r="N1" s="335"/>
      <c r="O1" s="335"/>
      <c r="P1" s="335"/>
      <c r="Q1" s="335"/>
      <c r="R1" s="335"/>
      <c r="S1" s="335"/>
      <c r="T1" s="217"/>
      <c r="U1" s="217"/>
      <c r="V1" s="217"/>
      <c r="W1" s="217"/>
      <c r="X1" s="217"/>
    </row>
    <row r="2" spans="1:24">
      <c r="A2" s="335" t="s">
        <v>205</v>
      </c>
      <c r="B2" s="335"/>
      <c r="C2" s="335"/>
      <c r="D2" s="335"/>
      <c r="E2" s="335"/>
      <c r="F2" s="335"/>
      <c r="G2" s="335"/>
      <c r="H2" s="335"/>
      <c r="I2" s="335"/>
      <c r="J2" s="335"/>
      <c r="K2" s="335"/>
      <c r="L2" s="335"/>
      <c r="M2" s="335"/>
      <c r="N2" s="335"/>
      <c r="O2" s="335"/>
      <c r="P2" s="335"/>
      <c r="Q2" s="335"/>
      <c r="R2" s="335"/>
      <c r="S2" s="335"/>
      <c r="T2" s="217"/>
      <c r="U2" s="217"/>
      <c r="V2" s="217"/>
      <c r="W2" s="217"/>
      <c r="X2" s="217"/>
    </row>
    <row r="3" spans="1:24" ht="21">
      <c r="A3" s="336" t="s">
        <v>2</v>
      </c>
      <c r="B3" s="336"/>
      <c r="C3" s="336"/>
      <c r="D3" s="336"/>
      <c r="E3" s="336"/>
      <c r="F3" s="336"/>
      <c r="G3" s="336"/>
      <c r="H3" s="336"/>
      <c r="I3" s="336"/>
      <c r="J3" s="336"/>
      <c r="K3" s="336"/>
      <c r="L3" s="336"/>
      <c r="M3" s="336"/>
      <c r="N3" s="336"/>
      <c r="O3" s="336"/>
      <c r="P3" s="336"/>
      <c r="Q3" s="336"/>
      <c r="R3" s="336"/>
      <c r="S3" s="336"/>
      <c r="T3" s="218"/>
      <c r="U3" s="218"/>
      <c r="V3" s="218"/>
      <c r="W3" s="218"/>
      <c r="X3" s="218"/>
    </row>
    <row r="4" spans="1:24" ht="7.15" customHeight="1" thickBot="1"/>
    <row r="5" spans="1:24" s="8" customFormat="1" ht="45.75" thickBot="1">
      <c r="A5" s="3" t="s">
        <v>4</v>
      </c>
      <c r="B5" s="5" t="s">
        <v>5</v>
      </c>
      <c r="C5" s="6" t="s">
        <v>176</v>
      </c>
      <c r="D5" s="6">
        <v>42644</v>
      </c>
      <c r="E5" s="6">
        <v>42675</v>
      </c>
      <c r="F5" s="6" t="s">
        <v>10</v>
      </c>
      <c r="G5" s="6">
        <v>42736</v>
      </c>
      <c r="H5" s="6">
        <v>42767</v>
      </c>
      <c r="I5" s="6">
        <v>42795</v>
      </c>
      <c r="J5" s="6">
        <v>42826</v>
      </c>
      <c r="K5" s="6">
        <v>42856</v>
      </c>
      <c r="L5" s="6">
        <v>42887</v>
      </c>
      <c r="M5" s="6">
        <v>42917</v>
      </c>
      <c r="N5" s="6">
        <v>42948</v>
      </c>
      <c r="O5" s="6">
        <v>42979</v>
      </c>
      <c r="P5" s="6">
        <v>43009</v>
      </c>
      <c r="Q5" s="6">
        <v>43040</v>
      </c>
      <c r="R5" s="6">
        <v>43070</v>
      </c>
      <c r="S5" s="7" t="s">
        <v>212</v>
      </c>
    </row>
    <row r="6" spans="1:24" s="2" customFormat="1">
      <c r="A6" s="32" t="s">
        <v>206</v>
      </c>
      <c r="B6" s="205" t="s">
        <v>207</v>
      </c>
      <c r="C6" s="12">
        <v>0</v>
      </c>
      <c r="D6" s="13">
        <v>0</v>
      </c>
      <c r="E6" s="13">
        <v>0</v>
      </c>
      <c r="F6" s="13">
        <v>0</v>
      </c>
      <c r="G6" s="13">
        <v>0</v>
      </c>
      <c r="H6" s="13">
        <v>0</v>
      </c>
      <c r="I6" s="13">
        <v>0</v>
      </c>
      <c r="J6" s="13">
        <v>0</v>
      </c>
      <c r="K6" s="13">
        <v>0</v>
      </c>
      <c r="L6" s="13">
        <v>0</v>
      </c>
      <c r="M6" s="13">
        <v>0</v>
      </c>
      <c r="N6" s="13">
        <v>0</v>
      </c>
      <c r="O6" s="13">
        <v>0</v>
      </c>
      <c r="P6" s="13">
        <v>0</v>
      </c>
      <c r="Q6" s="13">
        <v>0</v>
      </c>
      <c r="R6" s="12">
        <f>'2017 GRC Stlmt'!D12</f>
        <v>72192483.439999983</v>
      </c>
      <c r="S6" s="174">
        <f>SUM(C6:R6)</f>
        <v>72192483.439999983</v>
      </c>
    </row>
    <row r="7" spans="1:24" s="2" customFormat="1" ht="19.899999999999999" customHeight="1">
      <c r="A7" s="32" t="s">
        <v>206</v>
      </c>
      <c r="B7" s="135" t="s">
        <v>250</v>
      </c>
      <c r="C7" s="17"/>
      <c r="D7" s="206"/>
      <c r="E7" s="206"/>
      <c r="F7" s="206"/>
      <c r="G7" s="206"/>
      <c r="H7" s="206"/>
      <c r="I7" s="206"/>
      <c r="J7" s="206"/>
      <c r="K7" s="206"/>
      <c r="L7" s="206"/>
      <c r="M7" s="206"/>
      <c r="N7" s="206"/>
      <c r="O7" s="206"/>
      <c r="P7" s="206"/>
      <c r="Q7" s="206"/>
      <c r="R7" s="17">
        <f>-'2017 GRC Stlmt'!D12/5/12*13/31</f>
        <v>-504571.12081720424</v>
      </c>
      <c r="S7" s="18">
        <f>SUM(C7:R7)</f>
        <v>-504571.12081720424</v>
      </c>
    </row>
    <row r="8" spans="1:24" s="2" customFormat="1">
      <c r="A8" s="32"/>
      <c r="B8" s="199" t="s">
        <v>208</v>
      </c>
      <c r="C8" s="75">
        <f t="shared" ref="C8:Q8" si="0">SUM(C6:C7)</f>
        <v>0</v>
      </c>
      <c r="D8" s="75">
        <f t="shared" si="0"/>
        <v>0</v>
      </c>
      <c r="E8" s="75">
        <f t="shared" si="0"/>
        <v>0</v>
      </c>
      <c r="F8" s="75">
        <f t="shared" si="0"/>
        <v>0</v>
      </c>
      <c r="G8" s="75">
        <f t="shared" si="0"/>
        <v>0</v>
      </c>
      <c r="H8" s="75">
        <f t="shared" si="0"/>
        <v>0</v>
      </c>
      <c r="I8" s="75">
        <f t="shared" si="0"/>
        <v>0</v>
      </c>
      <c r="J8" s="75">
        <f t="shared" si="0"/>
        <v>0</v>
      </c>
      <c r="K8" s="75">
        <f t="shared" si="0"/>
        <v>0</v>
      </c>
      <c r="L8" s="75">
        <f t="shared" si="0"/>
        <v>0</v>
      </c>
      <c r="M8" s="75">
        <f t="shared" si="0"/>
        <v>0</v>
      </c>
      <c r="N8" s="75">
        <f t="shared" si="0"/>
        <v>0</v>
      </c>
      <c r="O8" s="75">
        <f t="shared" si="0"/>
        <v>0</v>
      </c>
      <c r="P8" s="75">
        <f t="shared" si="0"/>
        <v>0</v>
      </c>
      <c r="Q8" s="75">
        <f t="shared" si="0"/>
        <v>0</v>
      </c>
      <c r="R8" s="75">
        <f>SUM(R6:R7)</f>
        <v>71687912.319182783</v>
      </c>
      <c r="S8" s="200">
        <f>SUM(S6:S7)</f>
        <v>71687912.319182783</v>
      </c>
    </row>
    <row r="9" spans="1:24" s="2" customFormat="1">
      <c r="A9" s="32"/>
      <c r="B9" s="135"/>
      <c r="C9" s="201"/>
      <c r="D9" s="202"/>
      <c r="E9" s="202"/>
      <c r="F9" s="202"/>
      <c r="G9" s="202"/>
      <c r="H9" s="202"/>
      <c r="I9" s="202"/>
      <c r="J9" s="202"/>
      <c r="K9" s="202"/>
      <c r="L9" s="202"/>
      <c r="M9" s="202"/>
      <c r="N9" s="202"/>
      <c r="O9" s="202"/>
      <c r="P9" s="202"/>
      <c r="Q9" s="202"/>
      <c r="R9" s="201"/>
      <c r="S9" s="207"/>
    </row>
    <row r="10" spans="1:24" s="2" customFormat="1">
      <c r="A10" s="32" t="s">
        <v>209</v>
      </c>
      <c r="B10" s="135" t="s">
        <v>210</v>
      </c>
      <c r="C10" s="12">
        <v>0</v>
      </c>
      <c r="D10" s="12">
        <v>0</v>
      </c>
      <c r="E10" s="12">
        <v>0</v>
      </c>
      <c r="F10" s="12">
        <v>0</v>
      </c>
      <c r="G10" s="12">
        <v>0</v>
      </c>
      <c r="H10" s="12">
        <v>0</v>
      </c>
      <c r="I10" s="12">
        <v>0</v>
      </c>
      <c r="J10" s="12">
        <v>0</v>
      </c>
      <c r="K10" s="12">
        <v>0</v>
      </c>
      <c r="L10" s="12">
        <v>0</v>
      </c>
      <c r="M10" s="12">
        <v>0</v>
      </c>
      <c r="N10" s="12">
        <v>0</v>
      </c>
      <c r="O10" s="12">
        <v>0</v>
      </c>
      <c r="P10" s="12">
        <v>0</v>
      </c>
      <c r="Q10" s="12">
        <v>0</v>
      </c>
      <c r="R10" s="12">
        <f>'2017 GRC Stlmt'!D16</f>
        <v>-29176115.83117523</v>
      </c>
      <c r="S10" s="14">
        <f>SUM(C10:R10)</f>
        <v>-29176115.83117523</v>
      </c>
    </row>
    <row r="11" spans="1:24" s="2" customFormat="1">
      <c r="A11" s="32" t="s">
        <v>209</v>
      </c>
      <c r="B11" s="135" t="s">
        <v>251</v>
      </c>
      <c r="C11" s="37"/>
      <c r="D11" s="37"/>
      <c r="E11" s="37"/>
      <c r="F11" s="37"/>
      <c r="G11" s="37"/>
      <c r="H11" s="37"/>
      <c r="I11" s="37"/>
      <c r="J11" s="37"/>
      <c r="K11" s="37"/>
      <c r="L11" s="37"/>
      <c r="M11" s="37"/>
      <c r="N11" s="37"/>
      <c r="O11" s="37"/>
      <c r="P11" s="37"/>
      <c r="Q11" s="37"/>
      <c r="R11" s="37">
        <f>-'2017 GRC Stlmt'!D16/5/12*13/31</f>
        <v>203919.0891426226</v>
      </c>
      <c r="S11" s="18">
        <f>SUM(C11:R11)</f>
        <v>203919.0891426226</v>
      </c>
    </row>
    <row r="12" spans="1:24" s="2" customFormat="1">
      <c r="A12" s="32"/>
      <c r="B12" s="199" t="s">
        <v>211</v>
      </c>
      <c r="C12" s="21">
        <f t="shared" ref="C12:Q12" si="1">SUM(C10:C11)</f>
        <v>0</v>
      </c>
      <c r="D12" s="21">
        <f t="shared" si="1"/>
        <v>0</v>
      </c>
      <c r="E12" s="21">
        <f t="shared" si="1"/>
        <v>0</v>
      </c>
      <c r="F12" s="21">
        <f t="shared" si="1"/>
        <v>0</v>
      </c>
      <c r="G12" s="21">
        <f t="shared" si="1"/>
        <v>0</v>
      </c>
      <c r="H12" s="21">
        <f t="shared" si="1"/>
        <v>0</v>
      </c>
      <c r="I12" s="21">
        <f t="shared" si="1"/>
        <v>0</v>
      </c>
      <c r="J12" s="21">
        <f t="shared" si="1"/>
        <v>0</v>
      </c>
      <c r="K12" s="21">
        <f t="shared" si="1"/>
        <v>0</v>
      </c>
      <c r="L12" s="21">
        <f t="shared" si="1"/>
        <v>0</v>
      </c>
      <c r="M12" s="21">
        <f t="shared" si="1"/>
        <v>0</v>
      </c>
      <c r="N12" s="21">
        <f t="shared" si="1"/>
        <v>0</v>
      </c>
      <c r="O12" s="21">
        <f t="shared" si="1"/>
        <v>0</v>
      </c>
      <c r="P12" s="21">
        <f t="shared" si="1"/>
        <v>0</v>
      </c>
      <c r="Q12" s="21">
        <f t="shared" si="1"/>
        <v>0</v>
      </c>
      <c r="R12" s="21">
        <f>SUM(R10:R11)</f>
        <v>-28972196.742032606</v>
      </c>
      <c r="S12" s="22">
        <f>SUM(S10:S11)</f>
        <v>-28972196.742032606</v>
      </c>
    </row>
    <row r="13" spans="1:24">
      <c r="A13" s="79"/>
      <c r="B13" s="80"/>
      <c r="C13" s="83"/>
      <c r="D13" s="84"/>
      <c r="E13" s="84"/>
      <c r="F13" s="84"/>
      <c r="G13" s="84"/>
      <c r="H13" s="84"/>
      <c r="I13" s="84"/>
      <c r="J13" s="84"/>
      <c r="K13" s="84"/>
      <c r="L13" s="84"/>
      <c r="M13" s="84"/>
      <c r="N13" s="84"/>
      <c r="O13" s="84"/>
      <c r="P13" s="84"/>
      <c r="Q13" s="83"/>
      <c r="R13" s="83"/>
      <c r="S13" s="176"/>
    </row>
    <row r="14" spans="1:24" ht="15.75" thickBot="1">
      <c r="A14" s="79"/>
      <c r="B14" s="85" t="s">
        <v>89</v>
      </c>
      <c r="C14" s="86">
        <f>C12+C8</f>
        <v>0</v>
      </c>
      <c r="D14" s="86">
        <f t="shared" ref="D14:S14" si="2">D12+D8</f>
        <v>0</v>
      </c>
      <c r="E14" s="86">
        <f t="shared" si="2"/>
        <v>0</v>
      </c>
      <c r="F14" s="86">
        <f t="shared" si="2"/>
        <v>0</v>
      </c>
      <c r="G14" s="86">
        <f t="shared" si="2"/>
        <v>0</v>
      </c>
      <c r="H14" s="86">
        <f t="shared" si="2"/>
        <v>0</v>
      </c>
      <c r="I14" s="86">
        <f t="shared" si="2"/>
        <v>0</v>
      </c>
      <c r="J14" s="86">
        <f t="shared" si="2"/>
        <v>0</v>
      </c>
      <c r="K14" s="86">
        <f t="shared" si="2"/>
        <v>0</v>
      </c>
      <c r="L14" s="86">
        <f t="shared" si="2"/>
        <v>0</v>
      </c>
      <c r="M14" s="86">
        <f t="shared" si="2"/>
        <v>0</v>
      </c>
      <c r="N14" s="86">
        <f t="shared" si="2"/>
        <v>0</v>
      </c>
      <c r="O14" s="86">
        <f t="shared" si="2"/>
        <v>0</v>
      </c>
      <c r="P14" s="86">
        <f t="shared" si="2"/>
        <v>0</v>
      </c>
      <c r="Q14" s="86">
        <f t="shared" si="2"/>
        <v>0</v>
      </c>
      <c r="R14" s="86">
        <f t="shared" si="2"/>
        <v>42715715.577150181</v>
      </c>
      <c r="S14" s="87">
        <f t="shared" si="2"/>
        <v>42715715.577150181</v>
      </c>
    </row>
    <row r="15" spans="1:24" s="50" customFormat="1" ht="12.75" thickTop="1" thickBot="1">
      <c r="A15" s="88"/>
      <c r="B15" s="90"/>
      <c r="C15" s="92"/>
      <c r="D15" s="91"/>
      <c r="E15" s="91"/>
      <c r="F15" s="92"/>
      <c r="G15" s="93"/>
      <c r="H15" s="93"/>
      <c r="I15" s="92"/>
      <c r="J15" s="93"/>
      <c r="K15" s="93"/>
      <c r="L15" s="92"/>
      <c r="M15" s="93"/>
      <c r="N15" s="93"/>
      <c r="O15" s="92"/>
      <c r="P15" s="93"/>
      <c r="Q15" s="93"/>
      <c r="R15" s="92"/>
      <c r="S15" s="150"/>
    </row>
    <row r="16" spans="1:24">
      <c r="S16" s="35"/>
    </row>
    <row r="17" spans="1:20">
      <c r="S17" s="35"/>
    </row>
    <row r="18" spans="1:20">
      <c r="S18" s="35"/>
    </row>
    <row r="19" spans="1:20">
      <c r="A19" s="203"/>
      <c r="B19" s="204"/>
      <c r="S19" s="35"/>
    </row>
    <row r="20" spans="1:20" s="2" customFormat="1">
      <c r="A20" s="203"/>
      <c r="B20" s="204"/>
      <c r="C20" s="94"/>
      <c r="Q20"/>
      <c r="R20"/>
      <c r="S20" s="35"/>
      <c r="T20"/>
    </row>
    <row r="21" spans="1:20">
      <c r="A21" s="203"/>
      <c r="B21" s="204"/>
      <c r="S21" s="35"/>
    </row>
    <row r="22" spans="1:20">
      <c r="S22" s="35"/>
    </row>
    <row r="23" spans="1:20">
      <c r="S23" s="35"/>
    </row>
    <row r="24" spans="1:20">
      <c r="S24" s="35"/>
    </row>
    <row r="25" spans="1:20">
      <c r="S25" s="35"/>
    </row>
    <row r="26" spans="1:20">
      <c r="S26" s="35"/>
    </row>
    <row r="27" spans="1:20">
      <c r="S27" s="35"/>
    </row>
    <row r="28" spans="1:20">
      <c r="S28" s="35"/>
    </row>
    <row r="29" spans="1:20">
      <c r="S29" s="35"/>
    </row>
    <row r="30" spans="1:20">
      <c r="S30" s="35"/>
    </row>
  </sheetData>
  <printOptions horizontalCentered="1"/>
  <pageMargins left="0.2" right="0.2" top="0.75" bottom="0.75" header="0.3" footer="0.3"/>
  <pageSetup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8"/>
  <sheetViews>
    <sheetView workbookViewId="0">
      <selection activeCell="D15" sqref="D15"/>
    </sheetView>
  </sheetViews>
  <sheetFormatPr defaultColWidth="9.140625" defaultRowHeight="15"/>
  <cols>
    <col min="1" max="1" width="4.7109375" style="339" bestFit="1" customWidth="1"/>
    <col min="2" max="2" width="68.140625" style="339" bestFit="1" customWidth="1"/>
    <col min="3" max="4" width="15.85546875" style="339" customWidth="1"/>
    <col min="5" max="5" width="11.28515625" style="339" bestFit="1" customWidth="1"/>
    <col min="6" max="6" width="12.28515625" style="339" bestFit="1" customWidth="1"/>
    <col min="7" max="7" width="10.7109375" style="339" bestFit="1" customWidth="1"/>
    <col min="8" max="16384" width="9.140625" style="339"/>
  </cols>
  <sheetData>
    <row r="1" spans="1:6">
      <c r="A1" s="340" t="s">
        <v>276</v>
      </c>
      <c r="B1" s="340"/>
      <c r="C1" s="340"/>
      <c r="D1" s="446"/>
    </row>
    <row r="2" spans="1:6">
      <c r="A2" s="340" t="s">
        <v>275</v>
      </c>
      <c r="B2" s="340"/>
      <c r="C2" s="340"/>
      <c r="D2" s="446"/>
    </row>
    <row r="3" spans="1:6">
      <c r="A3" s="340" t="s">
        <v>274</v>
      </c>
      <c r="B3" s="340"/>
      <c r="C3" s="340"/>
      <c r="D3" s="446"/>
    </row>
    <row r="4" spans="1:6">
      <c r="A4" s="340" t="s">
        <v>273</v>
      </c>
      <c r="B4" s="340"/>
      <c r="C4" s="340"/>
      <c r="D4" s="446"/>
    </row>
    <row r="7" spans="1:6">
      <c r="A7" s="437" t="s">
        <v>342</v>
      </c>
      <c r="B7" s="437" t="s">
        <v>272</v>
      </c>
      <c r="C7" s="437" t="s">
        <v>271</v>
      </c>
      <c r="D7" s="437" t="s">
        <v>270</v>
      </c>
    </row>
    <row r="8" spans="1:6">
      <c r="B8" s="438"/>
      <c r="C8" s="439"/>
      <c r="D8" s="439"/>
    </row>
    <row r="9" spans="1:6">
      <c r="A9" s="447">
        <v>1</v>
      </c>
      <c r="B9" s="538" t="s">
        <v>343</v>
      </c>
      <c r="C9" s="439"/>
      <c r="D9" s="439"/>
    </row>
    <row r="10" spans="1:6">
      <c r="A10" s="447">
        <v>2</v>
      </c>
      <c r="B10" s="438" t="s">
        <v>269</v>
      </c>
      <c r="C10" s="440">
        <f>Electric!D34</f>
        <v>9689352.1799999997</v>
      </c>
      <c r="D10" s="440">
        <f>Gas!D47-Gas!D30-Gas!D27-Gas!D11-Gas!D7</f>
        <v>77757936.109999985</v>
      </c>
    </row>
    <row r="11" spans="1:6" ht="15.75" thickBot="1">
      <c r="A11" s="447">
        <v>3</v>
      </c>
      <c r="B11" s="438" t="s">
        <v>268</v>
      </c>
      <c r="C11" s="441"/>
      <c r="D11" s="441">
        <f>SUM(Gas!D30,Gas!D27,Gas!D11,Gas!D7)</f>
        <v>-5565452.6699999999</v>
      </c>
    </row>
    <row r="12" spans="1:6" ht="15.75" thickBot="1">
      <c r="A12" s="447">
        <v>4</v>
      </c>
      <c r="B12" s="438" t="s">
        <v>267</v>
      </c>
      <c r="C12" s="441">
        <f>SUM(C10:C11)</f>
        <v>9689352.1799999997</v>
      </c>
      <c r="D12" s="441">
        <f>SUM(D10:D11)</f>
        <v>72192483.439999983</v>
      </c>
    </row>
    <row r="13" spans="1:6">
      <c r="A13" s="447">
        <v>5</v>
      </c>
    </row>
    <row r="14" spans="1:6">
      <c r="A14" s="447">
        <v>6</v>
      </c>
      <c r="B14" s="438" t="s">
        <v>266</v>
      </c>
      <c r="C14" s="442">
        <f>Electric!E34</f>
        <v>-5437149.2700000005</v>
      </c>
      <c r="D14" s="442">
        <f>Gas!E47</f>
        <v>-50477888.110000007</v>
      </c>
    </row>
    <row r="15" spans="1:6" ht="15.75" thickBot="1">
      <c r="A15" s="447">
        <v>7</v>
      </c>
      <c r="B15" s="438" t="s">
        <v>265</v>
      </c>
      <c r="C15" s="443">
        <f>Electric!D38</f>
        <v>0.47275274446217808</v>
      </c>
      <c r="D15" s="443">
        <f>Gas!D51</f>
        <v>0.57799794966848561</v>
      </c>
    </row>
    <row r="16" spans="1:6" ht="15.75" thickBot="1">
      <c r="A16" s="447">
        <v>8</v>
      </c>
      <c r="B16" s="438" t="s">
        <v>264</v>
      </c>
      <c r="C16" s="441">
        <f>C14*C15</f>
        <v>-2570427.2394430283</v>
      </c>
      <c r="D16" s="441">
        <f>D14*D15</f>
        <v>-29176115.83117523</v>
      </c>
      <c r="E16" s="456"/>
      <c r="F16" s="456"/>
    </row>
    <row r="17" spans="1:6" ht="15.75" thickBot="1">
      <c r="A17" s="447">
        <v>9</v>
      </c>
      <c r="B17" s="438" t="s">
        <v>263</v>
      </c>
      <c r="C17" s="441">
        <f>C12+C16</f>
        <v>7118924.9405569714</v>
      </c>
      <c r="D17" s="441">
        <f>D12+D16</f>
        <v>43016367.608824752</v>
      </c>
    </row>
    <row r="18" spans="1:6" ht="15.75" thickBot="1">
      <c r="A18" s="447">
        <v>10</v>
      </c>
      <c r="B18" s="438" t="s">
        <v>262</v>
      </c>
      <c r="C18" s="441">
        <f>C17/5</f>
        <v>1423784.9881113942</v>
      </c>
      <c r="D18" s="441">
        <f>D17/5</f>
        <v>8603273.5217649508</v>
      </c>
    </row>
    <row r="19" spans="1:6" ht="15.75" thickBot="1">
      <c r="A19" s="447">
        <v>11</v>
      </c>
      <c r="B19" s="438" t="s">
        <v>261</v>
      </c>
      <c r="C19" s="444">
        <f>-C18*0.65</f>
        <v>-925460.24227240623</v>
      </c>
      <c r="D19" s="444">
        <f>-D18*0.65</f>
        <v>-5592127.7891472187</v>
      </c>
    </row>
    <row r="20" spans="1:6" ht="15.75" thickTop="1">
      <c r="A20" s="447">
        <v>12</v>
      </c>
    </row>
    <row r="21" spans="1:6">
      <c r="A21" s="447">
        <v>13</v>
      </c>
    </row>
    <row r="22" spans="1:6">
      <c r="A22" s="447">
        <v>14</v>
      </c>
      <c r="B22" s="538" t="s">
        <v>377</v>
      </c>
    </row>
    <row r="23" spans="1:6">
      <c r="A23" s="447">
        <v>15</v>
      </c>
      <c r="B23" s="438" t="s">
        <v>339</v>
      </c>
    </row>
    <row r="24" spans="1:6">
      <c r="A24" s="447">
        <v>16</v>
      </c>
      <c r="B24" s="445" t="s">
        <v>341</v>
      </c>
      <c r="C24" s="435">
        <f>C10</f>
        <v>9689352.1799999997</v>
      </c>
      <c r="D24" s="435">
        <f>D12</f>
        <v>72192483.439999983</v>
      </c>
    </row>
    <row r="25" spans="1:6">
      <c r="A25" s="447">
        <v>17</v>
      </c>
      <c r="B25" s="445" t="s">
        <v>376</v>
      </c>
      <c r="C25" s="442">
        <f>C39</f>
        <v>-826665.19000000006</v>
      </c>
      <c r="D25" s="448" t="s">
        <v>336</v>
      </c>
    </row>
    <row r="26" spans="1:6" ht="15.75" thickBot="1">
      <c r="A26" s="447">
        <v>18</v>
      </c>
      <c r="B26" s="445" t="s">
        <v>338</v>
      </c>
      <c r="C26" s="436">
        <f>SUM(C24:C25)</f>
        <v>8862686.9900000002</v>
      </c>
      <c r="D26" s="436">
        <f>SUM(D24:D25)</f>
        <v>72192483.439999983</v>
      </c>
    </row>
    <row r="27" spans="1:6" ht="15.75" thickTop="1">
      <c r="A27" s="447">
        <v>19</v>
      </c>
    </row>
    <row r="28" spans="1:6">
      <c r="A28" s="447">
        <v>20</v>
      </c>
      <c r="B28" s="339" t="s">
        <v>340</v>
      </c>
    </row>
    <row r="29" spans="1:6">
      <c r="A29" s="447">
        <v>21</v>
      </c>
      <c r="B29" s="445" t="s">
        <v>341</v>
      </c>
      <c r="C29" s="435">
        <f>C16</f>
        <v>-2570427.2394430283</v>
      </c>
      <c r="D29" s="435">
        <f>D16</f>
        <v>-29176115.83117523</v>
      </c>
    </row>
    <row r="30" spans="1:6">
      <c r="A30" s="447">
        <v>22</v>
      </c>
      <c r="B30" s="445" t="s">
        <v>337</v>
      </c>
      <c r="C30" s="442">
        <f>-C25</f>
        <v>826665.19000000006</v>
      </c>
      <c r="D30" s="448" t="s">
        <v>336</v>
      </c>
    </row>
    <row r="31" spans="1:6" ht="15.75" thickBot="1">
      <c r="A31" s="447">
        <v>23</v>
      </c>
      <c r="B31" s="445" t="s">
        <v>338</v>
      </c>
      <c r="C31" s="436">
        <f>SUM(C29:C30)</f>
        <v>-1743762.0494430284</v>
      </c>
      <c r="D31" s="436">
        <f>SUM(D29:D30)</f>
        <v>-29176115.83117523</v>
      </c>
      <c r="F31" s="456"/>
    </row>
    <row r="32" spans="1:6" ht="15.75" thickTop="1">
      <c r="A32" s="447">
        <v>24</v>
      </c>
    </row>
    <row r="33" spans="1:7" ht="15.75" thickBot="1">
      <c r="A33" s="447">
        <v>25</v>
      </c>
      <c r="B33" s="450" t="s">
        <v>344</v>
      </c>
      <c r="C33" s="449">
        <f>(C26+C31)/5*-0.65</f>
        <v>-925460.24227240623</v>
      </c>
      <c r="D33" s="449">
        <f>(D26+D31)/5*-0.65</f>
        <v>-5592127.7891472187</v>
      </c>
    </row>
    <row r="34" spans="1:7" ht="15.75" thickTop="1">
      <c r="A34" s="447">
        <v>26</v>
      </c>
    </row>
    <row r="35" spans="1:7">
      <c r="A35" s="447">
        <v>27</v>
      </c>
    </row>
    <row r="36" spans="1:7">
      <c r="A36" s="447">
        <v>28</v>
      </c>
      <c r="B36" s="339" t="s">
        <v>345</v>
      </c>
      <c r="C36" s="435">
        <f>Electric!E8</f>
        <v>-71171.44</v>
      </c>
      <c r="D36" s="448" t="s">
        <v>336</v>
      </c>
    </row>
    <row r="37" spans="1:7">
      <c r="A37" s="447">
        <v>29</v>
      </c>
      <c r="B37" s="339" t="s">
        <v>346</v>
      </c>
      <c r="C37" s="442">
        <f>Electric!E16</f>
        <v>-662553.87</v>
      </c>
      <c r="D37" s="448" t="s">
        <v>336</v>
      </c>
    </row>
    <row r="38" spans="1:7">
      <c r="A38" s="447">
        <v>30</v>
      </c>
      <c r="B38" s="339" t="s">
        <v>347</v>
      </c>
      <c r="C38" s="442">
        <f>Electric!E24</f>
        <v>-92939.88</v>
      </c>
      <c r="D38" s="448" t="s">
        <v>336</v>
      </c>
    </row>
    <row r="39" spans="1:7" ht="15.75" thickBot="1">
      <c r="A39" s="447">
        <v>31</v>
      </c>
      <c r="B39" s="339" t="s">
        <v>348</v>
      </c>
      <c r="C39" s="436">
        <f>SUM(C36:C38)</f>
        <v>-826665.19000000006</v>
      </c>
      <c r="D39" s="436">
        <f>SUM(D36:D38)</f>
        <v>0</v>
      </c>
    </row>
    <row r="40" spans="1:7" ht="15.75" thickTop="1">
      <c r="A40" s="447">
        <v>32</v>
      </c>
    </row>
    <row r="41" spans="1:7">
      <c r="A41" s="447">
        <v>33</v>
      </c>
      <c r="B41" s="339" t="s">
        <v>355</v>
      </c>
      <c r="C41" s="435">
        <f>C18</f>
        <v>1423784.9881113942</v>
      </c>
      <c r="D41" s="435">
        <f>D18</f>
        <v>8603273.5217649508</v>
      </c>
    </row>
    <row r="42" spans="1:7">
      <c r="A42" s="447">
        <v>34</v>
      </c>
      <c r="B42" s="339" t="s">
        <v>353</v>
      </c>
      <c r="C42" s="456">
        <v>12</v>
      </c>
      <c r="D42" s="456">
        <v>12</v>
      </c>
    </row>
    <row r="43" spans="1:7">
      <c r="A43" s="447">
        <v>35</v>
      </c>
      <c r="B43" s="339" t="s">
        <v>354</v>
      </c>
      <c r="C43" s="458">
        <f>C41/C42</f>
        <v>118648.74900928285</v>
      </c>
      <c r="D43" s="458">
        <f>D41/D42</f>
        <v>716939.4601470792</v>
      </c>
    </row>
    <row r="44" spans="1:7">
      <c r="A44" s="447">
        <v>36</v>
      </c>
      <c r="B44" s="339" t="s">
        <v>350</v>
      </c>
      <c r="C44" s="457">
        <f>13/31</f>
        <v>0.41935483870967744</v>
      </c>
      <c r="D44" s="457">
        <f>13/31</f>
        <v>0.41935483870967744</v>
      </c>
    </row>
    <row r="45" spans="1:7">
      <c r="A45" s="447">
        <v>37</v>
      </c>
      <c r="B45" s="339" t="s">
        <v>351</v>
      </c>
      <c r="C45" s="460">
        <f>C43*C44</f>
        <v>49755.927003892808</v>
      </c>
      <c r="D45" s="458">
        <f>D43*D44</f>
        <v>300652.03167458164</v>
      </c>
      <c r="G45" s="459"/>
    </row>
    <row r="46" spans="1:7">
      <c r="A46" s="447">
        <v>38</v>
      </c>
      <c r="B46" s="339" t="s">
        <v>352</v>
      </c>
      <c r="C46" s="442">
        <f>-'ELEC Amort '!S7-'ELEC Amort '!S11</f>
        <v>49755.927003892808</v>
      </c>
      <c r="D46" s="442">
        <f>-'GAS Amort'!R7-'GAS Amort'!R11</f>
        <v>300652.03167458164</v>
      </c>
      <c r="G46" s="459"/>
    </row>
    <row r="47" spans="1:7" ht="15.75" thickBot="1">
      <c r="A47" s="447">
        <v>39</v>
      </c>
      <c r="B47" s="339" t="s">
        <v>356</v>
      </c>
      <c r="C47" s="436">
        <f>C45-C46</f>
        <v>0</v>
      </c>
      <c r="D47" s="436">
        <f>D45-D46</f>
        <v>0</v>
      </c>
      <c r="G47" s="459"/>
    </row>
    <row r="48" spans="1:7" ht="15.75" thickTop="1">
      <c r="G48" s="459"/>
    </row>
    <row r="49" spans="1:7">
      <c r="A49" s="447" t="s">
        <v>370</v>
      </c>
      <c r="G49" s="459"/>
    </row>
    <row r="50" spans="1:7">
      <c r="A50" s="451" t="s">
        <v>381</v>
      </c>
      <c r="G50" s="459"/>
    </row>
    <row r="51" spans="1:7">
      <c r="A51" s="451" t="s">
        <v>349</v>
      </c>
      <c r="G51" s="459"/>
    </row>
    <row r="52" spans="1:7">
      <c r="A52" s="451" t="s">
        <v>379</v>
      </c>
      <c r="G52" s="459"/>
    </row>
    <row r="53" spans="1:7">
      <c r="A53" s="451" t="s">
        <v>361</v>
      </c>
      <c r="G53" s="459"/>
    </row>
    <row r="54" spans="1:7">
      <c r="A54" s="451" t="s">
        <v>362</v>
      </c>
      <c r="G54" s="459"/>
    </row>
    <row r="55" spans="1:7">
      <c r="A55" s="451" t="s">
        <v>363</v>
      </c>
      <c r="G55" s="459"/>
    </row>
    <row r="56" spans="1:7">
      <c r="A56" s="451" t="s">
        <v>364</v>
      </c>
      <c r="G56" s="459"/>
    </row>
    <row r="57" spans="1:7">
      <c r="A57" s="451" t="s">
        <v>365</v>
      </c>
      <c r="G57" s="459"/>
    </row>
    <row r="58" spans="1:7">
      <c r="A58" s="451" t="s">
        <v>366</v>
      </c>
    </row>
    <row r="59" spans="1:7">
      <c r="A59" s="451" t="s">
        <v>367</v>
      </c>
    </row>
    <row r="60" spans="1:7">
      <c r="A60" s="451" t="s">
        <v>368</v>
      </c>
    </row>
    <row r="61" spans="1:7">
      <c r="A61" s="451"/>
    </row>
    <row r="62" spans="1:7">
      <c r="A62" s="447" t="s">
        <v>358</v>
      </c>
      <c r="B62" s="203" t="s">
        <v>357</v>
      </c>
      <c r="C62" s="435">
        <f>-C39*(1-Electric!D38)</f>
        <v>435856.95267615217</v>
      </c>
      <c r="F62" s="536"/>
    </row>
    <row r="63" spans="1:7">
      <c r="A63" s="447" t="s">
        <v>359</v>
      </c>
      <c r="B63" s="339" t="s">
        <v>345</v>
      </c>
      <c r="D63" s="435">
        <f>C36*(1-Electric!$D$38)</f>
        <v>-37524.946412674763</v>
      </c>
    </row>
    <row r="64" spans="1:7">
      <c r="A64" s="447" t="s">
        <v>359</v>
      </c>
      <c r="B64" s="339" t="s">
        <v>346</v>
      </c>
      <c r="D64" s="435">
        <f>C37*(1-Electric!$D$38)</f>
        <v>-349329.70960346283</v>
      </c>
    </row>
    <row r="65" spans="1:4">
      <c r="A65" s="447" t="s">
        <v>359</v>
      </c>
      <c r="B65" s="339" t="s">
        <v>347</v>
      </c>
      <c r="D65" s="435">
        <f>C38*(1-Electric!$D$38)</f>
        <v>-49002.296660014508</v>
      </c>
    </row>
    <row r="67" spans="1:4">
      <c r="A67" s="447" t="s">
        <v>358</v>
      </c>
      <c r="B67" s="339" t="s">
        <v>369</v>
      </c>
      <c r="C67" s="435">
        <f>C30</f>
        <v>826665.19000000006</v>
      </c>
    </row>
    <row r="68" spans="1:4">
      <c r="A68" s="447" t="s">
        <v>359</v>
      </c>
      <c r="B68" s="339" t="s">
        <v>360</v>
      </c>
      <c r="D68" s="435">
        <f>-C67</f>
        <v>-826665.19000000006</v>
      </c>
    </row>
  </sheetData>
  <printOptions horizontalCentered="1"/>
  <pageMargins left="0.7" right="0.7" top="0.75" bottom="0.75" header="0.3" footer="0.3"/>
  <pageSetup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workbookViewId="0">
      <pane xSplit="3" ySplit="2" topLeftCell="D3" activePane="bottomRight" state="frozen"/>
      <selection activeCell="D12" sqref="D12"/>
      <selection pane="topRight" activeCell="D12" sqref="D12"/>
      <selection pane="bottomLeft" activeCell="D12" sqref="D12"/>
      <selection pane="bottomRight" activeCell="G32" sqref="G32"/>
    </sheetView>
  </sheetViews>
  <sheetFormatPr defaultColWidth="9.140625" defaultRowHeight="15"/>
  <cols>
    <col min="1" max="1" width="10.7109375" style="343" customWidth="1"/>
    <col min="2" max="2" width="12" style="341" bestFit="1" customWidth="1"/>
    <col min="3" max="3" width="62.42578125" style="341" customWidth="1"/>
    <col min="4" max="4" width="16.28515625" style="342" customWidth="1"/>
    <col min="5" max="5" width="16.85546875" style="341" customWidth="1"/>
    <col min="6" max="6" width="9.140625" style="341"/>
    <col min="7" max="7" width="10" style="341" bestFit="1" customWidth="1"/>
    <col min="8" max="8" width="10.140625" style="341" customWidth="1"/>
    <col min="9" max="16384" width="9.140625" style="341"/>
  </cols>
  <sheetData>
    <row r="1" spans="1:9" ht="15.75" thickBot="1"/>
    <row r="2" spans="1:9" s="369" customFormat="1" ht="60" customHeight="1" thickBot="1">
      <c r="A2" s="3" t="s">
        <v>3</v>
      </c>
      <c r="B2" s="4" t="s">
        <v>4</v>
      </c>
      <c r="C2" s="5" t="s">
        <v>5</v>
      </c>
      <c r="D2" s="4" t="s">
        <v>296</v>
      </c>
      <c r="E2" s="370" t="s">
        <v>295</v>
      </c>
    </row>
    <row r="3" spans="1:9">
      <c r="A3" s="362"/>
      <c r="B3" s="361"/>
      <c r="C3" s="360"/>
      <c r="D3" s="358"/>
      <c r="E3" s="358"/>
    </row>
    <row r="4" spans="1:9">
      <c r="A4" s="366">
        <v>18230010</v>
      </c>
      <c r="B4" s="365" t="s">
        <v>11</v>
      </c>
      <c r="C4" s="364" t="s">
        <v>294</v>
      </c>
      <c r="D4" s="353">
        <v>5906.25</v>
      </c>
      <c r="E4" s="363"/>
    </row>
    <row r="5" spans="1:9">
      <c r="A5" s="367"/>
      <c r="B5" s="361"/>
      <c r="C5" s="360"/>
      <c r="D5" s="359"/>
      <c r="E5" s="358"/>
    </row>
    <row r="6" spans="1:9">
      <c r="A6" s="368">
        <v>18230009</v>
      </c>
      <c r="B6" s="365" t="s">
        <v>18</v>
      </c>
      <c r="C6" s="364" t="s">
        <v>293</v>
      </c>
      <c r="D6" s="353">
        <v>2147559.11</v>
      </c>
      <c r="E6" s="363"/>
    </row>
    <row r="7" spans="1:9">
      <c r="A7" s="367"/>
      <c r="B7" s="361"/>
      <c r="C7" s="360"/>
      <c r="D7" s="359"/>
      <c r="E7" s="358"/>
    </row>
    <row r="8" spans="1:9">
      <c r="A8" s="368">
        <v>18230021</v>
      </c>
      <c r="B8" s="365" t="s">
        <v>21</v>
      </c>
      <c r="C8" s="364" t="s">
        <v>292</v>
      </c>
      <c r="D8" s="353">
        <v>465045.94</v>
      </c>
      <c r="E8" s="353">
        <v>-71171.44</v>
      </c>
      <c r="G8" s="541"/>
      <c r="H8" s="541"/>
      <c r="I8" s="541"/>
    </row>
    <row r="9" spans="1:9">
      <c r="A9" s="367"/>
      <c r="B9" s="361"/>
      <c r="C9" s="360"/>
      <c r="D9" s="359"/>
      <c r="E9" s="358"/>
    </row>
    <row r="10" spans="1:9">
      <c r="A10" s="368" t="s">
        <v>26</v>
      </c>
      <c r="B10" s="365" t="s">
        <v>27</v>
      </c>
      <c r="C10" s="364" t="s">
        <v>291</v>
      </c>
      <c r="D10" s="353">
        <v>198092.16</v>
      </c>
      <c r="E10" s="363"/>
    </row>
    <row r="11" spans="1:9">
      <c r="A11" s="367"/>
      <c r="B11" s="361"/>
      <c r="C11" s="360"/>
      <c r="D11" s="359"/>
      <c r="E11" s="358"/>
    </row>
    <row r="12" spans="1:9">
      <c r="A12" s="368" t="s">
        <v>32</v>
      </c>
      <c r="B12" s="365" t="s">
        <v>33</v>
      </c>
      <c r="C12" s="364" t="s">
        <v>290</v>
      </c>
      <c r="D12" s="353">
        <v>440996.89</v>
      </c>
      <c r="E12" s="363"/>
    </row>
    <row r="13" spans="1:9">
      <c r="A13" s="367"/>
      <c r="B13" s="361"/>
      <c r="C13" s="360"/>
      <c r="D13" s="359"/>
      <c r="E13" s="358"/>
    </row>
    <row r="14" spans="1:9">
      <c r="A14" s="368" t="s">
        <v>37</v>
      </c>
      <c r="B14" s="365" t="s">
        <v>38</v>
      </c>
      <c r="C14" s="364" t="s">
        <v>289</v>
      </c>
      <c r="D14" s="353">
        <v>2254508.17</v>
      </c>
      <c r="E14" s="363"/>
    </row>
    <row r="15" spans="1:9">
      <c r="A15" s="367"/>
      <c r="B15" s="361"/>
      <c r="C15" s="360"/>
      <c r="D15" s="359"/>
      <c r="E15" s="358"/>
    </row>
    <row r="16" spans="1:9">
      <c r="A16" s="368" t="s">
        <v>42</v>
      </c>
      <c r="B16" s="365" t="s">
        <v>43</v>
      </c>
      <c r="C16" s="364" t="s">
        <v>288</v>
      </c>
      <c r="D16" s="353">
        <v>2242411.06</v>
      </c>
      <c r="E16" s="353">
        <v>-662553.87</v>
      </c>
      <c r="G16" s="541"/>
      <c r="H16" s="541"/>
    </row>
    <row r="17" spans="1:8">
      <c r="A17" s="367"/>
      <c r="B17" s="361"/>
      <c r="C17" s="360"/>
      <c r="D17" s="359"/>
      <c r="E17" s="358"/>
    </row>
    <row r="18" spans="1:8">
      <c r="A18" s="368" t="s">
        <v>48</v>
      </c>
      <c r="B18" s="365" t="s">
        <v>49</v>
      </c>
      <c r="C18" s="364" t="s">
        <v>287</v>
      </c>
      <c r="D18" s="353">
        <v>659654.59</v>
      </c>
      <c r="E18" s="363"/>
    </row>
    <row r="19" spans="1:8">
      <c r="A19" s="367"/>
      <c r="B19" s="361"/>
      <c r="C19" s="360"/>
      <c r="D19" s="359"/>
      <c r="E19" s="358"/>
    </row>
    <row r="20" spans="1:8">
      <c r="A20" s="368" t="s">
        <v>52</v>
      </c>
      <c r="B20" s="365" t="s">
        <v>53</v>
      </c>
      <c r="C20" s="364" t="s">
        <v>286</v>
      </c>
      <c r="D20" s="353">
        <v>224879.76</v>
      </c>
      <c r="E20" s="363"/>
    </row>
    <row r="21" spans="1:8">
      <c r="A21" s="367"/>
      <c r="B21" s="361"/>
      <c r="C21" s="360"/>
      <c r="D21" s="359"/>
      <c r="E21" s="358"/>
    </row>
    <row r="22" spans="1:8">
      <c r="A22" s="366">
        <v>18601130</v>
      </c>
      <c r="B22" s="365" t="s">
        <v>57</v>
      </c>
      <c r="C22" s="364" t="s">
        <v>285</v>
      </c>
      <c r="D22" s="353">
        <v>400495.47</v>
      </c>
      <c r="E22" s="363"/>
    </row>
    <row r="23" spans="1:8">
      <c r="A23" s="362"/>
      <c r="B23" s="361"/>
      <c r="C23" s="360"/>
      <c r="D23" s="359"/>
      <c r="E23" s="358"/>
    </row>
    <row r="24" spans="1:8">
      <c r="A24" s="366" t="s">
        <v>60</v>
      </c>
      <c r="B24" s="365" t="s">
        <v>61</v>
      </c>
      <c r="C24" s="364" t="s">
        <v>284</v>
      </c>
      <c r="D24" s="353">
        <v>324638.12</v>
      </c>
      <c r="E24" s="353">
        <v>-92939.88</v>
      </c>
      <c r="G24" s="541"/>
      <c r="H24" s="541"/>
    </row>
    <row r="25" spans="1:8">
      <c r="A25" s="362"/>
      <c r="B25" s="361"/>
      <c r="C25" s="360"/>
      <c r="D25" s="359"/>
      <c r="E25" s="358"/>
    </row>
    <row r="26" spans="1:8">
      <c r="A26" s="366" t="s">
        <v>67</v>
      </c>
      <c r="B26" s="365" t="s">
        <v>68</v>
      </c>
      <c r="C26" s="364" t="s">
        <v>283</v>
      </c>
      <c r="D26" s="353">
        <v>695.75</v>
      </c>
      <c r="E26" s="363"/>
    </row>
    <row r="27" spans="1:8">
      <c r="A27" s="362"/>
      <c r="B27" s="361"/>
      <c r="C27" s="360"/>
      <c r="D27" s="359"/>
      <c r="E27" s="358"/>
    </row>
    <row r="28" spans="1:8">
      <c r="A28" s="366">
        <v>18601129</v>
      </c>
      <c r="B28" s="365" t="s">
        <v>71</v>
      </c>
      <c r="C28" s="364" t="s">
        <v>282</v>
      </c>
      <c r="D28" s="353">
        <v>212588.68</v>
      </c>
      <c r="E28" s="363"/>
    </row>
    <row r="29" spans="1:8">
      <c r="A29" s="362"/>
      <c r="B29" s="361"/>
      <c r="C29" s="360"/>
      <c r="D29" s="359"/>
      <c r="E29" s="358"/>
    </row>
    <row r="30" spans="1:8">
      <c r="A30" s="366">
        <v>18601151</v>
      </c>
      <c r="B30" s="365" t="s">
        <v>74</v>
      </c>
      <c r="C30" s="364" t="s">
        <v>281</v>
      </c>
      <c r="D30" s="353">
        <v>111880.23</v>
      </c>
      <c r="E30" s="363"/>
    </row>
    <row r="31" spans="1:8">
      <c r="A31" s="362"/>
      <c r="B31" s="361"/>
      <c r="C31" s="360"/>
      <c r="D31" s="359"/>
      <c r="E31" s="358"/>
    </row>
    <row r="32" spans="1:8" ht="15.75" thickBot="1">
      <c r="A32" s="357"/>
      <c r="B32" s="356" t="s">
        <v>84</v>
      </c>
      <c r="C32" s="355" t="s">
        <v>85</v>
      </c>
      <c r="D32" s="354">
        <v>0</v>
      </c>
      <c r="E32" s="353">
        <v>-4610484.08</v>
      </c>
    </row>
    <row r="33" spans="3:7">
      <c r="F33" s="352"/>
      <c r="G33" s="352"/>
    </row>
    <row r="34" spans="3:7">
      <c r="C34" s="351" t="s">
        <v>280</v>
      </c>
      <c r="D34" s="543">
        <f>SUM(D4:D32)</f>
        <v>9689352.1799999997</v>
      </c>
      <c r="E34" s="543">
        <f>SUM(E4:E32)</f>
        <v>-5437149.2700000005</v>
      </c>
    </row>
    <row r="35" spans="3:7" ht="17.25">
      <c r="C35" s="350" t="s">
        <v>279</v>
      </c>
      <c r="D35" s="537">
        <f>'Future Costs Totals'!H6</f>
        <v>10806250</v>
      </c>
      <c r="E35" s="348"/>
    </row>
    <row r="36" spans="3:7">
      <c r="C36" s="347" t="s">
        <v>278</v>
      </c>
      <c r="D36" s="346">
        <f>SUM(D34:D35)</f>
        <v>20495602.18</v>
      </c>
    </row>
    <row r="38" spans="3:7">
      <c r="C38" s="345" t="s">
        <v>277</v>
      </c>
      <c r="D38" s="344">
        <f>D34/D36</f>
        <v>0.47275274446217808</v>
      </c>
    </row>
    <row r="39" spans="3:7" ht="15.75" thickBot="1">
      <c r="D39" s="539"/>
    </row>
    <row r="40" spans="3:7" ht="15.75" thickBot="1">
      <c r="D40" s="540">
        <f>E34*D38</f>
        <v>-2570427.2394430283</v>
      </c>
    </row>
    <row r="41" spans="3:7">
      <c r="D41" s="466"/>
    </row>
    <row r="43" spans="3:7">
      <c r="E43" s="544"/>
    </row>
    <row r="45" spans="3:7">
      <c r="D45" s="539"/>
    </row>
  </sheetData>
  <pageMargins left="0.7" right="0.7" top="0.75" bottom="0.75" header="0.3" footer="0.3"/>
  <pageSetup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workbookViewId="0">
      <pane ySplit="2" topLeftCell="A3" activePane="bottomLeft" state="frozen"/>
      <selection activeCell="B35" sqref="B35"/>
      <selection pane="bottomLeft" activeCell="E56" sqref="E56"/>
    </sheetView>
  </sheetViews>
  <sheetFormatPr defaultRowHeight="15"/>
  <cols>
    <col min="1" max="1" width="10.7109375" style="1" customWidth="1"/>
    <col min="2" max="2" width="12" bestFit="1" customWidth="1"/>
    <col min="3" max="3" width="62.42578125" customWidth="1"/>
    <col min="4" max="4" width="19.28515625" style="371" customWidth="1"/>
    <col min="5" max="5" width="24.7109375" customWidth="1"/>
    <col min="6" max="6" width="1.7109375" customWidth="1"/>
    <col min="7" max="7" width="38.28515625" bestFit="1" customWidth="1"/>
  </cols>
  <sheetData>
    <row r="1" spans="1:7" ht="15.75" thickBot="1">
      <c r="A1" s="558"/>
      <c r="B1" s="558"/>
      <c r="C1" s="558"/>
      <c r="D1" s="558"/>
      <c r="E1" s="558"/>
    </row>
    <row r="2" spans="1:7" s="8" customFormat="1" ht="45.75" thickBot="1">
      <c r="A2" s="3" t="s">
        <v>3</v>
      </c>
      <c r="B2" s="4" t="s">
        <v>4</v>
      </c>
      <c r="C2" s="5" t="s">
        <v>5</v>
      </c>
      <c r="D2" s="4" t="s">
        <v>296</v>
      </c>
      <c r="E2" s="370" t="s">
        <v>295</v>
      </c>
      <c r="F2"/>
      <c r="G2"/>
    </row>
    <row r="3" spans="1:7">
      <c r="A3" s="403"/>
      <c r="B3" s="402"/>
      <c r="C3" s="66"/>
      <c r="D3" s="387"/>
      <c r="E3" s="387"/>
    </row>
    <row r="4" spans="1:7">
      <c r="A4" s="398">
        <v>18606102</v>
      </c>
      <c r="B4" s="396">
        <v>18608612</v>
      </c>
      <c r="C4" s="405" t="s">
        <v>325</v>
      </c>
      <c r="D4" s="353">
        <v>785957.33</v>
      </c>
      <c r="E4" s="395"/>
    </row>
    <row r="5" spans="1:7">
      <c r="A5" s="403"/>
      <c r="B5" s="402"/>
      <c r="C5" s="407"/>
      <c r="D5" s="387"/>
      <c r="E5" s="387"/>
    </row>
    <row r="6" spans="1:7">
      <c r="A6" s="401">
        <v>18607102</v>
      </c>
      <c r="B6" s="204">
        <v>18608712</v>
      </c>
      <c r="C6" s="195" t="s">
        <v>324</v>
      </c>
      <c r="D6" s="406">
        <v>5361208.37</v>
      </c>
      <c r="E6" s="387"/>
    </row>
    <row r="7" spans="1:7">
      <c r="A7" s="401"/>
      <c r="B7" s="204">
        <v>18608772</v>
      </c>
      <c r="C7" s="195" t="s">
        <v>323</v>
      </c>
      <c r="D7" s="359">
        <v>-3488999.0999999996</v>
      </c>
      <c r="E7" s="359"/>
    </row>
    <row r="8" spans="1:7">
      <c r="A8" s="398">
        <v>18607103</v>
      </c>
      <c r="B8" s="396">
        <v>18608722</v>
      </c>
      <c r="C8" s="405" t="s">
        <v>97</v>
      </c>
      <c r="D8" s="353">
        <v>8781.25</v>
      </c>
      <c r="E8" s="395"/>
    </row>
    <row r="9" spans="1:7">
      <c r="A9" s="408"/>
      <c r="B9" s="393"/>
      <c r="C9" s="407"/>
      <c r="D9" s="387"/>
      <c r="E9" s="387"/>
    </row>
    <row r="10" spans="1:7">
      <c r="A10" s="401">
        <v>18602102</v>
      </c>
      <c r="B10" s="204">
        <v>18608212</v>
      </c>
      <c r="C10" s="195" t="s">
        <v>322</v>
      </c>
      <c r="D10" s="406">
        <v>1470852.25</v>
      </c>
      <c r="E10" s="406"/>
    </row>
    <row r="11" spans="1:7">
      <c r="A11" s="398"/>
      <c r="B11" s="396">
        <v>18608782</v>
      </c>
      <c r="C11" s="405" t="s">
        <v>321</v>
      </c>
      <c r="D11" s="404">
        <v>-801550.75</v>
      </c>
      <c r="E11" s="404"/>
    </row>
    <row r="12" spans="1:7">
      <c r="A12" s="408"/>
      <c r="B12" s="393"/>
      <c r="C12" s="407"/>
      <c r="D12" s="387"/>
      <c r="E12" s="387"/>
    </row>
    <row r="13" spans="1:7">
      <c r="A13" s="398">
        <v>18603102</v>
      </c>
      <c r="B13" s="396">
        <v>18608312</v>
      </c>
      <c r="C13" s="405" t="s">
        <v>320</v>
      </c>
      <c r="D13" s="353">
        <v>3961262</v>
      </c>
      <c r="E13" s="395"/>
    </row>
    <row r="14" spans="1:7">
      <c r="A14" s="403"/>
      <c r="B14" s="402"/>
      <c r="C14" s="66"/>
      <c r="D14" s="387"/>
      <c r="E14" s="387"/>
    </row>
    <row r="15" spans="1:7">
      <c r="A15" s="401">
        <v>18606302</v>
      </c>
      <c r="B15" s="204">
        <v>18609432</v>
      </c>
      <c r="C15" s="66" t="s">
        <v>319</v>
      </c>
      <c r="D15" s="406">
        <v>6872373.6200000001</v>
      </c>
      <c r="E15" s="387"/>
    </row>
    <row r="16" spans="1:7">
      <c r="A16" s="401">
        <v>18604102</v>
      </c>
      <c r="B16" s="204">
        <v>18608412</v>
      </c>
      <c r="C16" s="66" t="s">
        <v>318</v>
      </c>
      <c r="D16" s="406">
        <v>2651381.7400000002</v>
      </c>
      <c r="E16" s="387"/>
    </row>
    <row r="17" spans="1:5">
      <c r="A17" s="398">
        <v>18614102</v>
      </c>
      <c r="B17" s="396">
        <v>18609312</v>
      </c>
      <c r="C17" s="405" t="s">
        <v>317</v>
      </c>
      <c r="D17" s="404">
        <v>12405154.710000001</v>
      </c>
      <c r="E17" s="395"/>
    </row>
    <row r="18" spans="1:5">
      <c r="A18" s="408"/>
      <c r="B18" s="393"/>
      <c r="C18" s="407"/>
      <c r="D18" s="387"/>
      <c r="E18" s="387"/>
    </row>
    <row r="19" spans="1:5">
      <c r="A19" s="398">
        <v>18612102</v>
      </c>
      <c r="B19" s="396">
        <v>18609512</v>
      </c>
      <c r="C19" s="405" t="s">
        <v>316</v>
      </c>
      <c r="D19" s="404">
        <v>227819.36</v>
      </c>
      <c r="E19" s="395"/>
    </row>
    <row r="20" spans="1:5">
      <c r="A20" s="403"/>
      <c r="B20" s="402"/>
      <c r="C20" s="66"/>
      <c r="D20" s="387"/>
      <c r="E20" s="387"/>
    </row>
    <row r="21" spans="1:5">
      <c r="A21" s="401">
        <v>18601102</v>
      </c>
      <c r="B21" s="204">
        <v>18608112</v>
      </c>
      <c r="C21" s="66" t="s">
        <v>315</v>
      </c>
      <c r="D21" s="359">
        <v>4147808.85</v>
      </c>
      <c r="E21" s="387"/>
    </row>
    <row r="22" spans="1:5">
      <c r="A22" s="398">
        <v>18601102</v>
      </c>
      <c r="B22" s="396">
        <v>18608112</v>
      </c>
      <c r="C22" s="405" t="s">
        <v>314</v>
      </c>
      <c r="D22" s="410">
        <v>34881722.379999995</v>
      </c>
      <c r="E22" s="395"/>
    </row>
    <row r="23" spans="1:5">
      <c r="A23" s="403"/>
      <c r="B23" s="402"/>
      <c r="C23" s="66"/>
      <c r="D23" s="387"/>
      <c r="E23" s="387"/>
    </row>
    <row r="24" spans="1:5">
      <c r="A24" s="398">
        <v>18603202</v>
      </c>
      <c r="B24" s="396">
        <v>18609532</v>
      </c>
      <c r="C24" s="380" t="s">
        <v>313</v>
      </c>
      <c r="D24" s="410">
        <v>436858.74</v>
      </c>
      <c r="E24" s="395"/>
    </row>
    <row r="25" spans="1:5">
      <c r="A25" s="403"/>
      <c r="B25" s="402"/>
      <c r="C25" s="66"/>
      <c r="D25" s="387"/>
      <c r="E25" s="387"/>
    </row>
    <row r="26" spans="1:5">
      <c r="A26" s="401">
        <v>18614402</v>
      </c>
      <c r="B26" s="204">
        <v>18609542</v>
      </c>
      <c r="C26" s="66" t="s">
        <v>312</v>
      </c>
      <c r="D26" s="406">
        <v>1263973.54</v>
      </c>
      <c r="E26" s="406"/>
    </row>
    <row r="27" spans="1:5">
      <c r="A27" s="398"/>
      <c r="B27" s="396">
        <v>18608792</v>
      </c>
      <c r="C27" s="405" t="s">
        <v>311</v>
      </c>
      <c r="D27" s="409">
        <v>-160310.15</v>
      </c>
      <c r="E27" s="404"/>
    </row>
    <row r="28" spans="1:5">
      <c r="A28" s="408"/>
      <c r="B28" s="393"/>
      <c r="C28" s="407"/>
      <c r="D28" s="387"/>
      <c r="E28" s="387"/>
    </row>
    <row r="29" spans="1:5">
      <c r="A29" s="401">
        <v>18608302</v>
      </c>
      <c r="B29" s="204">
        <v>18608752</v>
      </c>
      <c r="C29" s="195" t="s">
        <v>310</v>
      </c>
      <c r="D29" s="406">
        <v>2050122.67</v>
      </c>
      <c r="E29" s="406"/>
    </row>
    <row r="30" spans="1:5">
      <c r="A30" s="398">
        <v>18608304</v>
      </c>
      <c r="B30" s="396">
        <v>18608752</v>
      </c>
      <c r="C30" s="405" t="s">
        <v>309</v>
      </c>
      <c r="D30" s="404">
        <v>-1114592.67</v>
      </c>
      <c r="E30" s="404"/>
    </row>
    <row r="31" spans="1:5">
      <c r="A31" s="403"/>
      <c r="B31" s="402"/>
      <c r="C31" s="66"/>
      <c r="D31" s="387"/>
      <c r="E31" s="387"/>
    </row>
    <row r="32" spans="1:5">
      <c r="A32" s="398">
        <v>18607104</v>
      </c>
      <c r="B32" s="396">
        <v>18608002</v>
      </c>
      <c r="C32" s="380" t="s">
        <v>308</v>
      </c>
      <c r="D32" s="353">
        <v>518202.47</v>
      </c>
      <c r="E32" s="395"/>
    </row>
    <row r="33" spans="1:5">
      <c r="A33" s="403"/>
      <c r="B33" s="402"/>
      <c r="C33" s="66"/>
      <c r="D33" s="387"/>
      <c r="E33" s="387"/>
    </row>
    <row r="34" spans="1:5">
      <c r="A34" s="401"/>
      <c r="B34" s="204"/>
      <c r="C34" s="400" t="s">
        <v>307</v>
      </c>
      <c r="D34" s="387"/>
      <c r="E34" s="387"/>
    </row>
    <row r="35" spans="1:5">
      <c r="A35" s="398">
        <v>18230212</v>
      </c>
      <c r="B35" s="396">
        <v>18237112</v>
      </c>
      <c r="C35" s="380" t="s">
        <v>306</v>
      </c>
      <c r="D35" s="353">
        <v>289121.19</v>
      </c>
      <c r="E35" s="395"/>
    </row>
    <row r="36" spans="1:5">
      <c r="A36" s="398"/>
      <c r="B36" s="396">
        <v>18237122</v>
      </c>
      <c r="C36" s="399" t="s">
        <v>305</v>
      </c>
      <c r="D36" s="353">
        <v>169602.13</v>
      </c>
      <c r="E36" s="395"/>
    </row>
    <row r="37" spans="1:5">
      <c r="A37" s="398"/>
      <c r="B37" s="396">
        <v>18237132</v>
      </c>
      <c r="C37" s="380" t="s">
        <v>304</v>
      </c>
      <c r="D37" s="353">
        <v>133750.43</v>
      </c>
      <c r="E37" s="395"/>
    </row>
    <row r="38" spans="1:5">
      <c r="A38" s="398"/>
      <c r="B38" s="396">
        <v>18237142</v>
      </c>
      <c r="C38" s="380" t="s">
        <v>303</v>
      </c>
      <c r="D38" s="353">
        <v>53995.63</v>
      </c>
      <c r="E38" s="395"/>
    </row>
    <row r="39" spans="1:5">
      <c r="A39" s="398"/>
      <c r="B39" s="396">
        <v>18237152</v>
      </c>
      <c r="C39" s="380" t="s">
        <v>302</v>
      </c>
      <c r="D39" s="353">
        <v>67987.45</v>
      </c>
      <c r="E39" s="395"/>
    </row>
    <row r="40" spans="1:5">
      <c r="A40" s="394"/>
      <c r="B40" s="393"/>
      <c r="C40" s="392"/>
      <c r="D40" s="387"/>
      <c r="E40" s="387"/>
    </row>
    <row r="41" spans="1:5">
      <c r="A41" s="397"/>
      <c r="B41" s="396">
        <v>18608062</v>
      </c>
      <c r="C41" s="380" t="s">
        <v>301</v>
      </c>
      <c r="D41" s="395"/>
      <c r="E41" s="353">
        <v>-50267724.640000001</v>
      </c>
    </row>
    <row r="42" spans="1:5">
      <c r="A42" s="394"/>
      <c r="B42" s="393"/>
      <c r="C42" s="392"/>
      <c r="D42" s="391"/>
      <c r="E42" s="390"/>
    </row>
    <row r="43" spans="1:5">
      <c r="A43" s="389"/>
      <c r="B43" s="66"/>
      <c r="C43" s="388" t="s">
        <v>300</v>
      </c>
      <c r="D43" s="387"/>
      <c r="E43" s="386"/>
    </row>
    <row r="44" spans="1:5">
      <c r="A44" s="385"/>
      <c r="B44" s="35"/>
      <c r="C44" s="66" t="s">
        <v>299</v>
      </c>
      <c r="D44" s="384"/>
      <c r="E44" s="383">
        <v>-209796.52</v>
      </c>
    </row>
    <row r="45" spans="1:5">
      <c r="A45" s="382"/>
      <c r="B45" s="381"/>
      <c r="C45" s="380" t="s">
        <v>298</v>
      </c>
      <c r="D45" s="379"/>
      <c r="E45" s="378">
        <v>-366.95</v>
      </c>
    </row>
    <row r="46" spans="1:5">
      <c r="C46" s="377"/>
    </row>
    <row r="47" spans="1:5" ht="15.75" thickBot="1">
      <c r="C47" s="376" t="s">
        <v>297</v>
      </c>
      <c r="D47" s="375">
        <f>SUM(D3:D46)</f>
        <v>72192483.439999983</v>
      </c>
      <c r="E47" s="375">
        <f>SUM(E3:E46)</f>
        <v>-50477888.110000007</v>
      </c>
    </row>
    <row r="48" spans="1:5" ht="15.75" thickTop="1">
      <c r="C48" s="350" t="s">
        <v>279</v>
      </c>
      <c r="D48" s="349">
        <f>'Future Costs Totals'!H5</f>
        <v>52708450</v>
      </c>
      <c r="E48" s="374"/>
    </row>
    <row r="49" spans="1:5">
      <c r="A49" s="373"/>
      <c r="C49" s="347" t="s">
        <v>278</v>
      </c>
      <c r="D49" s="346">
        <f>SUM(D47:D48)</f>
        <v>124900933.43999998</v>
      </c>
    </row>
    <row r="50" spans="1:5">
      <c r="A50" s="373"/>
      <c r="C50" s="341"/>
      <c r="D50" s="342"/>
    </row>
    <row r="51" spans="1:5">
      <c r="A51" s="372"/>
      <c r="C51" s="345" t="s">
        <v>277</v>
      </c>
      <c r="D51" s="344">
        <f>D47/D49</f>
        <v>0.57799794966848561</v>
      </c>
    </row>
    <row r="52" spans="1:5" ht="15.75" thickBot="1"/>
    <row r="53" spans="1:5" ht="15.75" thickBot="1">
      <c r="D53" s="542">
        <f>E47*D51</f>
        <v>-29176115.83117523</v>
      </c>
    </row>
    <row r="56" spans="1:5">
      <c r="E56" s="62"/>
    </row>
  </sheetData>
  <mergeCells count="1">
    <mergeCell ref="A1:E1"/>
  </mergeCells>
  <pageMargins left="0.7" right="0.7" top="0.75" bottom="0.75" header="0.3" footer="0.3"/>
  <pageSetup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
  <sheetViews>
    <sheetView workbookViewId="0">
      <selection activeCell="F21" sqref="F21"/>
    </sheetView>
  </sheetViews>
  <sheetFormatPr defaultColWidth="10.140625" defaultRowHeight="15"/>
  <cols>
    <col min="1" max="1" width="4.28515625" style="412" customWidth="1"/>
    <col min="2" max="2" width="4.140625" style="411" customWidth="1"/>
    <col min="3" max="3" width="23.42578125" style="411" customWidth="1"/>
    <col min="4" max="4" width="4.140625" style="411" customWidth="1"/>
    <col min="5" max="5" width="13.42578125" style="411" customWidth="1"/>
    <col min="6" max="6" width="22.140625" style="411" bestFit="1" customWidth="1"/>
    <col min="7" max="7" width="16.5703125" style="411" bestFit="1" customWidth="1"/>
    <col min="8" max="8" width="21.85546875" style="411" bestFit="1" customWidth="1"/>
    <col min="9" max="9" width="16.5703125" style="411" customWidth="1"/>
    <col min="10" max="16384" width="10.140625" style="411"/>
  </cols>
  <sheetData>
    <row r="1" spans="1:10" ht="34.5" customHeight="1">
      <c r="A1" s="559" t="s">
        <v>335</v>
      </c>
      <c r="B1" s="559"/>
      <c r="C1" s="559"/>
      <c r="D1" s="559"/>
      <c r="E1" s="559"/>
      <c r="F1" s="559"/>
      <c r="G1" s="559"/>
      <c r="H1" s="434"/>
    </row>
    <row r="2" spans="1:10" s="412" customFormat="1">
      <c r="A2" s="429"/>
      <c r="B2" s="418"/>
      <c r="C2" s="433"/>
      <c r="D2" s="418"/>
      <c r="E2" s="417"/>
      <c r="F2" s="417"/>
      <c r="G2" s="417"/>
    </row>
    <row r="3" spans="1:10" s="412" customFormat="1" ht="31.9" customHeight="1">
      <c r="A3" s="429"/>
      <c r="B3" s="418"/>
      <c r="E3" s="416"/>
      <c r="F3" s="432" t="s">
        <v>334</v>
      </c>
      <c r="G3" s="432" t="s">
        <v>333</v>
      </c>
      <c r="H3" s="432" t="s">
        <v>332</v>
      </c>
      <c r="I3" s="431"/>
    </row>
    <row r="4" spans="1:10" s="412" customFormat="1" ht="21.6" customHeight="1">
      <c r="A4" s="429"/>
      <c r="B4" s="418"/>
      <c r="E4" s="416"/>
      <c r="F4" s="430" t="s">
        <v>331</v>
      </c>
      <c r="G4" s="430" t="s">
        <v>330</v>
      </c>
      <c r="H4" s="430" t="s">
        <v>329</v>
      </c>
      <c r="I4" s="416"/>
      <c r="J4" s="416"/>
    </row>
    <row r="5" spans="1:10" s="412" customFormat="1" ht="16.899999999999999" customHeight="1">
      <c r="A5" s="429"/>
      <c r="B5" s="418"/>
      <c r="C5" s="419" t="s">
        <v>328</v>
      </c>
      <c r="D5" s="418"/>
      <c r="E5" s="417"/>
      <c r="F5" s="423">
        <v>38018200</v>
      </c>
      <c r="G5" s="423">
        <v>67398700</v>
      </c>
      <c r="H5" s="425">
        <f>AVERAGE(F5:G5)</f>
        <v>52708450</v>
      </c>
      <c r="I5" s="424"/>
      <c r="J5" s="427"/>
    </row>
    <row r="6" spans="1:10" s="416" customFormat="1" ht="16.149999999999999" customHeight="1">
      <c r="A6" s="419"/>
      <c r="B6" s="418"/>
      <c r="C6" s="419" t="s">
        <v>327</v>
      </c>
      <c r="D6" s="418"/>
      <c r="E6" s="426"/>
      <c r="F6" s="420">
        <v>4876000</v>
      </c>
      <c r="G6" s="420">
        <v>16736500</v>
      </c>
      <c r="H6" s="428">
        <f>AVERAGE(F6:G6)</f>
        <v>10806250</v>
      </c>
      <c r="I6" s="424"/>
      <c r="J6" s="427"/>
    </row>
    <row r="7" spans="1:10" s="416" customFormat="1">
      <c r="A7" s="419"/>
      <c r="B7" s="418"/>
      <c r="C7" s="418" t="s">
        <v>326</v>
      </c>
      <c r="D7" s="419"/>
      <c r="E7" s="426"/>
      <c r="F7" s="423">
        <f>SUM(F5:F6)</f>
        <v>42894200</v>
      </c>
      <c r="G7" s="423">
        <f>SUM(G5:G6)</f>
        <v>84135200</v>
      </c>
      <c r="H7" s="425">
        <f>SUM(H5:H6)</f>
        <v>63514700</v>
      </c>
      <c r="I7" s="424"/>
    </row>
    <row r="8" spans="1:10" s="416" customFormat="1">
      <c r="A8" s="419"/>
      <c r="B8" s="418"/>
      <c r="C8"/>
      <c r="D8"/>
      <c r="E8"/>
      <c r="F8" s="2"/>
      <c r="G8" s="423"/>
      <c r="H8" s="423"/>
    </row>
    <row r="9" spans="1:10" s="416" customFormat="1">
      <c r="A9" s="419"/>
      <c r="B9" s="418"/>
      <c r="C9"/>
      <c r="D9"/>
      <c r="E9"/>
      <c r="F9" s="2"/>
      <c r="G9" s="423"/>
      <c r="H9" s="423"/>
    </row>
    <row r="10" spans="1:10" s="416" customFormat="1">
      <c r="A10" s="419"/>
      <c r="B10" s="418"/>
      <c r="C10" s="418"/>
      <c r="D10" s="418"/>
      <c r="E10" s="422"/>
      <c r="F10" s="421"/>
      <c r="G10" s="421"/>
      <c r="H10" s="420"/>
    </row>
    <row r="11" spans="1:10" s="415" customFormat="1">
      <c r="A11" s="419"/>
      <c r="B11" s="418"/>
      <c r="C11"/>
      <c r="D11"/>
      <c r="E11"/>
      <c r="F11"/>
      <c r="G11"/>
    </row>
    <row r="12" spans="1:10" s="415" customFormat="1">
      <c r="A12" s="419"/>
      <c r="B12" s="418"/>
      <c r="C12"/>
      <c r="D12"/>
      <c r="E12"/>
      <c r="F12"/>
      <c r="G12"/>
    </row>
    <row r="13" spans="1:10" s="415" customFormat="1">
      <c r="A13" s="419"/>
      <c r="B13" s="418"/>
      <c r="C13"/>
      <c r="D13"/>
      <c r="E13"/>
      <c r="F13"/>
      <c r="G13"/>
    </row>
    <row r="14" spans="1:10" s="415" customFormat="1">
      <c r="A14" s="419"/>
      <c r="B14" s="418"/>
      <c r="C14" s="418"/>
      <c r="D14" s="418"/>
      <c r="E14" s="417"/>
      <c r="F14" s="417"/>
      <c r="G14" s="417"/>
    </row>
    <row r="15" spans="1:10" s="415" customFormat="1">
      <c r="A15" s="419"/>
      <c r="B15" s="418"/>
      <c r="C15" s="418"/>
      <c r="D15" s="418"/>
      <c r="E15" s="417"/>
      <c r="F15" s="417"/>
      <c r="G15" s="417"/>
    </row>
    <row r="16" spans="1:10" s="415" customFormat="1">
      <c r="A16" s="419"/>
      <c r="B16" s="418"/>
      <c r="C16" s="418"/>
      <c r="D16" s="418"/>
      <c r="E16" s="417"/>
      <c r="F16" s="417"/>
      <c r="G16" s="417"/>
    </row>
    <row r="17" spans="1:7" s="415" customFormat="1">
      <c r="A17" s="419"/>
      <c r="B17" s="418"/>
      <c r="C17" s="418"/>
      <c r="D17" s="418"/>
      <c r="E17" s="417"/>
      <c r="F17" s="417"/>
      <c r="G17" s="417"/>
    </row>
    <row r="18" spans="1:7" s="415" customFormat="1">
      <c r="A18" s="419"/>
      <c r="B18" s="418"/>
      <c r="C18" s="418"/>
      <c r="D18" s="418"/>
      <c r="E18" s="417"/>
      <c r="F18" s="417"/>
      <c r="G18" s="417"/>
    </row>
    <row r="19" spans="1:7" s="415" customFormat="1">
      <c r="A19" s="416"/>
      <c r="E19" s="414"/>
      <c r="F19" s="414"/>
      <c r="G19" s="414"/>
    </row>
    <row r="20" spans="1:7" s="415" customFormat="1">
      <c r="A20" s="416"/>
      <c r="E20" s="414"/>
      <c r="F20" s="414"/>
      <c r="G20" s="414"/>
    </row>
    <row r="21" spans="1:7" s="416" customFormat="1">
      <c r="B21" s="415"/>
      <c r="C21" s="415"/>
      <c r="D21" s="415"/>
      <c r="E21" s="414"/>
      <c r="F21" s="414"/>
      <c r="G21" s="414"/>
    </row>
    <row r="22" spans="1:7" s="416" customFormat="1">
      <c r="B22" s="415"/>
      <c r="C22" s="415"/>
      <c r="D22" s="415"/>
      <c r="E22" s="414"/>
      <c r="F22" s="414"/>
      <c r="G22" s="414"/>
    </row>
    <row r="23" spans="1:7" s="416" customFormat="1">
      <c r="B23" s="415"/>
      <c r="C23" s="415"/>
      <c r="D23" s="415"/>
      <c r="E23" s="414"/>
      <c r="F23" s="414"/>
      <c r="G23" s="414"/>
    </row>
    <row r="24" spans="1:7" s="416" customFormat="1">
      <c r="B24" s="415"/>
      <c r="C24" s="415"/>
      <c r="D24" s="415"/>
      <c r="E24" s="414"/>
      <c r="F24" s="414"/>
      <c r="G24" s="414"/>
    </row>
    <row r="25" spans="1:7" s="416" customFormat="1">
      <c r="B25" s="415"/>
      <c r="C25" s="415"/>
      <c r="D25" s="415"/>
      <c r="E25" s="414"/>
      <c r="F25" s="414"/>
      <c r="G25" s="414"/>
    </row>
    <row r="26" spans="1:7" s="416" customFormat="1">
      <c r="B26" s="415"/>
      <c r="C26" s="415"/>
      <c r="D26" s="415"/>
      <c r="E26" s="414"/>
      <c r="F26" s="414"/>
      <c r="G26" s="414"/>
    </row>
    <row r="27" spans="1:7" s="416" customFormat="1">
      <c r="B27" s="415"/>
      <c r="C27" s="415"/>
      <c r="D27" s="415"/>
      <c r="E27" s="414"/>
      <c r="F27" s="414"/>
      <c r="G27" s="414"/>
    </row>
    <row r="28" spans="1:7" s="416" customFormat="1">
      <c r="B28" s="415"/>
      <c r="C28" s="415"/>
      <c r="D28" s="415"/>
      <c r="E28" s="414"/>
      <c r="F28" s="414"/>
      <c r="G28" s="414"/>
    </row>
    <row r="29" spans="1:7" s="416" customFormat="1">
      <c r="B29" s="415"/>
      <c r="C29" s="415"/>
      <c r="D29" s="415"/>
      <c r="E29" s="414"/>
      <c r="F29" s="414"/>
      <c r="G29" s="414"/>
    </row>
    <row r="30" spans="1:7" s="416" customFormat="1">
      <c r="B30" s="415"/>
      <c r="C30" s="415"/>
      <c r="D30" s="415"/>
      <c r="E30" s="414"/>
      <c r="F30" s="414"/>
      <c r="G30" s="414"/>
    </row>
    <row r="31" spans="1:7" s="416" customFormat="1">
      <c r="B31" s="415"/>
      <c r="C31" s="415"/>
      <c r="D31" s="415"/>
      <c r="E31" s="414"/>
      <c r="F31" s="414"/>
      <c r="G31" s="414"/>
    </row>
    <row r="32" spans="1:7" s="416" customFormat="1">
      <c r="B32" s="415"/>
      <c r="C32" s="415"/>
      <c r="D32" s="415"/>
      <c r="E32" s="414"/>
      <c r="F32" s="414"/>
      <c r="G32" s="414"/>
    </row>
    <row r="33" spans="2:7" s="416" customFormat="1">
      <c r="B33" s="415"/>
      <c r="C33" s="415"/>
      <c r="D33" s="415"/>
      <c r="E33" s="414"/>
      <c r="F33" s="414"/>
      <c r="G33" s="414"/>
    </row>
    <row r="34" spans="2:7" s="416" customFormat="1">
      <c r="B34" s="415"/>
      <c r="C34" s="415"/>
      <c r="D34" s="415"/>
      <c r="E34" s="414"/>
      <c r="F34" s="414"/>
      <c r="G34" s="414"/>
    </row>
    <row r="35" spans="2:7" s="416" customFormat="1">
      <c r="B35" s="415"/>
      <c r="C35" s="415"/>
      <c r="D35" s="415"/>
      <c r="E35" s="414"/>
      <c r="F35" s="414"/>
      <c r="G35" s="414"/>
    </row>
    <row r="36" spans="2:7" s="416" customFormat="1">
      <c r="B36" s="415"/>
      <c r="C36" s="415"/>
      <c r="D36" s="415"/>
      <c r="E36" s="414"/>
      <c r="F36" s="414"/>
      <c r="G36" s="414"/>
    </row>
    <row r="37" spans="2:7" s="416" customFormat="1">
      <c r="B37" s="415"/>
      <c r="C37" s="415"/>
      <c r="D37" s="415"/>
      <c r="E37" s="414"/>
      <c r="F37" s="414"/>
      <c r="G37" s="414"/>
    </row>
    <row r="38" spans="2:7" s="416" customFormat="1">
      <c r="B38" s="415"/>
      <c r="C38" s="415"/>
      <c r="D38" s="415"/>
      <c r="E38" s="414"/>
      <c r="F38" s="414"/>
      <c r="G38" s="414"/>
    </row>
    <row r="39" spans="2:7" s="416" customFormat="1">
      <c r="B39" s="415"/>
      <c r="C39" s="415"/>
      <c r="D39" s="415"/>
      <c r="E39" s="414"/>
      <c r="F39" s="414"/>
      <c r="G39" s="414"/>
    </row>
    <row r="40" spans="2:7" s="416" customFormat="1">
      <c r="B40" s="415"/>
      <c r="C40" s="415"/>
      <c r="D40" s="415"/>
      <c r="E40" s="414"/>
      <c r="F40" s="414"/>
      <c r="G40" s="414"/>
    </row>
    <row r="41" spans="2:7" s="416" customFormat="1">
      <c r="B41" s="415"/>
      <c r="C41" s="415"/>
      <c r="D41" s="415"/>
      <c r="E41" s="414"/>
      <c r="F41" s="414"/>
      <c r="G41" s="414"/>
    </row>
    <row r="42" spans="2:7" s="416" customFormat="1">
      <c r="B42" s="415"/>
      <c r="C42" s="415"/>
      <c r="D42" s="415"/>
      <c r="E42" s="414"/>
      <c r="F42" s="414"/>
      <c r="G42" s="414"/>
    </row>
    <row r="43" spans="2:7" s="416" customFormat="1">
      <c r="B43" s="415"/>
      <c r="C43" s="415"/>
      <c r="D43" s="415"/>
      <c r="E43" s="414"/>
      <c r="F43" s="414"/>
      <c r="G43" s="414"/>
    </row>
    <row r="44" spans="2:7" s="416" customFormat="1">
      <c r="B44" s="415"/>
      <c r="C44" s="415"/>
      <c r="D44" s="415"/>
      <c r="E44" s="414"/>
      <c r="F44" s="414"/>
      <c r="G44" s="414"/>
    </row>
    <row r="45" spans="2:7" s="416" customFormat="1">
      <c r="B45" s="415"/>
      <c r="C45" s="415"/>
      <c r="D45" s="415"/>
      <c r="E45" s="414"/>
      <c r="F45" s="414"/>
      <c r="G45" s="414"/>
    </row>
    <row r="46" spans="2:7" s="416" customFormat="1">
      <c r="B46" s="415"/>
      <c r="C46" s="415"/>
      <c r="D46" s="415"/>
      <c r="E46" s="414"/>
      <c r="F46" s="414"/>
      <c r="G46" s="414"/>
    </row>
    <row r="47" spans="2:7" s="416" customFormat="1">
      <c r="B47" s="415"/>
      <c r="C47" s="415"/>
      <c r="D47" s="415"/>
      <c r="E47" s="414"/>
      <c r="F47" s="414"/>
      <c r="G47" s="414"/>
    </row>
    <row r="48" spans="2:7" s="416" customFormat="1">
      <c r="B48" s="415"/>
      <c r="C48" s="415"/>
      <c r="D48" s="415"/>
      <c r="E48" s="414"/>
      <c r="F48" s="414"/>
      <c r="G48" s="414"/>
    </row>
    <row r="49" spans="2:7" s="416" customFormat="1">
      <c r="B49" s="415"/>
      <c r="C49" s="415"/>
      <c r="D49" s="415"/>
      <c r="E49" s="414"/>
      <c r="F49" s="414"/>
      <c r="G49" s="414"/>
    </row>
    <row r="50" spans="2:7" s="416" customFormat="1">
      <c r="B50" s="415"/>
      <c r="C50" s="415"/>
      <c r="D50" s="415"/>
      <c r="E50" s="414"/>
      <c r="F50" s="414"/>
      <c r="G50" s="414"/>
    </row>
    <row r="51" spans="2:7" s="416" customFormat="1">
      <c r="B51" s="415"/>
      <c r="C51" s="415"/>
      <c r="D51" s="415"/>
      <c r="E51" s="414"/>
      <c r="F51" s="414"/>
      <c r="G51" s="414"/>
    </row>
    <row r="52" spans="2:7" s="416" customFormat="1">
      <c r="B52" s="415"/>
      <c r="C52" s="415"/>
      <c r="D52" s="415"/>
      <c r="E52" s="414"/>
      <c r="F52" s="414"/>
      <c r="G52" s="414"/>
    </row>
    <row r="53" spans="2:7" s="416" customFormat="1">
      <c r="B53" s="415"/>
      <c r="C53" s="415"/>
      <c r="D53" s="415"/>
      <c r="E53" s="414"/>
      <c r="F53" s="414"/>
      <c r="G53" s="414"/>
    </row>
    <row r="54" spans="2:7" s="416" customFormat="1">
      <c r="B54" s="415"/>
      <c r="C54" s="415"/>
      <c r="D54" s="415"/>
      <c r="E54" s="414"/>
      <c r="F54" s="414"/>
      <c r="G54" s="414"/>
    </row>
    <row r="55" spans="2:7" s="416" customFormat="1">
      <c r="B55" s="415"/>
      <c r="C55" s="415"/>
      <c r="D55" s="415"/>
      <c r="E55" s="414"/>
      <c r="F55" s="414"/>
      <c r="G55" s="414"/>
    </row>
    <row r="56" spans="2:7" s="416" customFormat="1">
      <c r="B56" s="415"/>
      <c r="C56" s="415"/>
      <c r="D56" s="415"/>
      <c r="E56" s="414"/>
      <c r="F56" s="414"/>
      <c r="G56" s="414"/>
    </row>
    <row r="57" spans="2:7" s="416" customFormat="1">
      <c r="B57" s="415"/>
      <c r="C57" s="415"/>
      <c r="D57" s="415"/>
      <c r="E57" s="414"/>
      <c r="F57" s="414"/>
      <c r="G57" s="414"/>
    </row>
    <row r="58" spans="2:7" s="416" customFormat="1">
      <c r="B58" s="415"/>
      <c r="C58" s="415"/>
      <c r="D58" s="415"/>
      <c r="E58" s="414"/>
      <c r="F58" s="414"/>
      <c r="G58" s="414"/>
    </row>
    <row r="59" spans="2:7" s="416" customFormat="1">
      <c r="B59" s="415"/>
      <c r="C59" s="415"/>
      <c r="D59" s="415"/>
      <c r="E59" s="414"/>
      <c r="F59" s="414"/>
      <c r="G59" s="414"/>
    </row>
    <row r="60" spans="2:7" s="416" customFormat="1">
      <c r="B60" s="415"/>
      <c r="C60" s="415"/>
      <c r="D60" s="415"/>
      <c r="E60" s="414"/>
      <c r="F60" s="414"/>
      <c r="G60" s="414"/>
    </row>
    <row r="61" spans="2:7" s="416" customFormat="1">
      <c r="B61" s="415"/>
      <c r="C61" s="415"/>
      <c r="D61" s="415"/>
      <c r="E61" s="414"/>
      <c r="F61" s="414"/>
      <c r="G61" s="414"/>
    </row>
    <row r="62" spans="2:7" s="416" customFormat="1">
      <c r="B62" s="415"/>
      <c r="C62" s="415"/>
      <c r="D62" s="415"/>
      <c r="E62" s="414"/>
      <c r="F62" s="414"/>
      <c r="G62" s="414"/>
    </row>
    <row r="63" spans="2:7" s="416" customFormat="1">
      <c r="B63" s="415"/>
      <c r="C63" s="415"/>
      <c r="D63" s="415"/>
      <c r="E63" s="414"/>
      <c r="F63" s="414"/>
      <c r="G63" s="414"/>
    </row>
    <row r="64" spans="2:7" s="416" customFormat="1">
      <c r="B64" s="415"/>
      <c r="C64" s="415"/>
      <c r="D64" s="415"/>
      <c r="E64" s="414"/>
      <c r="F64" s="414"/>
      <c r="G64" s="414"/>
    </row>
    <row r="65" spans="2:7" s="416" customFormat="1">
      <c r="B65" s="415"/>
      <c r="C65" s="415"/>
      <c r="D65" s="415"/>
      <c r="E65" s="414"/>
      <c r="F65" s="414"/>
      <c r="G65" s="414"/>
    </row>
    <row r="66" spans="2:7" s="416" customFormat="1">
      <c r="B66" s="415"/>
      <c r="C66" s="415"/>
      <c r="D66" s="415"/>
      <c r="E66" s="414"/>
      <c r="F66" s="414"/>
      <c r="G66" s="414"/>
    </row>
    <row r="67" spans="2:7" s="416" customFormat="1">
      <c r="B67" s="415"/>
      <c r="C67" s="415"/>
      <c r="D67" s="415"/>
      <c r="E67" s="414"/>
      <c r="F67" s="414"/>
      <c r="G67" s="414"/>
    </row>
    <row r="68" spans="2:7" s="416" customFormat="1">
      <c r="B68" s="415"/>
      <c r="C68" s="415"/>
      <c r="D68" s="415"/>
      <c r="E68" s="414"/>
      <c r="F68" s="414"/>
      <c r="G68" s="414"/>
    </row>
    <row r="69" spans="2:7" s="416" customFormat="1">
      <c r="B69" s="415"/>
      <c r="C69" s="415"/>
      <c r="D69" s="415"/>
      <c r="E69" s="414"/>
      <c r="F69" s="414"/>
      <c r="G69" s="414"/>
    </row>
    <row r="70" spans="2:7" s="416" customFormat="1">
      <c r="B70" s="415"/>
      <c r="C70" s="415"/>
      <c r="D70" s="415"/>
      <c r="E70" s="414"/>
      <c r="F70" s="414"/>
      <c r="G70" s="414"/>
    </row>
    <row r="71" spans="2:7" s="416" customFormat="1">
      <c r="B71" s="415"/>
      <c r="C71" s="415"/>
      <c r="D71" s="415"/>
      <c r="E71" s="414"/>
      <c r="F71" s="414"/>
      <c r="G71" s="414"/>
    </row>
    <row r="72" spans="2:7" s="416" customFormat="1">
      <c r="B72" s="415"/>
      <c r="C72" s="415"/>
      <c r="D72" s="415"/>
      <c r="E72" s="414"/>
      <c r="F72" s="414"/>
      <c r="G72" s="414"/>
    </row>
    <row r="73" spans="2:7" s="416" customFormat="1">
      <c r="B73" s="415"/>
      <c r="C73" s="415"/>
      <c r="D73" s="415"/>
      <c r="E73" s="414"/>
      <c r="F73" s="414"/>
      <c r="G73" s="414"/>
    </row>
    <row r="74" spans="2:7" s="416" customFormat="1">
      <c r="B74" s="415"/>
      <c r="C74" s="415"/>
      <c r="D74" s="415"/>
      <c r="E74" s="414"/>
      <c r="F74" s="414"/>
      <c r="G74" s="414"/>
    </row>
    <row r="75" spans="2:7" s="416" customFormat="1">
      <c r="B75" s="415"/>
      <c r="C75" s="415"/>
      <c r="D75" s="415"/>
      <c r="E75" s="414"/>
      <c r="F75" s="414"/>
      <c r="G75" s="414"/>
    </row>
    <row r="76" spans="2:7" s="416" customFormat="1">
      <c r="B76" s="415"/>
      <c r="C76" s="415"/>
      <c r="D76" s="415"/>
      <c r="E76" s="414"/>
      <c r="F76" s="414"/>
      <c r="G76" s="414"/>
    </row>
    <row r="77" spans="2:7" s="416" customFormat="1">
      <c r="B77" s="415"/>
      <c r="C77" s="415"/>
      <c r="D77" s="415"/>
      <c r="E77" s="414"/>
      <c r="F77" s="414"/>
      <c r="G77" s="414"/>
    </row>
    <row r="78" spans="2:7" s="416" customFormat="1">
      <c r="B78" s="415"/>
      <c r="C78" s="415"/>
      <c r="D78" s="415"/>
      <c r="E78" s="414"/>
      <c r="F78" s="414"/>
      <c r="G78" s="414"/>
    </row>
    <row r="79" spans="2:7" s="416" customFormat="1">
      <c r="B79" s="415"/>
      <c r="C79" s="415"/>
      <c r="D79" s="415"/>
      <c r="E79" s="414"/>
      <c r="F79" s="414"/>
      <c r="G79" s="414"/>
    </row>
    <row r="80" spans="2:7" s="412" customFormat="1">
      <c r="B80" s="415"/>
      <c r="C80" s="415"/>
      <c r="D80" s="415"/>
      <c r="E80" s="414"/>
      <c r="F80" s="414"/>
      <c r="G80" s="414"/>
    </row>
    <row r="81" spans="2:7" s="412" customFormat="1">
      <c r="B81" s="415"/>
      <c r="C81" s="415"/>
      <c r="D81" s="415"/>
      <c r="E81" s="414"/>
      <c r="F81" s="414"/>
      <c r="G81" s="414"/>
    </row>
    <row r="82" spans="2:7" s="412" customFormat="1">
      <c r="B82" s="415"/>
      <c r="C82" s="415"/>
      <c r="D82" s="415"/>
      <c r="E82" s="414"/>
      <c r="F82" s="414"/>
      <c r="G82" s="414"/>
    </row>
    <row r="83" spans="2:7" s="412" customFormat="1">
      <c r="B83" s="415"/>
      <c r="C83" s="411"/>
      <c r="D83" s="415"/>
      <c r="E83" s="414"/>
      <c r="F83" s="414"/>
      <c r="G83" s="414"/>
    </row>
    <row r="84" spans="2:7" s="412" customFormat="1">
      <c r="B84" s="411"/>
      <c r="C84" s="411"/>
      <c r="D84" s="411"/>
      <c r="E84" s="413"/>
      <c r="F84" s="413"/>
      <c r="G84" s="413"/>
    </row>
    <row r="85" spans="2:7">
      <c r="E85" s="413"/>
      <c r="F85" s="413"/>
      <c r="G85" s="413"/>
    </row>
    <row r="86" spans="2:7">
      <c r="E86" s="413"/>
      <c r="F86" s="413"/>
      <c r="G86" s="413"/>
    </row>
    <row r="87" spans="2:7">
      <c r="E87" s="413"/>
      <c r="F87" s="413"/>
      <c r="G87" s="413"/>
    </row>
    <row r="88" spans="2:7">
      <c r="E88" s="413"/>
      <c r="F88" s="413"/>
      <c r="G88" s="413"/>
    </row>
    <row r="89" spans="2:7">
      <c r="E89" s="413"/>
      <c r="F89" s="413"/>
      <c r="G89" s="413"/>
    </row>
  </sheetData>
  <mergeCells count="1">
    <mergeCell ref="A1:G1"/>
  </mergeCells>
  <pageMargins left="0.7" right="0.7" top="0.75" bottom="0.75" header="0.3" footer="0.3"/>
  <pageSetup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1:I23"/>
  <sheetViews>
    <sheetView workbookViewId="0">
      <selection activeCell="K32" sqref="K32"/>
    </sheetView>
  </sheetViews>
  <sheetFormatPr defaultRowHeight="15"/>
  <sheetData>
    <row r="11" spans="1:9" ht="28.5">
      <c r="A11" s="560" t="s">
        <v>394</v>
      </c>
      <c r="B11" s="560"/>
      <c r="C11" s="560"/>
      <c r="D11" s="560"/>
      <c r="E11" s="560"/>
      <c r="F11" s="560"/>
      <c r="G11" s="560"/>
      <c r="H11" s="560"/>
      <c r="I11" s="560"/>
    </row>
    <row r="14" spans="1:9">
      <c r="A14" t="s">
        <v>396</v>
      </c>
    </row>
    <row r="15" spans="1:9">
      <c r="A15" t="s">
        <v>213</v>
      </c>
    </row>
    <row r="16" spans="1:9">
      <c r="A16" t="s">
        <v>214</v>
      </c>
    </row>
    <row r="17" spans="1:1">
      <c r="A17" t="s">
        <v>215</v>
      </c>
    </row>
    <row r="19" spans="1:1">
      <c r="A19" t="s">
        <v>216</v>
      </c>
    </row>
    <row r="20" spans="1:1">
      <c r="A20" t="s">
        <v>217</v>
      </c>
    </row>
    <row r="21" spans="1:1">
      <c r="A21" t="s">
        <v>218</v>
      </c>
    </row>
    <row r="22" spans="1:1">
      <c r="A22" t="s">
        <v>219</v>
      </c>
    </row>
    <row r="23" spans="1:1">
      <c r="A23" t="s">
        <v>220</v>
      </c>
    </row>
  </sheetData>
  <mergeCells count="1">
    <mergeCell ref="A11:I11"/>
  </mergeCells>
  <printOptions horizontalCentered="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8"/>
  <sheetViews>
    <sheetView view="pageBreakPreview" zoomScale="60" zoomScaleNormal="85" workbookViewId="0">
      <pane xSplit="3" ySplit="5" topLeftCell="D6" activePane="bottomRight" state="frozen"/>
      <selection activeCell="D12" sqref="D12"/>
      <selection pane="topRight" activeCell="D12" sqref="D12"/>
      <selection pane="bottomLeft" activeCell="D12" sqref="D12"/>
      <selection pane="bottomRight" activeCell="H51" sqref="H51"/>
    </sheetView>
  </sheetViews>
  <sheetFormatPr defaultRowHeight="15"/>
  <cols>
    <col min="1" max="1" width="10.7109375" style="1" customWidth="1"/>
    <col min="2" max="2" width="12" bestFit="1" customWidth="1"/>
    <col min="3" max="3" width="60.7109375" customWidth="1"/>
    <col min="4" max="4" width="14.5703125" customWidth="1"/>
    <col min="5" max="5" width="10.7109375" customWidth="1"/>
    <col min="6" max="6" width="12.7109375" customWidth="1"/>
    <col min="7" max="10" width="14.5703125" style="2" bestFit="1" customWidth="1"/>
    <col min="11" max="20" width="14.5703125" style="2" customWidth="1"/>
    <col min="21" max="21" width="14.5703125" bestFit="1" customWidth="1"/>
    <col min="22" max="22" width="15.140625" bestFit="1" customWidth="1"/>
    <col min="23" max="23" width="20.7109375" bestFit="1" customWidth="1"/>
  </cols>
  <sheetData>
    <row r="1" spans="1:24">
      <c r="A1" s="335" t="s">
        <v>0</v>
      </c>
      <c r="B1" s="335"/>
      <c r="C1" s="335"/>
      <c r="D1" s="335"/>
      <c r="E1" s="335"/>
      <c r="F1" s="335"/>
      <c r="G1" s="335"/>
      <c r="H1" s="335"/>
      <c r="I1" s="335"/>
      <c r="J1" s="335"/>
      <c r="K1" s="335"/>
      <c r="L1" s="335"/>
      <c r="M1" s="335"/>
      <c r="N1" s="335"/>
      <c r="O1" s="335"/>
      <c r="P1" s="335"/>
      <c r="Q1" s="335"/>
      <c r="R1" s="335"/>
      <c r="S1" s="335"/>
      <c r="T1" s="335"/>
      <c r="U1" s="335"/>
      <c r="V1" s="335"/>
    </row>
    <row r="2" spans="1:24">
      <c r="A2" s="335" t="s">
        <v>1</v>
      </c>
      <c r="B2" s="335"/>
      <c r="C2" s="335"/>
      <c r="D2" s="335"/>
      <c r="E2" s="335"/>
      <c r="F2" s="335"/>
      <c r="G2" s="335"/>
      <c r="H2" s="335"/>
      <c r="I2" s="335"/>
      <c r="J2" s="335"/>
      <c r="K2" s="335"/>
      <c r="L2" s="335"/>
      <c r="M2" s="335"/>
      <c r="N2" s="335"/>
      <c r="O2" s="335"/>
      <c r="P2" s="335"/>
      <c r="Q2" s="335"/>
      <c r="R2" s="335"/>
      <c r="S2" s="335"/>
      <c r="T2" s="335"/>
      <c r="U2" s="335"/>
      <c r="V2" s="335"/>
    </row>
    <row r="3" spans="1:24" ht="21">
      <c r="A3" s="336" t="s">
        <v>2</v>
      </c>
      <c r="B3" s="336"/>
      <c r="C3" s="336"/>
      <c r="D3" s="336"/>
      <c r="E3" s="336"/>
      <c r="F3" s="336"/>
      <c r="G3" s="336"/>
      <c r="H3" s="336"/>
      <c r="I3" s="336"/>
      <c r="J3" s="336"/>
      <c r="K3" s="336"/>
      <c r="L3" s="336"/>
      <c r="M3" s="336"/>
      <c r="N3" s="336"/>
      <c r="O3" s="336"/>
      <c r="P3" s="336"/>
      <c r="Q3" s="336"/>
      <c r="R3" s="336"/>
      <c r="S3" s="336"/>
      <c r="T3" s="336"/>
      <c r="U3" s="336"/>
      <c r="V3" s="336"/>
    </row>
    <row r="4" spans="1:24" ht="7.15" customHeight="1" thickBot="1"/>
    <row r="5" spans="1:24" s="8" customFormat="1" ht="43.9" customHeight="1" thickBot="1">
      <c r="A5" s="3" t="s">
        <v>3</v>
      </c>
      <c r="B5" s="4" t="s">
        <v>4</v>
      </c>
      <c r="C5" s="5" t="s">
        <v>5</v>
      </c>
      <c r="D5" s="4" t="s">
        <v>6</v>
      </c>
      <c r="E5" s="4" t="s">
        <v>7</v>
      </c>
      <c r="F5" s="4" t="s">
        <v>8</v>
      </c>
      <c r="G5" s="6" t="s">
        <v>9</v>
      </c>
      <c r="H5" s="6">
        <v>42644</v>
      </c>
      <c r="I5" s="6">
        <v>42675</v>
      </c>
      <c r="J5" s="6" t="s">
        <v>10</v>
      </c>
      <c r="K5" s="6">
        <v>42736</v>
      </c>
      <c r="L5" s="6">
        <v>42767</v>
      </c>
      <c r="M5" s="6">
        <v>42795</v>
      </c>
      <c r="N5" s="6">
        <v>42826</v>
      </c>
      <c r="O5" s="6">
        <v>42856</v>
      </c>
      <c r="P5" s="6">
        <v>42887</v>
      </c>
      <c r="Q5" s="6">
        <v>42917</v>
      </c>
      <c r="R5" s="6">
        <v>42948</v>
      </c>
      <c r="S5" s="6">
        <v>42979</v>
      </c>
      <c r="T5" s="6">
        <v>43009</v>
      </c>
      <c r="U5" s="6">
        <v>43040</v>
      </c>
      <c r="V5" s="7">
        <v>43070</v>
      </c>
      <c r="W5"/>
    </row>
    <row r="6" spans="1:24">
      <c r="A6" s="467">
        <v>18230010</v>
      </c>
      <c r="B6" s="468" t="s">
        <v>11</v>
      </c>
      <c r="C6" s="233" t="s">
        <v>12</v>
      </c>
      <c r="D6" s="469" t="s">
        <v>13</v>
      </c>
      <c r="E6" s="271"/>
      <c r="F6" s="271"/>
      <c r="G6" s="470">
        <v>5906.25</v>
      </c>
      <c r="H6" s="470">
        <v>8851</v>
      </c>
      <c r="I6" s="470">
        <v>20566.310000000001</v>
      </c>
      <c r="J6" s="245">
        <v>23976.81</v>
      </c>
      <c r="K6" s="245">
        <v>24446.81</v>
      </c>
      <c r="L6" s="245">
        <v>27271.439999999999</v>
      </c>
      <c r="M6" s="245">
        <v>28388.94</v>
      </c>
      <c r="N6" s="245">
        <v>29218.94</v>
      </c>
      <c r="O6" s="245">
        <v>29218.94</v>
      </c>
      <c r="P6" s="245">
        <v>31456.19</v>
      </c>
      <c r="Q6" s="245">
        <v>31456.19</v>
      </c>
      <c r="R6" s="245">
        <v>37765.54</v>
      </c>
      <c r="S6" s="245">
        <v>37765.54</v>
      </c>
      <c r="T6" s="245">
        <v>51661.66</v>
      </c>
      <c r="U6" s="245">
        <v>52554.16</v>
      </c>
      <c r="V6" s="471">
        <v>67166.16</v>
      </c>
    </row>
    <row r="7" spans="1:24">
      <c r="A7" s="472"/>
      <c r="B7" s="468" t="s">
        <v>11</v>
      </c>
      <c r="C7" s="233" t="s">
        <v>14</v>
      </c>
      <c r="D7" s="473" t="s">
        <v>15</v>
      </c>
      <c r="E7" s="251">
        <v>43070</v>
      </c>
      <c r="F7" s="251" t="s">
        <v>16</v>
      </c>
      <c r="G7" s="253">
        <v>0</v>
      </c>
      <c r="H7" s="253">
        <v>0</v>
      </c>
      <c r="I7" s="253">
        <v>0</v>
      </c>
      <c r="J7" s="253">
        <v>0</v>
      </c>
      <c r="K7" s="253">
        <v>0</v>
      </c>
      <c r="L7" s="253">
        <v>0</v>
      </c>
      <c r="M7" s="253">
        <v>0</v>
      </c>
      <c r="N7" s="253">
        <v>0</v>
      </c>
      <c r="O7" s="253">
        <v>0</v>
      </c>
      <c r="P7" s="253">
        <v>0</v>
      </c>
      <c r="Q7" s="253">
        <v>0</v>
      </c>
      <c r="R7" s="253">
        <v>0</v>
      </c>
      <c r="S7" s="253">
        <v>0</v>
      </c>
      <c r="T7" s="253">
        <v>0</v>
      </c>
      <c r="U7" s="253">
        <v>0</v>
      </c>
      <c r="V7" s="474">
        <v>-5906.25</v>
      </c>
    </row>
    <row r="8" spans="1:24">
      <c r="A8" s="472"/>
      <c r="B8" s="468"/>
      <c r="C8" s="475" t="s">
        <v>17</v>
      </c>
      <c r="D8" s="476"/>
      <c r="E8" s="477"/>
      <c r="F8" s="477"/>
      <c r="G8" s="478">
        <f t="shared" ref="G8:V8" si="0">SUM(G6:G7)</f>
        <v>5906.25</v>
      </c>
      <c r="H8" s="478">
        <f t="shared" si="0"/>
        <v>8851</v>
      </c>
      <c r="I8" s="478">
        <f t="shared" si="0"/>
        <v>20566.310000000001</v>
      </c>
      <c r="J8" s="478">
        <f t="shared" si="0"/>
        <v>23976.81</v>
      </c>
      <c r="K8" s="478">
        <f t="shared" si="0"/>
        <v>24446.81</v>
      </c>
      <c r="L8" s="478">
        <f t="shared" si="0"/>
        <v>27271.439999999999</v>
      </c>
      <c r="M8" s="478">
        <f t="shared" si="0"/>
        <v>28388.94</v>
      </c>
      <c r="N8" s="478">
        <f t="shared" si="0"/>
        <v>29218.94</v>
      </c>
      <c r="O8" s="478">
        <f t="shared" si="0"/>
        <v>29218.94</v>
      </c>
      <c r="P8" s="478">
        <f t="shared" si="0"/>
        <v>31456.19</v>
      </c>
      <c r="Q8" s="478">
        <f t="shared" si="0"/>
        <v>31456.19</v>
      </c>
      <c r="R8" s="478">
        <f t="shared" si="0"/>
        <v>37765.54</v>
      </c>
      <c r="S8" s="478">
        <f t="shared" si="0"/>
        <v>37765.54</v>
      </c>
      <c r="T8" s="478">
        <f t="shared" si="0"/>
        <v>51661.66</v>
      </c>
      <c r="U8" s="478">
        <f t="shared" si="0"/>
        <v>52554.16</v>
      </c>
      <c r="V8" s="259">
        <f t="shared" si="0"/>
        <v>61259.91</v>
      </c>
    </row>
    <row r="9" spans="1:24" s="31" customFormat="1" ht="11.45" customHeight="1">
      <c r="A9" s="479"/>
      <c r="B9" s="480"/>
      <c r="C9" s="481"/>
      <c r="D9" s="482"/>
      <c r="E9" s="483"/>
      <c r="F9" s="483"/>
      <c r="G9" s="484"/>
      <c r="H9" s="484"/>
      <c r="I9" s="484"/>
      <c r="J9" s="265"/>
      <c r="K9" s="265"/>
      <c r="L9" s="265"/>
      <c r="M9" s="265"/>
      <c r="N9" s="265"/>
      <c r="O9" s="265"/>
      <c r="P9" s="265"/>
      <c r="Q9" s="265"/>
      <c r="R9" s="265"/>
      <c r="S9" s="265"/>
      <c r="T9" s="265"/>
      <c r="U9" s="265"/>
      <c r="V9" s="485"/>
    </row>
    <row r="10" spans="1:24">
      <c r="A10" s="486">
        <v>18230009</v>
      </c>
      <c r="B10" s="468" t="s">
        <v>18</v>
      </c>
      <c r="C10" s="233" t="s">
        <v>19</v>
      </c>
      <c r="D10" s="476" t="s">
        <v>13</v>
      </c>
      <c r="E10" s="271"/>
      <c r="F10" s="271"/>
      <c r="G10" s="245">
        <v>2147559.1100000003</v>
      </c>
      <c r="H10" s="245">
        <v>2152934.86</v>
      </c>
      <c r="I10" s="245">
        <v>2154615.15</v>
      </c>
      <c r="J10" s="245">
        <v>2156485.4000000004</v>
      </c>
      <c r="K10" s="487">
        <v>2154845.11</v>
      </c>
      <c r="L10" s="487">
        <v>2157073.86</v>
      </c>
      <c r="M10" s="487">
        <v>2158734.15</v>
      </c>
      <c r="N10" s="487">
        <v>2158734.15</v>
      </c>
      <c r="O10" s="487">
        <v>2159291.36</v>
      </c>
      <c r="P10" s="487">
        <f>O10+7915.84</f>
        <v>2167207.1999999997</v>
      </c>
      <c r="Q10" s="487">
        <v>2167207.2000000002</v>
      </c>
      <c r="R10" s="487">
        <v>2167207.2000000002</v>
      </c>
      <c r="S10" s="487">
        <v>2167207.2000000002</v>
      </c>
      <c r="T10" s="487">
        <v>2167207.2000000002</v>
      </c>
      <c r="U10" s="487">
        <v>2167207.2000000002</v>
      </c>
      <c r="V10" s="488">
        <v>2170724.4500000002</v>
      </c>
      <c r="X10" s="35"/>
    </row>
    <row r="11" spans="1:24">
      <c r="A11" s="472"/>
      <c r="B11" s="468" t="s">
        <v>18</v>
      </c>
      <c r="C11" s="233" t="s">
        <v>14</v>
      </c>
      <c r="D11" s="489" t="s">
        <v>15</v>
      </c>
      <c r="E11" s="251">
        <v>43070</v>
      </c>
      <c r="F11" s="251" t="s">
        <v>16</v>
      </c>
      <c r="G11" s="252">
        <v>0</v>
      </c>
      <c r="H11" s="252">
        <v>0</v>
      </c>
      <c r="I11" s="252">
        <v>0</v>
      </c>
      <c r="J11" s="252">
        <v>0</v>
      </c>
      <c r="K11" s="252">
        <v>0</v>
      </c>
      <c r="L11" s="252">
        <v>0</v>
      </c>
      <c r="M11" s="252">
        <v>0</v>
      </c>
      <c r="N11" s="252">
        <v>0</v>
      </c>
      <c r="O11" s="252">
        <v>0</v>
      </c>
      <c r="P11" s="252">
        <v>0</v>
      </c>
      <c r="Q11" s="252">
        <v>0</v>
      </c>
      <c r="R11" s="252">
        <v>0</v>
      </c>
      <c r="S11" s="252">
        <v>0</v>
      </c>
      <c r="T11" s="252">
        <v>0</v>
      </c>
      <c r="U11" s="252">
        <v>0</v>
      </c>
      <c r="V11" s="490">
        <v>-2147559.11</v>
      </c>
      <c r="X11" s="35"/>
    </row>
    <row r="12" spans="1:24">
      <c r="A12" s="491"/>
      <c r="B12" s="492"/>
      <c r="C12" s="493" t="s">
        <v>20</v>
      </c>
      <c r="D12" s="476"/>
      <c r="E12" s="494"/>
      <c r="F12" s="494"/>
      <c r="G12" s="478">
        <f t="shared" ref="G12:V12" si="1">SUM(G10:G11)</f>
        <v>2147559.1100000003</v>
      </c>
      <c r="H12" s="478">
        <f t="shared" si="1"/>
        <v>2152934.86</v>
      </c>
      <c r="I12" s="478">
        <f t="shared" si="1"/>
        <v>2154615.15</v>
      </c>
      <c r="J12" s="478">
        <f t="shared" si="1"/>
        <v>2156485.4000000004</v>
      </c>
      <c r="K12" s="478">
        <f t="shared" si="1"/>
        <v>2154845.11</v>
      </c>
      <c r="L12" s="478">
        <f t="shared" si="1"/>
        <v>2157073.86</v>
      </c>
      <c r="M12" s="478">
        <f t="shared" si="1"/>
        <v>2158734.15</v>
      </c>
      <c r="N12" s="478">
        <f t="shared" si="1"/>
        <v>2158734.15</v>
      </c>
      <c r="O12" s="478">
        <f t="shared" si="1"/>
        <v>2159291.36</v>
      </c>
      <c r="P12" s="478">
        <f t="shared" si="1"/>
        <v>2167207.1999999997</v>
      </c>
      <c r="Q12" s="478">
        <f t="shared" si="1"/>
        <v>2167207.2000000002</v>
      </c>
      <c r="R12" s="478">
        <f t="shared" si="1"/>
        <v>2167207.2000000002</v>
      </c>
      <c r="S12" s="478">
        <f t="shared" si="1"/>
        <v>2167207.2000000002</v>
      </c>
      <c r="T12" s="478">
        <f t="shared" si="1"/>
        <v>2167207.2000000002</v>
      </c>
      <c r="U12" s="478">
        <f t="shared" si="1"/>
        <v>2167207.2000000002</v>
      </c>
      <c r="V12" s="259">
        <f t="shared" si="1"/>
        <v>23165.340000000317</v>
      </c>
    </row>
    <row r="13" spans="1:24" s="50" customFormat="1" ht="11.25">
      <c r="A13" s="495"/>
      <c r="B13" s="496"/>
      <c r="C13" s="481"/>
      <c r="D13" s="497"/>
      <c r="E13" s="264"/>
      <c r="F13" s="264"/>
      <c r="G13" s="266"/>
      <c r="H13" s="266"/>
      <c r="I13" s="266"/>
      <c r="J13" s="265"/>
      <c r="K13" s="267"/>
      <c r="L13" s="267"/>
      <c r="M13" s="265"/>
      <c r="N13" s="267"/>
      <c r="O13" s="267"/>
      <c r="P13" s="265"/>
      <c r="Q13" s="267"/>
      <c r="R13" s="267"/>
      <c r="S13" s="265"/>
      <c r="T13" s="267"/>
      <c r="U13" s="267"/>
      <c r="V13" s="485"/>
    </row>
    <row r="14" spans="1:24">
      <c r="A14" s="486">
        <v>18230021</v>
      </c>
      <c r="B14" s="468" t="s">
        <v>21</v>
      </c>
      <c r="C14" s="233" t="s">
        <v>22</v>
      </c>
      <c r="D14" s="565" t="s">
        <v>23</v>
      </c>
      <c r="E14" s="566"/>
      <c r="F14" s="271"/>
      <c r="G14" s="272">
        <v>465045.93999999994</v>
      </c>
      <c r="H14" s="272">
        <f>G14-119907.1</f>
        <v>345138.83999999997</v>
      </c>
      <c r="I14" s="272">
        <f>H14+67490.49</f>
        <v>412629.32999999996</v>
      </c>
      <c r="J14" s="278">
        <v>467829.59999999992</v>
      </c>
      <c r="K14" s="278">
        <f>J14+62475</f>
        <v>530304.59999999986</v>
      </c>
      <c r="L14" s="278">
        <f>K14+39750.21</f>
        <v>570054.80999999982</v>
      </c>
      <c r="M14" s="278">
        <f>L14+58513.33</f>
        <v>628568.13999999978</v>
      </c>
      <c r="N14" s="278">
        <f>M14+76146.81</f>
        <v>704714.94999999972</v>
      </c>
      <c r="O14" s="278">
        <f>N14+41027.18</f>
        <v>745742.12999999977</v>
      </c>
      <c r="P14" s="278">
        <f>O14+23807.8</f>
        <v>769549.92999999982</v>
      </c>
      <c r="Q14" s="278">
        <f>P14</f>
        <v>769549.92999999982</v>
      </c>
      <c r="R14" s="278">
        <f>Q14</f>
        <v>769549.92999999982</v>
      </c>
      <c r="S14" s="278">
        <f>R14+71194.4</f>
        <v>840744.32999999984</v>
      </c>
      <c r="T14" s="278">
        <f>S14+8081.5</f>
        <v>848825.82999999984</v>
      </c>
      <c r="U14" s="278">
        <f>T14+3625.5</f>
        <v>852451.32999999984</v>
      </c>
      <c r="V14" s="247">
        <f>U14+5123.25</f>
        <v>857574.57999999984</v>
      </c>
    </row>
    <row r="15" spans="1:24">
      <c r="A15" s="486"/>
      <c r="B15" s="468" t="s">
        <v>21</v>
      </c>
      <c r="C15" s="233" t="s">
        <v>24</v>
      </c>
      <c r="D15" s="565"/>
      <c r="E15" s="566"/>
      <c r="F15" s="271"/>
      <c r="G15" s="245">
        <v>-71171.44</v>
      </c>
      <c r="H15" s="245">
        <f>G15</f>
        <v>-71171.44</v>
      </c>
      <c r="I15" s="272">
        <f>H15</f>
        <v>-71171.44</v>
      </c>
      <c r="J15" s="278">
        <v>-71171.44</v>
      </c>
      <c r="K15" s="278">
        <v>-71171.44</v>
      </c>
      <c r="L15" s="278">
        <v>-71171.44</v>
      </c>
      <c r="M15" s="278">
        <v>-71171.44</v>
      </c>
      <c r="N15" s="278">
        <v>-71171.44</v>
      </c>
      <c r="O15" s="278">
        <v>-71171.44</v>
      </c>
      <c r="P15" s="278">
        <v>-71171.44</v>
      </c>
      <c r="Q15" s="278">
        <v>-71171.44</v>
      </c>
      <c r="R15" s="278">
        <v>-71171.44</v>
      </c>
      <c r="S15" s="278">
        <f>R15-83215.12</f>
        <v>-154386.56</v>
      </c>
      <c r="T15" s="278">
        <f>S15</f>
        <v>-154386.56</v>
      </c>
      <c r="U15" s="278">
        <f>T15</f>
        <v>-154386.56</v>
      </c>
      <c r="V15" s="247">
        <f>U15-59263</f>
        <v>-213649.56</v>
      </c>
    </row>
    <row r="16" spans="1:24">
      <c r="A16" s="486"/>
      <c r="B16" s="468" t="s">
        <v>21</v>
      </c>
      <c r="C16" s="233" t="s">
        <v>14</v>
      </c>
      <c r="D16" s="489" t="s">
        <v>15</v>
      </c>
      <c r="E16" s="251">
        <v>43070</v>
      </c>
      <c r="F16" s="251" t="s">
        <v>16</v>
      </c>
      <c r="G16" s="252">
        <v>0</v>
      </c>
      <c r="H16" s="252">
        <v>0</v>
      </c>
      <c r="I16" s="252">
        <v>0</v>
      </c>
      <c r="J16" s="252">
        <v>0</v>
      </c>
      <c r="K16" s="252">
        <v>0</v>
      </c>
      <c r="L16" s="252">
        <v>0</v>
      </c>
      <c r="M16" s="252">
        <v>0</v>
      </c>
      <c r="N16" s="252">
        <v>0</v>
      </c>
      <c r="O16" s="252">
        <v>0</v>
      </c>
      <c r="P16" s="252">
        <v>0</v>
      </c>
      <c r="Q16" s="252">
        <v>0</v>
      </c>
      <c r="R16" s="252">
        <v>0</v>
      </c>
      <c r="S16" s="252">
        <v>0</v>
      </c>
      <c r="T16" s="252">
        <v>0</v>
      </c>
      <c r="U16" s="252">
        <v>0</v>
      </c>
      <c r="V16" s="490">
        <v>-393874.5</v>
      </c>
    </row>
    <row r="17" spans="1:23">
      <c r="A17" s="491"/>
      <c r="B17" s="492"/>
      <c r="C17" s="493" t="s">
        <v>25</v>
      </c>
      <c r="D17" s="256"/>
      <c r="E17" s="257"/>
      <c r="F17" s="257"/>
      <c r="G17" s="258">
        <f t="shared" ref="G17:V17" si="2">SUM(G14:G16)</f>
        <v>393874.49999999994</v>
      </c>
      <c r="H17" s="258">
        <f t="shared" si="2"/>
        <v>273967.39999999997</v>
      </c>
      <c r="I17" s="258">
        <f t="shared" si="2"/>
        <v>341457.88999999996</v>
      </c>
      <c r="J17" s="258">
        <f t="shared" si="2"/>
        <v>396658.15999999992</v>
      </c>
      <c r="K17" s="258">
        <f t="shared" si="2"/>
        <v>459133.15999999986</v>
      </c>
      <c r="L17" s="258">
        <f t="shared" si="2"/>
        <v>498883.36999999982</v>
      </c>
      <c r="M17" s="258">
        <f t="shared" si="2"/>
        <v>557396.69999999972</v>
      </c>
      <c r="N17" s="258">
        <f t="shared" si="2"/>
        <v>633543.50999999978</v>
      </c>
      <c r="O17" s="258">
        <f t="shared" si="2"/>
        <v>674570.68999999971</v>
      </c>
      <c r="P17" s="258">
        <f t="shared" si="2"/>
        <v>698378.48999999976</v>
      </c>
      <c r="Q17" s="258">
        <f t="shared" si="2"/>
        <v>698378.48999999976</v>
      </c>
      <c r="R17" s="258">
        <f t="shared" si="2"/>
        <v>698378.48999999976</v>
      </c>
      <c r="S17" s="258">
        <f t="shared" si="2"/>
        <v>686357.76999999979</v>
      </c>
      <c r="T17" s="258">
        <f t="shared" si="2"/>
        <v>694439.26999999979</v>
      </c>
      <c r="U17" s="258">
        <f t="shared" si="2"/>
        <v>698064.76999999979</v>
      </c>
      <c r="V17" s="498">
        <f t="shared" si="2"/>
        <v>250050.51999999979</v>
      </c>
    </row>
    <row r="18" spans="1:23" s="50" customFormat="1" ht="11.25">
      <c r="A18" s="495"/>
      <c r="B18" s="496"/>
      <c r="C18" s="481"/>
      <c r="D18" s="482"/>
      <c r="E18" s="264"/>
      <c r="F18" s="264"/>
      <c r="G18" s="266"/>
      <c r="H18" s="266"/>
      <c r="I18" s="266"/>
      <c r="J18" s="265"/>
      <c r="K18" s="267"/>
      <c r="L18" s="267"/>
      <c r="M18" s="265"/>
      <c r="N18" s="267"/>
      <c r="O18" s="267"/>
      <c r="P18" s="265"/>
      <c r="Q18" s="267"/>
      <c r="R18" s="267"/>
      <c r="S18" s="265"/>
      <c r="T18" s="267"/>
      <c r="U18" s="267"/>
      <c r="V18" s="485"/>
    </row>
    <row r="19" spans="1:23">
      <c r="A19" s="486" t="s">
        <v>26</v>
      </c>
      <c r="B19" s="468" t="s">
        <v>27</v>
      </c>
      <c r="C19" s="233" t="s">
        <v>28</v>
      </c>
      <c r="D19" s="476" t="s">
        <v>29</v>
      </c>
      <c r="E19" s="271"/>
      <c r="F19" s="271"/>
      <c r="G19" s="272">
        <v>198092.16</v>
      </c>
      <c r="H19" s="272">
        <f>G19</f>
        <v>198092.16</v>
      </c>
      <c r="I19" s="272">
        <f>H19</f>
        <v>198092.16</v>
      </c>
      <c r="J19" s="278">
        <v>198092.16</v>
      </c>
      <c r="K19" s="278">
        <f>J19</f>
        <v>198092.16</v>
      </c>
      <c r="L19" s="278">
        <f t="shared" ref="L19:U19" si="3">K19</f>
        <v>198092.16</v>
      </c>
      <c r="M19" s="278">
        <f t="shared" si="3"/>
        <v>198092.16</v>
      </c>
      <c r="N19" s="278">
        <f t="shared" si="3"/>
        <v>198092.16</v>
      </c>
      <c r="O19" s="278">
        <f t="shared" si="3"/>
        <v>198092.16</v>
      </c>
      <c r="P19" s="278">
        <f t="shared" si="3"/>
        <v>198092.16</v>
      </c>
      <c r="Q19" s="278">
        <f t="shared" si="3"/>
        <v>198092.16</v>
      </c>
      <c r="R19" s="278">
        <f t="shared" si="3"/>
        <v>198092.16</v>
      </c>
      <c r="S19" s="278">
        <f t="shared" si="3"/>
        <v>198092.16</v>
      </c>
      <c r="T19" s="278">
        <f t="shared" si="3"/>
        <v>198092.16</v>
      </c>
      <c r="U19" s="278">
        <f t="shared" si="3"/>
        <v>198092.16</v>
      </c>
      <c r="V19" s="247">
        <v>198092.16</v>
      </c>
    </row>
    <row r="20" spans="1:23">
      <c r="A20" s="486"/>
      <c r="B20" s="468" t="s">
        <v>27</v>
      </c>
      <c r="C20" s="233" t="s">
        <v>30</v>
      </c>
      <c r="D20" s="489" t="s">
        <v>15</v>
      </c>
      <c r="E20" s="251">
        <v>43070</v>
      </c>
      <c r="F20" s="251" t="s">
        <v>16</v>
      </c>
      <c r="G20" s="252">
        <v>0</v>
      </c>
      <c r="H20" s="252">
        <v>0</v>
      </c>
      <c r="I20" s="252">
        <v>0</v>
      </c>
      <c r="J20" s="252">
        <v>0</v>
      </c>
      <c r="K20" s="252">
        <v>0</v>
      </c>
      <c r="L20" s="252">
        <v>0</v>
      </c>
      <c r="M20" s="252">
        <v>0</v>
      </c>
      <c r="N20" s="252">
        <v>0</v>
      </c>
      <c r="O20" s="252">
        <v>0</v>
      </c>
      <c r="P20" s="252">
        <v>0</v>
      </c>
      <c r="Q20" s="252">
        <v>0</v>
      </c>
      <c r="R20" s="252">
        <v>0</v>
      </c>
      <c r="S20" s="252">
        <v>0</v>
      </c>
      <c r="T20" s="252">
        <v>0</v>
      </c>
      <c r="U20" s="252">
        <v>0</v>
      </c>
      <c r="V20" s="490">
        <v>-198092.16</v>
      </c>
    </row>
    <row r="21" spans="1:23">
      <c r="A21" s="491"/>
      <c r="B21" s="492"/>
      <c r="C21" s="499" t="s">
        <v>31</v>
      </c>
      <c r="D21" s="500"/>
      <c r="E21" s="288"/>
      <c r="F21" s="288"/>
      <c r="G21" s="478">
        <f t="shared" ref="G21:V21" si="4">SUM(G19:G20)</f>
        <v>198092.16</v>
      </c>
      <c r="H21" s="478">
        <f t="shared" si="4"/>
        <v>198092.16</v>
      </c>
      <c r="I21" s="478">
        <f t="shared" si="4"/>
        <v>198092.16</v>
      </c>
      <c r="J21" s="478">
        <f t="shared" si="4"/>
        <v>198092.16</v>
      </c>
      <c r="K21" s="478">
        <f t="shared" si="4"/>
        <v>198092.16</v>
      </c>
      <c r="L21" s="478">
        <f t="shared" si="4"/>
        <v>198092.16</v>
      </c>
      <c r="M21" s="478">
        <f t="shared" si="4"/>
        <v>198092.16</v>
      </c>
      <c r="N21" s="478">
        <f t="shared" si="4"/>
        <v>198092.16</v>
      </c>
      <c r="O21" s="478">
        <f t="shared" si="4"/>
        <v>198092.16</v>
      </c>
      <c r="P21" s="478">
        <f t="shared" si="4"/>
        <v>198092.16</v>
      </c>
      <c r="Q21" s="478">
        <f t="shared" si="4"/>
        <v>198092.16</v>
      </c>
      <c r="R21" s="478">
        <f t="shared" si="4"/>
        <v>198092.16</v>
      </c>
      <c r="S21" s="478">
        <f t="shared" si="4"/>
        <v>198092.16</v>
      </c>
      <c r="T21" s="478">
        <f t="shared" si="4"/>
        <v>198092.16</v>
      </c>
      <c r="U21" s="478">
        <f t="shared" si="4"/>
        <v>198092.16</v>
      </c>
      <c r="V21" s="259">
        <f t="shared" si="4"/>
        <v>0</v>
      </c>
    </row>
    <row r="22" spans="1:23" s="50" customFormat="1" ht="11.25">
      <c r="A22" s="495"/>
      <c r="B22" s="496"/>
      <c r="C22" s="481"/>
      <c r="D22" s="497"/>
      <c r="E22" s="264"/>
      <c r="F22" s="264"/>
      <c r="G22" s="266"/>
      <c r="H22" s="266"/>
      <c r="I22" s="266"/>
      <c r="J22" s="265"/>
      <c r="K22" s="267"/>
      <c r="L22" s="267"/>
      <c r="M22" s="265"/>
      <c r="N22" s="267"/>
      <c r="O22" s="267"/>
      <c r="P22" s="265"/>
      <c r="Q22" s="267"/>
      <c r="R22" s="267"/>
      <c r="S22" s="265"/>
      <c r="T22" s="267"/>
      <c r="U22" s="267"/>
      <c r="V22" s="485"/>
    </row>
    <row r="23" spans="1:23">
      <c r="A23" s="486" t="s">
        <v>32</v>
      </c>
      <c r="B23" s="468" t="s">
        <v>33</v>
      </c>
      <c r="C23" s="233" t="s">
        <v>34</v>
      </c>
      <c r="D23" s="476" t="s">
        <v>35</v>
      </c>
      <c r="E23" s="271"/>
      <c r="F23" s="271"/>
      <c r="G23" s="272">
        <v>440996.89</v>
      </c>
      <c r="H23" s="272">
        <f>G23</f>
        <v>440996.89</v>
      </c>
      <c r="I23" s="272">
        <f>H23+896</f>
        <v>441892.89</v>
      </c>
      <c r="J23" s="245">
        <v>443378.14</v>
      </c>
      <c r="K23" s="245">
        <f>J23</f>
        <v>443378.14</v>
      </c>
      <c r="L23" s="245">
        <v>444306.14</v>
      </c>
      <c r="M23" s="245">
        <v>445917.94</v>
      </c>
      <c r="N23" s="245">
        <v>445917.94</v>
      </c>
      <c r="O23" s="245">
        <v>446845.94</v>
      </c>
      <c r="P23" s="245">
        <f>O23</f>
        <v>446845.94</v>
      </c>
      <c r="Q23" s="245">
        <f>P23+919</f>
        <v>447764.94</v>
      </c>
      <c r="R23" s="245">
        <f>Q23+5968.13</f>
        <v>453733.07</v>
      </c>
      <c r="S23" s="245">
        <f>R23+1436</f>
        <v>455169.07</v>
      </c>
      <c r="T23" s="245">
        <f>S23+3867.05</f>
        <v>459036.12</v>
      </c>
      <c r="U23" s="245">
        <f>T23+1024</f>
        <v>460060.12</v>
      </c>
      <c r="V23" s="471">
        <f>U23</f>
        <v>460060.12</v>
      </c>
    </row>
    <row r="24" spans="1:23">
      <c r="A24" s="486"/>
      <c r="B24" s="468" t="s">
        <v>33</v>
      </c>
      <c r="C24" s="233" t="s">
        <v>30</v>
      </c>
      <c r="D24" s="489" t="s">
        <v>15</v>
      </c>
      <c r="E24" s="251">
        <v>43070</v>
      </c>
      <c r="F24" s="251" t="s">
        <v>16</v>
      </c>
      <c r="G24" s="252">
        <v>0</v>
      </c>
      <c r="H24" s="252">
        <v>0</v>
      </c>
      <c r="I24" s="252">
        <v>0</v>
      </c>
      <c r="J24" s="252">
        <v>0</v>
      </c>
      <c r="K24" s="252">
        <v>0</v>
      </c>
      <c r="L24" s="252">
        <v>0</v>
      </c>
      <c r="M24" s="252">
        <v>0</v>
      </c>
      <c r="N24" s="252">
        <v>0</v>
      </c>
      <c r="O24" s="252">
        <v>0</v>
      </c>
      <c r="P24" s="252">
        <v>0</v>
      </c>
      <c r="Q24" s="252">
        <v>0</v>
      </c>
      <c r="R24" s="252">
        <v>0</v>
      </c>
      <c r="S24" s="252">
        <v>0</v>
      </c>
      <c r="T24" s="252">
        <v>0</v>
      </c>
      <c r="U24" s="252">
        <v>0</v>
      </c>
      <c r="V24" s="490">
        <v>-440996.89</v>
      </c>
    </row>
    <row r="25" spans="1:23">
      <c r="A25" s="491"/>
      <c r="B25" s="492"/>
      <c r="C25" s="499" t="s">
        <v>36</v>
      </c>
      <c r="D25" s="500"/>
      <c r="E25" s="288"/>
      <c r="F25" s="288"/>
      <c r="G25" s="478">
        <f t="shared" ref="G25:V25" si="5">SUM(G23:G24)</f>
        <v>440996.89</v>
      </c>
      <c r="H25" s="478">
        <f t="shared" si="5"/>
        <v>440996.89</v>
      </c>
      <c r="I25" s="478">
        <f t="shared" si="5"/>
        <v>441892.89</v>
      </c>
      <c r="J25" s="478">
        <f t="shared" si="5"/>
        <v>443378.14</v>
      </c>
      <c r="K25" s="478">
        <f t="shared" si="5"/>
        <v>443378.14</v>
      </c>
      <c r="L25" s="478">
        <f t="shared" si="5"/>
        <v>444306.14</v>
      </c>
      <c r="M25" s="478">
        <f t="shared" si="5"/>
        <v>445917.94</v>
      </c>
      <c r="N25" s="478">
        <f t="shared" si="5"/>
        <v>445917.94</v>
      </c>
      <c r="O25" s="478">
        <f t="shared" si="5"/>
        <v>446845.94</v>
      </c>
      <c r="P25" s="478">
        <f t="shared" si="5"/>
        <v>446845.94</v>
      </c>
      <c r="Q25" s="478">
        <f t="shared" si="5"/>
        <v>447764.94</v>
      </c>
      <c r="R25" s="478">
        <f t="shared" si="5"/>
        <v>453733.07</v>
      </c>
      <c r="S25" s="478">
        <f t="shared" si="5"/>
        <v>455169.07</v>
      </c>
      <c r="T25" s="478">
        <f t="shared" si="5"/>
        <v>459036.12</v>
      </c>
      <c r="U25" s="478">
        <f t="shared" si="5"/>
        <v>460060.12</v>
      </c>
      <c r="V25" s="259">
        <f t="shared" si="5"/>
        <v>19063.229999999981</v>
      </c>
    </row>
    <row r="26" spans="1:23" s="50" customFormat="1" ht="11.25">
      <c r="A26" s="495"/>
      <c r="B26" s="496"/>
      <c r="C26" s="481"/>
      <c r="D26" s="497"/>
      <c r="E26" s="264"/>
      <c r="F26" s="264"/>
      <c r="G26" s="266"/>
      <c r="H26" s="266"/>
      <c r="I26" s="266"/>
      <c r="J26" s="265"/>
      <c r="K26" s="267"/>
      <c r="L26" s="267"/>
      <c r="M26" s="265"/>
      <c r="N26" s="267"/>
      <c r="O26" s="267"/>
      <c r="P26" s="265"/>
      <c r="Q26" s="267"/>
      <c r="R26" s="267"/>
      <c r="S26" s="265"/>
      <c r="T26" s="267"/>
      <c r="U26" s="267"/>
      <c r="V26" s="485"/>
    </row>
    <row r="27" spans="1:23">
      <c r="A27" s="486" t="s">
        <v>37</v>
      </c>
      <c r="B27" s="468" t="s">
        <v>38</v>
      </c>
      <c r="C27" s="233" t="s">
        <v>39</v>
      </c>
      <c r="D27" s="476" t="s">
        <v>40</v>
      </c>
      <c r="E27" s="271"/>
      <c r="F27" s="271"/>
      <c r="G27" s="272">
        <v>2254508.17</v>
      </c>
      <c r="H27" s="272">
        <f>G27</f>
        <v>2254508.17</v>
      </c>
      <c r="I27" s="272">
        <f>H27</f>
        <v>2254508.17</v>
      </c>
      <c r="J27" s="278">
        <v>2254508.17</v>
      </c>
      <c r="K27" s="278">
        <f>J27</f>
        <v>2254508.17</v>
      </c>
      <c r="L27" s="278">
        <f>K27</f>
        <v>2254508.17</v>
      </c>
      <c r="M27" s="278">
        <f>L27</f>
        <v>2254508.17</v>
      </c>
      <c r="N27" s="278">
        <f>M27</f>
        <v>2254508.17</v>
      </c>
      <c r="O27" s="278">
        <f t="shared" ref="O27:V27" si="6">N27</f>
        <v>2254508.17</v>
      </c>
      <c r="P27" s="278">
        <f t="shared" si="6"/>
        <v>2254508.17</v>
      </c>
      <c r="Q27" s="278">
        <f t="shared" si="6"/>
        <v>2254508.17</v>
      </c>
      <c r="R27" s="278">
        <f t="shared" si="6"/>
        <v>2254508.17</v>
      </c>
      <c r="S27" s="278">
        <f t="shared" si="6"/>
        <v>2254508.17</v>
      </c>
      <c r="T27" s="278">
        <f t="shared" si="6"/>
        <v>2254508.17</v>
      </c>
      <c r="U27" s="278">
        <f t="shared" si="6"/>
        <v>2254508.17</v>
      </c>
      <c r="V27" s="247">
        <f t="shared" si="6"/>
        <v>2254508.17</v>
      </c>
    </row>
    <row r="28" spans="1:23">
      <c r="A28" s="486"/>
      <c r="B28" s="468" t="s">
        <v>38</v>
      </c>
      <c r="C28" s="233" t="s">
        <v>30</v>
      </c>
      <c r="D28" s="489" t="s">
        <v>15</v>
      </c>
      <c r="E28" s="251">
        <v>43070</v>
      </c>
      <c r="F28" s="251" t="s">
        <v>16</v>
      </c>
      <c r="G28" s="252">
        <v>0</v>
      </c>
      <c r="H28" s="252">
        <v>0</v>
      </c>
      <c r="I28" s="252">
        <v>0</v>
      </c>
      <c r="J28" s="252">
        <v>0</v>
      </c>
      <c r="K28" s="252">
        <v>0</v>
      </c>
      <c r="L28" s="252">
        <v>0</v>
      </c>
      <c r="M28" s="252">
        <v>0</v>
      </c>
      <c r="N28" s="252">
        <v>0</v>
      </c>
      <c r="O28" s="252">
        <v>0</v>
      </c>
      <c r="P28" s="252">
        <v>0</v>
      </c>
      <c r="Q28" s="252">
        <v>0</v>
      </c>
      <c r="R28" s="252">
        <v>0</v>
      </c>
      <c r="S28" s="252">
        <v>0</v>
      </c>
      <c r="T28" s="252">
        <v>0</v>
      </c>
      <c r="U28" s="252">
        <v>0</v>
      </c>
      <c r="V28" s="490">
        <f>-2254508</f>
        <v>-2254508</v>
      </c>
    </row>
    <row r="29" spans="1:23">
      <c r="A29" s="491"/>
      <c r="B29" s="492"/>
      <c r="C29" s="499" t="s">
        <v>41</v>
      </c>
      <c r="D29" s="500"/>
      <c r="E29" s="288"/>
      <c r="F29" s="288"/>
      <c r="G29" s="478">
        <f t="shared" ref="G29:V29" si="7">SUM(G27:G28)</f>
        <v>2254508.17</v>
      </c>
      <c r="H29" s="478">
        <f t="shared" si="7"/>
        <v>2254508.17</v>
      </c>
      <c r="I29" s="478">
        <f t="shared" si="7"/>
        <v>2254508.17</v>
      </c>
      <c r="J29" s="478">
        <f t="shared" si="7"/>
        <v>2254508.17</v>
      </c>
      <c r="K29" s="478">
        <f t="shared" si="7"/>
        <v>2254508.17</v>
      </c>
      <c r="L29" s="478">
        <f t="shared" si="7"/>
        <v>2254508.17</v>
      </c>
      <c r="M29" s="478">
        <f t="shared" si="7"/>
        <v>2254508.17</v>
      </c>
      <c r="N29" s="478">
        <f t="shared" si="7"/>
        <v>2254508.17</v>
      </c>
      <c r="O29" s="478">
        <f t="shared" si="7"/>
        <v>2254508.17</v>
      </c>
      <c r="P29" s="478">
        <f t="shared" si="7"/>
        <v>2254508.17</v>
      </c>
      <c r="Q29" s="478">
        <f t="shared" si="7"/>
        <v>2254508.17</v>
      </c>
      <c r="R29" s="478">
        <f t="shared" si="7"/>
        <v>2254508.17</v>
      </c>
      <c r="S29" s="478">
        <f t="shared" si="7"/>
        <v>2254508.17</v>
      </c>
      <c r="T29" s="478">
        <f t="shared" si="7"/>
        <v>2254508.17</v>
      </c>
      <c r="U29" s="478">
        <f t="shared" si="7"/>
        <v>2254508.17</v>
      </c>
      <c r="V29" s="259">
        <f t="shared" si="7"/>
        <v>0.16999999992549419</v>
      </c>
    </row>
    <row r="30" spans="1:23" s="50" customFormat="1" ht="11.25">
      <c r="A30" s="495"/>
      <c r="B30" s="496"/>
      <c r="C30" s="481"/>
      <c r="D30" s="497"/>
      <c r="E30" s="264"/>
      <c r="F30" s="264"/>
      <c r="G30" s="266"/>
      <c r="H30" s="266"/>
      <c r="I30" s="266"/>
      <c r="J30" s="265"/>
      <c r="K30" s="267"/>
      <c r="L30" s="267"/>
      <c r="M30" s="265"/>
      <c r="N30" s="267"/>
      <c r="O30" s="267"/>
      <c r="P30" s="265"/>
      <c r="Q30" s="267"/>
      <c r="R30" s="267"/>
      <c r="S30" s="265"/>
      <c r="T30" s="267"/>
      <c r="U30" s="267"/>
      <c r="V30" s="501"/>
    </row>
    <row r="31" spans="1:23">
      <c r="A31" s="486" t="s">
        <v>42</v>
      </c>
      <c r="B31" s="468" t="s">
        <v>43</v>
      </c>
      <c r="C31" s="233" t="s">
        <v>44</v>
      </c>
      <c r="D31" s="565" t="s">
        <v>45</v>
      </c>
      <c r="E31" s="566"/>
      <c r="F31" s="271"/>
      <c r="G31" s="272">
        <v>2242411.06</v>
      </c>
      <c r="H31" s="272">
        <f>G31+3233</f>
        <v>2245644.06</v>
      </c>
      <c r="I31" s="272">
        <f>H31+138042.36</f>
        <v>2383686.42</v>
      </c>
      <c r="J31" s="278">
        <v>2276628.41</v>
      </c>
      <c r="K31" s="278">
        <f>J31+71087.66</f>
        <v>2347716.0700000003</v>
      </c>
      <c r="L31" s="278">
        <f>K31+5540.84</f>
        <v>2353256.91</v>
      </c>
      <c r="M31" s="278">
        <f>L31+260141.19</f>
        <v>2613398.1</v>
      </c>
      <c r="N31" s="278">
        <f>M31+8426.47</f>
        <v>2621824.5700000003</v>
      </c>
      <c r="O31" s="278">
        <f>N31+23288.75</f>
        <v>2645113.3200000003</v>
      </c>
      <c r="P31" s="278">
        <f>O31+77556.54</f>
        <v>2722669.8600000003</v>
      </c>
      <c r="Q31" s="278">
        <f>P31+50626.88</f>
        <v>2773296.74</v>
      </c>
      <c r="R31" s="278">
        <f>Q31+69375.59-36731</f>
        <v>2805941.33</v>
      </c>
      <c r="S31" s="278">
        <f>R31</f>
        <v>2805941.33</v>
      </c>
      <c r="T31" s="278">
        <f t="shared" ref="T31:U32" si="8">S31</f>
        <v>2805941.33</v>
      </c>
      <c r="U31" s="278">
        <f t="shared" si="8"/>
        <v>2805941.33</v>
      </c>
      <c r="V31" s="247">
        <f>U31+256932</f>
        <v>3062873.33</v>
      </c>
    </row>
    <row r="32" spans="1:23">
      <c r="A32" s="486"/>
      <c r="B32" s="502" t="s">
        <v>43</v>
      </c>
      <c r="C32" s="233" t="s">
        <v>46</v>
      </c>
      <c r="D32" s="565"/>
      <c r="E32" s="566"/>
      <c r="F32" s="271"/>
      <c r="G32" s="272">
        <v>-662553.87</v>
      </c>
      <c r="H32" s="272">
        <f>G32</f>
        <v>-662553.87</v>
      </c>
      <c r="I32" s="272">
        <f>H32</f>
        <v>-662553.87</v>
      </c>
      <c r="J32" s="278">
        <v>-662553.87</v>
      </c>
      <c r="K32" s="278">
        <f t="shared" ref="K32:R32" si="9">J32</f>
        <v>-662553.87</v>
      </c>
      <c r="L32" s="278">
        <f t="shared" si="9"/>
        <v>-662553.87</v>
      </c>
      <c r="M32" s="278">
        <f t="shared" si="9"/>
        <v>-662553.87</v>
      </c>
      <c r="N32" s="278">
        <f t="shared" si="9"/>
        <v>-662553.87</v>
      </c>
      <c r="O32" s="278">
        <f t="shared" si="9"/>
        <v>-662553.87</v>
      </c>
      <c r="P32" s="278">
        <f t="shared" si="9"/>
        <v>-662553.87</v>
      </c>
      <c r="Q32" s="278">
        <f t="shared" si="9"/>
        <v>-662553.87</v>
      </c>
      <c r="R32" s="278">
        <f t="shared" si="9"/>
        <v>-662553.87</v>
      </c>
      <c r="S32" s="278">
        <f>R32-3948</f>
        <v>-666501.87</v>
      </c>
      <c r="T32" s="278">
        <f t="shared" si="8"/>
        <v>-666501.87</v>
      </c>
      <c r="U32" s="278">
        <f t="shared" si="8"/>
        <v>-666501.87</v>
      </c>
      <c r="V32" s="247">
        <f>U32-5383.87</f>
        <v>-671885.74</v>
      </c>
      <c r="W32" s="62"/>
    </row>
    <row r="33" spans="1:23">
      <c r="A33" s="486"/>
      <c r="B33" s="468" t="s">
        <v>43</v>
      </c>
      <c r="C33" s="233" t="s">
        <v>30</v>
      </c>
      <c r="D33" s="489" t="s">
        <v>15</v>
      </c>
      <c r="E33" s="251">
        <v>43070</v>
      </c>
      <c r="F33" s="251" t="s">
        <v>16</v>
      </c>
      <c r="G33" s="252">
        <v>0</v>
      </c>
      <c r="H33" s="252">
        <v>0</v>
      </c>
      <c r="I33" s="252">
        <v>0</v>
      </c>
      <c r="J33" s="252">
        <v>0</v>
      </c>
      <c r="K33" s="252">
        <v>0</v>
      </c>
      <c r="L33" s="252">
        <v>0</v>
      </c>
      <c r="M33" s="252">
        <v>0</v>
      </c>
      <c r="N33" s="252">
        <v>0</v>
      </c>
      <c r="O33" s="252">
        <v>0</v>
      </c>
      <c r="P33" s="252">
        <v>0</v>
      </c>
      <c r="Q33" s="252">
        <v>0</v>
      </c>
      <c r="R33" s="252">
        <v>0</v>
      </c>
      <c r="S33" s="252">
        <v>0</v>
      </c>
      <c r="T33" s="252">
        <v>0</v>
      </c>
      <c r="U33" s="252">
        <v>0</v>
      </c>
      <c r="V33" s="490">
        <v>-1579857.19</v>
      </c>
      <c r="W33" s="63"/>
    </row>
    <row r="34" spans="1:23" s="2" customFormat="1">
      <c r="A34" s="491"/>
      <c r="B34" s="492"/>
      <c r="C34" s="499" t="s">
        <v>47</v>
      </c>
      <c r="D34" s="500"/>
      <c r="E34" s="288"/>
      <c r="F34" s="288"/>
      <c r="G34" s="478">
        <f t="shared" ref="G34:V34" si="10">SUM(G31:G33)</f>
        <v>1579857.19</v>
      </c>
      <c r="H34" s="478">
        <f t="shared" si="10"/>
        <v>1583090.19</v>
      </c>
      <c r="I34" s="478">
        <f t="shared" si="10"/>
        <v>1721132.5499999998</v>
      </c>
      <c r="J34" s="478">
        <f t="shared" si="10"/>
        <v>1614074.54</v>
      </c>
      <c r="K34" s="478">
        <f t="shared" si="10"/>
        <v>1685162.2000000002</v>
      </c>
      <c r="L34" s="478">
        <f t="shared" si="10"/>
        <v>1690703.04</v>
      </c>
      <c r="M34" s="478">
        <f t="shared" si="10"/>
        <v>1950844.23</v>
      </c>
      <c r="N34" s="478">
        <f t="shared" si="10"/>
        <v>1959270.7000000002</v>
      </c>
      <c r="O34" s="478">
        <f t="shared" si="10"/>
        <v>1982559.4500000002</v>
      </c>
      <c r="P34" s="478">
        <f t="shared" si="10"/>
        <v>2060115.9900000002</v>
      </c>
      <c r="Q34" s="478">
        <f t="shared" si="10"/>
        <v>2110742.87</v>
      </c>
      <c r="R34" s="478">
        <f t="shared" si="10"/>
        <v>2143387.46</v>
      </c>
      <c r="S34" s="478">
        <f t="shared" si="10"/>
        <v>2139439.46</v>
      </c>
      <c r="T34" s="478">
        <f t="shared" si="10"/>
        <v>2139439.46</v>
      </c>
      <c r="U34" s="478">
        <f t="shared" si="10"/>
        <v>2139439.46</v>
      </c>
      <c r="V34" s="259">
        <f t="shared" si="10"/>
        <v>811130.39999999991</v>
      </c>
    </row>
    <row r="35" spans="1:23" s="50" customFormat="1" ht="11.25">
      <c r="A35" s="495"/>
      <c r="B35" s="496"/>
      <c r="C35" s="481"/>
      <c r="D35" s="497"/>
      <c r="E35" s="264"/>
      <c r="F35" s="264"/>
      <c r="G35" s="266"/>
      <c r="H35" s="266"/>
      <c r="I35" s="266"/>
      <c r="J35" s="265"/>
      <c r="K35" s="267"/>
      <c r="L35" s="267"/>
      <c r="M35" s="265"/>
      <c r="N35" s="267"/>
      <c r="O35" s="267"/>
      <c r="P35" s="265"/>
      <c r="Q35" s="267"/>
      <c r="R35" s="267"/>
      <c r="S35" s="265"/>
      <c r="T35" s="267"/>
      <c r="U35" s="267"/>
      <c r="V35" s="485"/>
    </row>
    <row r="36" spans="1:23">
      <c r="A36" s="486" t="s">
        <v>48</v>
      </c>
      <c r="B36" s="468" t="s">
        <v>49</v>
      </c>
      <c r="C36" s="233" t="s">
        <v>50</v>
      </c>
      <c r="D36" s="503" t="s">
        <v>35</v>
      </c>
      <c r="E36" s="271"/>
      <c r="F36" s="271"/>
      <c r="G36" s="272">
        <v>659654.59</v>
      </c>
      <c r="H36" s="272">
        <f>G36</f>
        <v>659654.59</v>
      </c>
      <c r="I36" s="272">
        <f>H36</f>
        <v>659654.59</v>
      </c>
      <c r="J36" s="278">
        <v>669654.71</v>
      </c>
      <c r="K36" s="278">
        <f>J36</f>
        <v>669654.71</v>
      </c>
      <c r="L36" s="278">
        <f t="shared" ref="L36:V36" si="11">K36</f>
        <v>669654.71</v>
      </c>
      <c r="M36" s="278">
        <f t="shared" si="11"/>
        <v>669654.71</v>
      </c>
      <c r="N36" s="278">
        <f t="shared" si="11"/>
        <v>669654.71</v>
      </c>
      <c r="O36" s="278">
        <f t="shared" si="11"/>
        <v>669654.71</v>
      </c>
      <c r="P36" s="278">
        <f t="shared" si="11"/>
        <v>669654.71</v>
      </c>
      <c r="Q36" s="278">
        <f t="shared" si="11"/>
        <v>669654.71</v>
      </c>
      <c r="R36" s="278">
        <f t="shared" si="11"/>
        <v>669654.71</v>
      </c>
      <c r="S36" s="278">
        <f t="shared" si="11"/>
        <v>669654.71</v>
      </c>
      <c r="T36" s="278">
        <f t="shared" si="11"/>
        <v>669654.71</v>
      </c>
      <c r="U36" s="278">
        <f t="shared" si="11"/>
        <v>669654.71</v>
      </c>
      <c r="V36" s="247">
        <f t="shared" si="11"/>
        <v>669654.71</v>
      </c>
    </row>
    <row r="37" spans="1:23">
      <c r="A37" s="486"/>
      <c r="B37" s="468" t="s">
        <v>49</v>
      </c>
      <c r="C37" s="233" t="s">
        <v>30</v>
      </c>
      <c r="D37" s="503" t="s">
        <v>15</v>
      </c>
      <c r="E37" s="251">
        <v>43070</v>
      </c>
      <c r="F37" s="251" t="s">
        <v>16</v>
      </c>
      <c r="G37" s="252">
        <v>0</v>
      </c>
      <c r="H37" s="252">
        <v>0</v>
      </c>
      <c r="I37" s="252">
        <v>0</v>
      </c>
      <c r="J37" s="252">
        <v>0</v>
      </c>
      <c r="K37" s="252">
        <v>0</v>
      </c>
      <c r="L37" s="252">
        <v>0</v>
      </c>
      <c r="M37" s="252">
        <v>0</v>
      </c>
      <c r="N37" s="252">
        <v>0</v>
      </c>
      <c r="O37" s="252">
        <v>0</v>
      </c>
      <c r="P37" s="252">
        <v>0</v>
      </c>
      <c r="Q37" s="252">
        <v>0</v>
      </c>
      <c r="R37" s="252">
        <v>0</v>
      </c>
      <c r="S37" s="252">
        <v>0</v>
      </c>
      <c r="T37" s="252">
        <v>0</v>
      </c>
      <c r="U37" s="252">
        <v>0</v>
      </c>
      <c r="V37" s="490">
        <f>-659655</f>
        <v>-659655</v>
      </c>
    </row>
    <row r="38" spans="1:23">
      <c r="A38" s="491"/>
      <c r="B38" s="492"/>
      <c r="C38" s="499" t="s">
        <v>51</v>
      </c>
      <c r="D38" s="500"/>
      <c r="E38" s="288"/>
      <c r="F38" s="288"/>
      <c r="G38" s="478">
        <f t="shared" ref="G38:V38" si="12">SUM(G36:G37)</f>
        <v>659654.59</v>
      </c>
      <c r="H38" s="478">
        <f t="shared" si="12"/>
        <v>659654.59</v>
      </c>
      <c r="I38" s="478">
        <f t="shared" si="12"/>
        <v>659654.59</v>
      </c>
      <c r="J38" s="478">
        <f t="shared" si="12"/>
        <v>669654.71</v>
      </c>
      <c r="K38" s="478">
        <f t="shared" si="12"/>
        <v>669654.71</v>
      </c>
      <c r="L38" s="478">
        <f t="shared" si="12"/>
        <v>669654.71</v>
      </c>
      <c r="M38" s="478">
        <f t="shared" si="12"/>
        <v>669654.71</v>
      </c>
      <c r="N38" s="478">
        <f t="shared" si="12"/>
        <v>669654.71</v>
      </c>
      <c r="O38" s="478">
        <f t="shared" si="12"/>
        <v>669654.71</v>
      </c>
      <c r="P38" s="478">
        <f t="shared" si="12"/>
        <v>669654.71</v>
      </c>
      <c r="Q38" s="478">
        <f t="shared" si="12"/>
        <v>669654.71</v>
      </c>
      <c r="R38" s="478">
        <f t="shared" si="12"/>
        <v>669654.71</v>
      </c>
      <c r="S38" s="478">
        <f t="shared" si="12"/>
        <v>669654.71</v>
      </c>
      <c r="T38" s="478">
        <f t="shared" si="12"/>
        <v>669654.71</v>
      </c>
      <c r="U38" s="478">
        <f t="shared" si="12"/>
        <v>669654.71</v>
      </c>
      <c r="V38" s="259">
        <f t="shared" si="12"/>
        <v>9999.7099999999627</v>
      </c>
    </row>
    <row r="39" spans="1:23" s="50" customFormat="1" ht="11.25">
      <c r="A39" s="495"/>
      <c r="B39" s="496"/>
      <c r="C39" s="481"/>
      <c r="D39" s="497"/>
      <c r="E39" s="264"/>
      <c r="F39" s="264"/>
      <c r="G39" s="266"/>
      <c r="H39" s="266"/>
      <c r="I39" s="266"/>
      <c r="J39" s="265"/>
      <c r="K39" s="267"/>
      <c r="L39" s="267"/>
      <c r="M39" s="265"/>
      <c r="N39" s="267"/>
      <c r="O39" s="267"/>
      <c r="P39" s="265"/>
      <c r="Q39" s="267"/>
      <c r="R39" s="267"/>
      <c r="S39" s="265"/>
      <c r="T39" s="267"/>
      <c r="U39" s="267"/>
      <c r="V39" s="485"/>
    </row>
    <row r="40" spans="1:23" ht="60">
      <c r="A40" s="486" t="s">
        <v>52</v>
      </c>
      <c r="B40" s="468" t="s">
        <v>53</v>
      </c>
      <c r="C40" s="233" t="s">
        <v>54</v>
      </c>
      <c r="D40" s="452" t="s">
        <v>375</v>
      </c>
      <c r="E40" s="271"/>
      <c r="F40" s="271"/>
      <c r="G40" s="272">
        <v>224879.76</v>
      </c>
      <c r="H40" s="272">
        <f>G40</f>
        <v>224879.76</v>
      </c>
      <c r="I40" s="272">
        <f>H40</f>
        <v>224879.76</v>
      </c>
      <c r="J40" s="278">
        <v>224879.76</v>
      </c>
      <c r="K40" s="278">
        <f>J40</f>
        <v>224879.76</v>
      </c>
      <c r="L40" s="278">
        <f t="shared" ref="L40:V40" si="13">K40</f>
        <v>224879.76</v>
      </c>
      <c r="M40" s="278">
        <f t="shared" si="13"/>
        <v>224879.76</v>
      </c>
      <c r="N40" s="278">
        <f t="shared" si="13"/>
        <v>224879.76</v>
      </c>
      <c r="O40" s="278">
        <f t="shared" si="13"/>
        <v>224879.76</v>
      </c>
      <c r="P40" s="278">
        <f t="shared" si="13"/>
        <v>224879.76</v>
      </c>
      <c r="Q40" s="278">
        <f>P40+1543.55</f>
        <v>226423.31</v>
      </c>
      <c r="R40" s="278">
        <f t="shared" si="13"/>
        <v>226423.31</v>
      </c>
      <c r="S40" s="278">
        <f t="shared" si="13"/>
        <v>226423.31</v>
      </c>
      <c r="T40" s="278">
        <f t="shared" si="13"/>
        <v>226423.31</v>
      </c>
      <c r="U40" s="278">
        <f t="shared" si="13"/>
        <v>226423.31</v>
      </c>
      <c r="V40" s="247">
        <f t="shared" si="13"/>
        <v>226423.31</v>
      </c>
    </row>
    <row r="41" spans="1:23">
      <c r="A41" s="486"/>
      <c r="B41" s="468" t="s">
        <v>53</v>
      </c>
      <c r="C41" s="233" t="s">
        <v>30</v>
      </c>
      <c r="D41" s="489" t="s">
        <v>15</v>
      </c>
      <c r="E41" s="251">
        <v>43070</v>
      </c>
      <c r="F41" s="251" t="s">
        <v>16</v>
      </c>
      <c r="G41" s="252">
        <v>0</v>
      </c>
      <c r="H41" s="252">
        <v>0</v>
      </c>
      <c r="I41" s="252">
        <v>0</v>
      </c>
      <c r="J41" s="252">
        <v>0</v>
      </c>
      <c r="K41" s="252">
        <v>0</v>
      </c>
      <c r="L41" s="252">
        <v>0</v>
      </c>
      <c r="M41" s="252">
        <v>0</v>
      </c>
      <c r="N41" s="252">
        <v>0</v>
      </c>
      <c r="O41" s="252">
        <v>0</v>
      </c>
      <c r="P41" s="252">
        <v>0</v>
      </c>
      <c r="Q41" s="252">
        <v>0</v>
      </c>
      <c r="R41" s="252">
        <v>0</v>
      </c>
      <c r="S41" s="252">
        <v>0</v>
      </c>
      <c r="T41" s="252">
        <v>0</v>
      </c>
      <c r="U41" s="252">
        <v>0</v>
      </c>
      <c r="V41" s="490">
        <f>-224880</f>
        <v>-224880</v>
      </c>
    </row>
    <row r="42" spans="1:23">
      <c r="A42" s="491"/>
      <c r="B42" s="492"/>
      <c r="C42" s="499" t="s">
        <v>56</v>
      </c>
      <c r="D42" s="500"/>
      <c r="E42" s="288"/>
      <c r="F42" s="288"/>
      <c r="G42" s="478">
        <f t="shared" ref="G42:V42" si="14">SUM(G40:G41)</f>
        <v>224879.76</v>
      </c>
      <c r="H42" s="478">
        <f t="shared" si="14"/>
        <v>224879.76</v>
      </c>
      <c r="I42" s="478">
        <f t="shared" si="14"/>
        <v>224879.76</v>
      </c>
      <c r="J42" s="478">
        <f t="shared" si="14"/>
        <v>224879.76</v>
      </c>
      <c r="K42" s="478">
        <f t="shared" si="14"/>
        <v>224879.76</v>
      </c>
      <c r="L42" s="478">
        <f t="shared" si="14"/>
        <v>224879.76</v>
      </c>
      <c r="M42" s="478">
        <f t="shared" si="14"/>
        <v>224879.76</v>
      </c>
      <c r="N42" s="478">
        <f t="shared" si="14"/>
        <v>224879.76</v>
      </c>
      <c r="O42" s="478">
        <f t="shared" si="14"/>
        <v>224879.76</v>
      </c>
      <c r="P42" s="478">
        <f t="shared" si="14"/>
        <v>224879.76</v>
      </c>
      <c r="Q42" s="478">
        <f t="shared" si="14"/>
        <v>226423.31</v>
      </c>
      <c r="R42" s="478">
        <f t="shared" si="14"/>
        <v>226423.31</v>
      </c>
      <c r="S42" s="478">
        <f t="shared" si="14"/>
        <v>226423.31</v>
      </c>
      <c r="T42" s="478">
        <f t="shared" si="14"/>
        <v>226423.31</v>
      </c>
      <c r="U42" s="478">
        <f t="shared" si="14"/>
        <v>226423.31</v>
      </c>
      <c r="V42" s="259">
        <f t="shared" si="14"/>
        <v>1543.3099999999977</v>
      </c>
    </row>
    <row r="43" spans="1:23" s="50" customFormat="1" ht="11.25">
      <c r="A43" s="495"/>
      <c r="B43" s="496"/>
      <c r="C43" s="481"/>
      <c r="D43" s="497"/>
      <c r="E43" s="264"/>
      <c r="F43" s="264"/>
      <c r="G43" s="266"/>
      <c r="H43" s="266"/>
      <c r="I43" s="266"/>
      <c r="J43" s="265"/>
      <c r="K43" s="267"/>
      <c r="L43" s="267"/>
      <c r="M43" s="265"/>
      <c r="N43" s="267"/>
      <c r="O43" s="267"/>
      <c r="P43" s="265"/>
      <c r="Q43" s="267"/>
      <c r="R43" s="267"/>
      <c r="S43" s="268"/>
      <c r="T43" s="267"/>
      <c r="U43" s="267"/>
      <c r="V43" s="485"/>
    </row>
    <row r="44" spans="1:23" ht="60">
      <c r="A44" s="486">
        <v>18601130</v>
      </c>
      <c r="B44" s="468" t="s">
        <v>57</v>
      </c>
      <c r="C44" s="233" t="s">
        <v>58</v>
      </c>
      <c r="D44" s="452" t="s">
        <v>55</v>
      </c>
      <c r="E44" s="271"/>
      <c r="F44" s="271"/>
      <c r="G44" s="272">
        <v>400495.47</v>
      </c>
      <c r="H44" s="272">
        <f>G44</f>
        <v>400495.47</v>
      </c>
      <c r="I44" s="272">
        <f>H44</f>
        <v>400495.47</v>
      </c>
      <c r="J44" s="245">
        <v>400495.47</v>
      </c>
      <c r="K44" s="245">
        <f>J44</f>
        <v>400495.47</v>
      </c>
      <c r="L44" s="245">
        <f t="shared" ref="L44:V45" si="15">K44</f>
        <v>400495.47</v>
      </c>
      <c r="M44" s="245">
        <f t="shared" si="15"/>
        <v>400495.47</v>
      </c>
      <c r="N44" s="245">
        <f t="shared" si="15"/>
        <v>400495.47</v>
      </c>
      <c r="O44" s="245">
        <f t="shared" si="15"/>
        <v>400495.47</v>
      </c>
      <c r="P44" s="245">
        <f t="shared" si="15"/>
        <v>400495.47</v>
      </c>
      <c r="Q44" s="245">
        <f t="shared" si="15"/>
        <v>400495.47</v>
      </c>
      <c r="R44" s="245">
        <f t="shared" si="15"/>
        <v>400495.47</v>
      </c>
      <c r="S44" s="245">
        <f t="shared" si="15"/>
        <v>400495.47</v>
      </c>
      <c r="T44" s="245">
        <f t="shared" si="15"/>
        <v>400495.47</v>
      </c>
      <c r="U44" s="245">
        <f t="shared" si="15"/>
        <v>400495.47</v>
      </c>
      <c r="V44" s="471">
        <f t="shared" si="15"/>
        <v>400495.47</v>
      </c>
      <c r="W44" s="2"/>
    </row>
    <row r="45" spans="1:23">
      <c r="A45" s="486"/>
      <c r="B45" s="468" t="s">
        <v>57</v>
      </c>
      <c r="C45" s="249" t="s">
        <v>30</v>
      </c>
      <c r="D45" s="473" t="s">
        <v>15</v>
      </c>
      <c r="E45" s="251">
        <v>43070</v>
      </c>
      <c r="F45" s="251" t="s">
        <v>16</v>
      </c>
      <c r="G45" s="253">
        <v>0</v>
      </c>
      <c r="H45" s="253">
        <v>0</v>
      </c>
      <c r="I45" s="253">
        <v>0</v>
      </c>
      <c r="J45" s="253">
        <v>0</v>
      </c>
      <c r="K45" s="253">
        <v>0</v>
      </c>
      <c r="L45" s="253">
        <f t="shared" si="15"/>
        <v>0</v>
      </c>
      <c r="M45" s="253">
        <f t="shared" si="15"/>
        <v>0</v>
      </c>
      <c r="N45" s="253">
        <f t="shared" si="15"/>
        <v>0</v>
      </c>
      <c r="O45" s="253">
        <f t="shared" si="15"/>
        <v>0</v>
      </c>
      <c r="P45" s="253">
        <f t="shared" si="15"/>
        <v>0</v>
      </c>
      <c r="Q45" s="253">
        <f t="shared" si="15"/>
        <v>0</v>
      </c>
      <c r="R45" s="253">
        <f t="shared" si="15"/>
        <v>0</v>
      </c>
      <c r="S45" s="253">
        <f t="shared" si="15"/>
        <v>0</v>
      </c>
      <c r="T45" s="253">
        <f t="shared" si="15"/>
        <v>0</v>
      </c>
      <c r="U45" s="253">
        <f t="shared" si="15"/>
        <v>0</v>
      </c>
      <c r="V45" s="474">
        <v>-400495</v>
      </c>
      <c r="W45" s="2"/>
    </row>
    <row r="46" spans="1:23">
      <c r="A46" s="486"/>
      <c r="B46" s="468"/>
      <c r="C46" s="255" t="s">
        <v>59</v>
      </c>
      <c r="D46" s="256"/>
      <c r="E46" s="257"/>
      <c r="F46" s="288"/>
      <c r="G46" s="478">
        <f t="shared" ref="G46:V46" si="16">SUM(G44:G45)</f>
        <v>400495.47</v>
      </c>
      <c r="H46" s="478">
        <f t="shared" si="16"/>
        <v>400495.47</v>
      </c>
      <c r="I46" s="478">
        <f t="shared" si="16"/>
        <v>400495.47</v>
      </c>
      <c r="J46" s="478">
        <f t="shared" si="16"/>
        <v>400495.47</v>
      </c>
      <c r="K46" s="478">
        <f t="shared" si="16"/>
        <v>400495.47</v>
      </c>
      <c r="L46" s="478">
        <f t="shared" si="16"/>
        <v>400495.47</v>
      </c>
      <c r="M46" s="478">
        <f t="shared" si="16"/>
        <v>400495.47</v>
      </c>
      <c r="N46" s="478">
        <f t="shared" si="16"/>
        <v>400495.47</v>
      </c>
      <c r="O46" s="478">
        <f t="shared" si="16"/>
        <v>400495.47</v>
      </c>
      <c r="P46" s="478">
        <f t="shared" si="16"/>
        <v>400495.47</v>
      </c>
      <c r="Q46" s="478">
        <f t="shared" si="16"/>
        <v>400495.47</v>
      </c>
      <c r="R46" s="478">
        <f t="shared" si="16"/>
        <v>400495.47</v>
      </c>
      <c r="S46" s="478">
        <f t="shared" si="16"/>
        <v>400495.47</v>
      </c>
      <c r="T46" s="478">
        <f t="shared" si="16"/>
        <v>400495.47</v>
      </c>
      <c r="U46" s="478">
        <f t="shared" si="16"/>
        <v>400495.47</v>
      </c>
      <c r="V46" s="259">
        <f t="shared" si="16"/>
        <v>0.46999999997206032</v>
      </c>
      <c r="W46" s="2"/>
    </row>
    <row r="47" spans="1:23" s="50" customFormat="1" ht="11.25">
      <c r="A47" s="495"/>
      <c r="B47" s="496"/>
      <c r="C47" s="481"/>
      <c r="D47" s="497"/>
      <c r="E47" s="273"/>
      <c r="F47" s="273"/>
      <c r="G47" s="275"/>
      <c r="H47" s="275"/>
      <c r="I47" s="275"/>
      <c r="J47" s="265"/>
      <c r="K47" s="267"/>
      <c r="L47" s="267"/>
      <c r="M47" s="265"/>
      <c r="N47" s="267"/>
      <c r="O47" s="267"/>
      <c r="P47" s="265"/>
      <c r="Q47" s="267"/>
      <c r="R47" s="267"/>
      <c r="S47" s="265"/>
      <c r="T47" s="267"/>
      <c r="U47" s="267"/>
      <c r="V47" s="485"/>
      <c r="W47" s="123"/>
    </row>
    <row r="48" spans="1:23" ht="41.45" customHeight="1">
      <c r="A48" s="486" t="s">
        <v>60</v>
      </c>
      <c r="B48" s="468" t="s">
        <v>61</v>
      </c>
      <c r="C48" s="233" t="s">
        <v>62</v>
      </c>
      <c r="D48" s="561" t="s">
        <v>55</v>
      </c>
      <c r="E48" s="563"/>
      <c r="F48" s="454"/>
      <c r="G48" s="246">
        <v>231698.24000000005</v>
      </c>
      <c r="H48" s="246">
        <f>G48</f>
        <v>231698.24000000005</v>
      </c>
      <c r="I48" s="246">
        <f>H48</f>
        <v>231698.24000000005</v>
      </c>
      <c r="J48" s="245">
        <v>231698.24000000005</v>
      </c>
      <c r="K48" s="245">
        <f>J48</f>
        <v>231698.24000000005</v>
      </c>
      <c r="L48" s="245">
        <f t="shared" ref="L48:V49" si="17">K48</f>
        <v>231698.24000000005</v>
      </c>
      <c r="M48" s="245">
        <f t="shared" si="17"/>
        <v>231698.24000000005</v>
      </c>
      <c r="N48" s="245">
        <f t="shared" si="17"/>
        <v>231698.24000000005</v>
      </c>
      <c r="O48" s="245">
        <f t="shared" si="17"/>
        <v>231698.24000000005</v>
      </c>
      <c r="P48" s="245">
        <f t="shared" si="17"/>
        <v>231698.24000000005</v>
      </c>
      <c r="Q48" s="245">
        <f t="shared" si="17"/>
        <v>231698.24000000005</v>
      </c>
      <c r="R48" s="245">
        <f>Q48+44269.09</f>
        <v>275967.33000000007</v>
      </c>
      <c r="S48" s="245">
        <f>R48+20967.05</f>
        <v>296934.38000000006</v>
      </c>
      <c r="T48" s="245">
        <f>S48+2305.82</f>
        <v>299240.20000000007</v>
      </c>
      <c r="U48" s="245">
        <f>T48</f>
        <v>299240.20000000007</v>
      </c>
      <c r="V48" s="471">
        <f>U48+1700000</f>
        <v>1999240.2000000002</v>
      </c>
      <c r="W48" s="2"/>
    </row>
    <row r="49" spans="1:24" ht="19.149999999999999" customHeight="1">
      <c r="A49" s="486" t="s">
        <v>63</v>
      </c>
      <c r="B49" s="468" t="s">
        <v>64</v>
      </c>
      <c r="C49" s="233" t="s">
        <v>65</v>
      </c>
      <c r="D49" s="562"/>
      <c r="E49" s="564"/>
      <c r="F49" s="455"/>
      <c r="G49" s="245">
        <v>0</v>
      </c>
      <c r="H49" s="245">
        <v>0</v>
      </c>
      <c r="I49" s="245">
        <v>0</v>
      </c>
      <c r="J49" s="245">
        <v>0</v>
      </c>
      <c r="K49" s="504">
        <v>0</v>
      </c>
      <c r="L49" s="504">
        <v>0</v>
      </c>
      <c r="M49" s="245">
        <v>-105008.2</v>
      </c>
      <c r="N49" s="245">
        <f>M49</f>
        <v>-105008.2</v>
      </c>
      <c r="O49" s="245">
        <f t="shared" si="17"/>
        <v>-105008.2</v>
      </c>
      <c r="P49" s="245">
        <f t="shared" si="17"/>
        <v>-105008.2</v>
      </c>
      <c r="Q49" s="245">
        <f t="shared" si="17"/>
        <v>-105008.2</v>
      </c>
      <c r="R49" s="245">
        <f t="shared" si="17"/>
        <v>-105008.2</v>
      </c>
      <c r="S49" s="245">
        <f t="shared" si="17"/>
        <v>-105008.2</v>
      </c>
      <c r="T49" s="245">
        <f t="shared" si="17"/>
        <v>-105008.2</v>
      </c>
      <c r="U49" s="245">
        <f t="shared" si="17"/>
        <v>-105008.2</v>
      </c>
      <c r="V49" s="471">
        <f t="shared" si="17"/>
        <v>-105008.2</v>
      </c>
      <c r="W49" s="2"/>
    </row>
    <row r="50" spans="1:24">
      <c r="A50" s="467"/>
      <c r="B50" s="468" t="s">
        <v>61</v>
      </c>
      <c r="C50" s="249" t="s">
        <v>30</v>
      </c>
      <c r="D50" s="473" t="s">
        <v>15</v>
      </c>
      <c r="E50" s="251">
        <v>43070</v>
      </c>
      <c r="F50" s="251" t="s">
        <v>16</v>
      </c>
      <c r="G50" s="252">
        <v>0</v>
      </c>
      <c r="H50" s="252">
        <v>0</v>
      </c>
      <c r="I50" s="252">
        <v>0</v>
      </c>
      <c r="J50" s="252">
        <v>0</v>
      </c>
      <c r="K50" s="253">
        <v>0</v>
      </c>
      <c r="L50" s="253">
        <f t="shared" ref="L50:U50" si="18">K50</f>
        <v>0</v>
      </c>
      <c r="M50" s="253">
        <f t="shared" si="18"/>
        <v>0</v>
      </c>
      <c r="N50" s="253">
        <f t="shared" si="18"/>
        <v>0</v>
      </c>
      <c r="O50" s="253">
        <f t="shared" si="18"/>
        <v>0</v>
      </c>
      <c r="P50" s="253">
        <f t="shared" si="18"/>
        <v>0</v>
      </c>
      <c r="Q50" s="253">
        <f t="shared" si="18"/>
        <v>0</v>
      </c>
      <c r="R50" s="253">
        <f t="shared" si="18"/>
        <v>0</v>
      </c>
      <c r="S50" s="253">
        <f t="shared" si="18"/>
        <v>0</v>
      </c>
      <c r="T50" s="253">
        <f t="shared" si="18"/>
        <v>0</v>
      </c>
      <c r="U50" s="253">
        <f t="shared" si="18"/>
        <v>0</v>
      </c>
      <c r="V50" s="474">
        <v>-231698</v>
      </c>
      <c r="W50" s="2"/>
    </row>
    <row r="51" spans="1:24">
      <c r="A51" s="486"/>
      <c r="B51" s="468"/>
      <c r="C51" s="255" t="s">
        <v>66</v>
      </c>
      <c r="D51" s="256"/>
      <c r="E51" s="257"/>
      <c r="F51" s="257"/>
      <c r="G51" s="258">
        <f t="shared" ref="G51:U51" si="19">SUM(G48:G50)</f>
        <v>231698.24000000005</v>
      </c>
      <c r="H51" s="258">
        <f t="shared" si="19"/>
        <v>231698.24000000005</v>
      </c>
      <c r="I51" s="258">
        <f t="shared" si="19"/>
        <v>231698.24000000005</v>
      </c>
      <c r="J51" s="258">
        <f t="shared" si="19"/>
        <v>231698.24000000005</v>
      </c>
      <c r="K51" s="258">
        <f t="shared" si="19"/>
        <v>231698.24000000005</v>
      </c>
      <c r="L51" s="258">
        <f t="shared" si="19"/>
        <v>231698.24000000005</v>
      </c>
      <c r="M51" s="258">
        <f t="shared" si="19"/>
        <v>126690.04000000005</v>
      </c>
      <c r="N51" s="258">
        <f t="shared" si="19"/>
        <v>126690.04000000005</v>
      </c>
      <c r="O51" s="258">
        <f t="shared" si="19"/>
        <v>126690.04000000005</v>
      </c>
      <c r="P51" s="258">
        <f t="shared" si="19"/>
        <v>126690.04000000005</v>
      </c>
      <c r="Q51" s="258">
        <f t="shared" si="19"/>
        <v>126690.04000000005</v>
      </c>
      <c r="R51" s="258">
        <f t="shared" si="19"/>
        <v>170959.13000000006</v>
      </c>
      <c r="S51" s="258">
        <f t="shared" si="19"/>
        <v>191926.18000000005</v>
      </c>
      <c r="T51" s="258">
        <f t="shared" si="19"/>
        <v>194232.00000000006</v>
      </c>
      <c r="U51" s="258">
        <f t="shared" si="19"/>
        <v>194232.00000000006</v>
      </c>
      <c r="V51" s="498">
        <f>SUM(V48:V50)</f>
        <v>1662534.0000000002</v>
      </c>
      <c r="W51" s="2"/>
    </row>
    <row r="52" spans="1:24" s="50" customFormat="1" ht="11.25">
      <c r="A52" s="495"/>
      <c r="B52" s="496"/>
      <c r="C52" s="481"/>
      <c r="D52" s="497"/>
      <c r="E52" s="264"/>
      <c r="F52" s="264"/>
      <c r="G52" s="266"/>
      <c r="H52" s="266"/>
      <c r="I52" s="266"/>
      <c r="J52" s="265"/>
      <c r="K52" s="267"/>
      <c r="L52" s="267"/>
      <c r="M52" s="265"/>
      <c r="N52" s="267"/>
      <c r="O52" s="267"/>
      <c r="P52" s="265"/>
      <c r="Q52" s="267"/>
      <c r="R52" s="267"/>
      <c r="S52" s="268"/>
      <c r="T52" s="267"/>
      <c r="U52" s="267"/>
      <c r="V52" s="485"/>
      <c r="W52" s="123"/>
    </row>
    <row r="53" spans="1:24">
      <c r="A53" s="486" t="s">
        <v>67</v>
      </c>
      <c r="B53" s="468" t="s">
        <v>68</v>
      </c>
      <c r="C53" s="233" t="s">
        <v>69</v>
      </c>
      <c r="D53" s="270" t="s">
        <v>29</v>
      </c>
      <c r="E53" s="271"/>
      <c r="F53" s="271"/>
      <c r="G53" s="272">
        <v>695.75</v>
      </c>
      <c r="H53" s="272">
        <f>G53</f>
        <v>695.75</v>
      </c>
      <c r="I53" s="505"/>
      <c r="J53" s="245">
        <v>695.75</v>
      </c>
      <c r="K53" s="245">
        <f>J53</f>
        <v>695.75</v>
      </c>
      <c r="L53" s="245">
        <f>K53</f>
        <v>695.75</v>
      </c>
      <c r="M53" s="245">
        <f t="shared" ref="M53:V54" si="20">L53</f>
        <v>695.75</v>
      </c>
      <c r="N53" s="245">
        <f t="shared" si="20"/>
        <v>695.75</v>
      </c>
      <c r="O53" s="245">
        <f t="shared" si="20"/>
        <v>695.75</v>
      </c>
      <c r="P53" s="245">
        <f t="shared" si="20"/>
        <v>695.75</v>
      </c>
      <c r="Q53" s="245">
        <f t="shared" si="20"/>
        <v>695.75</v>
      </c>
      <c r="R53" s="245">
        <f t="shared" si="20"/>
        <v>695.75</v>
      </c>
      <c r="S53" s="245">
        <f t="shared" si="20"/>
        <v>695.75</v>
      </c>
      <c r="T53" s="245">
        <f t="shared" si="20"/>
        <v>695.75</v>
      </c>
      <c r="U53" s="245">
        <f t="shared" si="20"/>
        <v>695.75</v>
      </c>
      <c r="V53" s="471">
        <f t="shared" si="20"/>
        <v>695.75</v>
      </c>
      <c r="W53" s="2"/>
    </row>
    <row r="54" spans="1:24">
      <c r="A54" s="486"/>
      <c r="B54" s="468"/>
      <c r="C54" s="249" t="s">
        <v>30</v>
      </c>
      <c r="D54" s="473" t="s">
        <v>15</v>
      </c>
      <c r="E54" s="251">
        <v>43070</v>
      </c>
      <c r="F54" s="251" t="s">
        <v>16</v>
      </c>
      <c r="G54" s="252">
        <v>0</v>
      </c>
      <c r="H54" s="252">
        <v>0</v>
      </c>
      <c r="I54" s="252">
        <v>0</v>
      </c>
      <c r="J54" s="252">
        <v>0</v>
      </c>
      <c r="K54" s="253">
        <v>0</v>
      </c>
      <c r="L54" s="253">
        <f t="shared" ref="L54" si="21">K54</f>
        <v>0</v>
      </c>
      <c r="M54" s="253">
        <f t="shared" si="20"/>
        <v>0</v>
      </c>
      <c r="N54" s="253">
        <f t="shared" si="20"/>
        <v>0</v>
      </c>
      <c r="O54" s="253">
        <f t="shared" si="20"/>
        <v>0</v>
      </c>
      <c r="P54" s="253">
        <f t="shared" si="20"/>
        <v>0</v>
      </c>
      <c r="Q54" s="253">
        <f t="shared" si="20"/>
        <v>0</v>
      </c>
      <c r="R54" s="253">
        <f t="shared" si="20"/>
        <v>0</v>
      </c>
      <c r="S54" s="253">
        <f t="shared" si="20"/>
        <v>0</v>
      </c>
      <c r="T54" s="253">
        <f t="shared" si="20"/>
        <v>0</v>
      </c>
      <c r="U54" s="253">
        <f t="shared" si="20"/>
        <v>0</v>
      </c>
      <c r="V54" s="474">
        <f>-695.75</f>
        <v>-695.75</v>
      </c>
      <c r="W54" s="2"/>
    </row>
    <row r="55" spans="1:24">
      <c r="A55" s="486"/>
      <c r="B55" s="468"/>
      <c r="C55" s="255" t="s">
        <v>70</v>
      </c>
      <c r="D55" s="256"/>
      <c r="E55" s="257"/>
      <c r="F55" s="257"/>
      <c r="G55" s="258">
        <f t="shared" ref="G55:V55" si="22">SUM(G53:G54)</f>
        <v>695.75</v>
      </c>
      <c r="H55" s="258">
        <f t="shared" si="22"/>
        <v>695.75</v>
      </c>
      <c r="I55" s="258">
        <f t="shared" si="22"/>
        <v>0</v>
      </c>
      <c r="J55" s="258">
        <f t="shared" si="22"/>
        <v>695.75</v>
      </c>
      <c r="K55" s="258">
        <f t="shared" si="22"/>
        <v>695.75</v>
      </c>
      <c r="L55" s="258">
        <f t="shared" si="22"/>
        <v>695.75</v>
      </c>
      <c r="M55" s="258">
        <f t="shared" si="22"/>
        <v>695.75</v>
      </c>
      <c r="N55" s="258">
        <f t="shared" si="22"/>
        <v>695.75</v>
      </c>
      <c r="O55" s="258">
        <f t="shared" si="22"/>
        <v>695.75</v>
      </c>
      <c r="P55" s="258">
        <f t="shared" si="22"/>
        <v>695.75</v>
      </c>
      <c r="Q55" s="258">
        <f t="shared" si="22"/>
        <v>695.75</v>
      </c>
      <c r="R55" s="258">
        <f t="shared" si="22"/>
        <v>695.75</v>
      </c>
      <c r="S55" s="258">
        <f t="shared" si="22"/>
        <v>695.75</v>
      </c>
      <c r="T55" s="258">
        <f t="shared" si="22"/>
        <v>695.75</v>
      </c>
      <c r="U55" s="258">
        <f t="shared" si="22"/>
        <v>695.75</v>
      </c>
      <c r="V55" s="498">
        <f t="shared" si="22"/>
        <v>0</v>
      </c>
      <c r="W55" s="2"/>
    </row>
    <row r="56" spans="1:24" s="50" customFormat="1" ht="11.25">
      <c r="A56" s="495"/>
      <c r="B56" s="496"/>
      <c r="C56" s="481"/>
      <c r="D56" s="497"/>
      <c r="E56" s="273"/>
      <c r="F56" s="273"/>
      <c r="G56" s="275"/>
      <c r="H56" s="275"/>
      <c r="I56" s="275"/>
      <c r="J56" s="265"/>
      <c r="K56" s="267"/>
      <c r="L56" s="267"/>
      <c r="M56" s="265"/>
      <c r="N56" s="267"/>
      <c r="O56" s="267"/>
      <c r="P56" s="265"/>
      <c r="Q56" s="267"/>
      <c r="R56" s="267"/>
      <c r="S56" s="268"/>
      <c r="T56" s="267"/>
      <c r="U56" s="267"/>
      <c r="V56" s="485"/>
      <c r="W56" s="123"/>
    </row>
    <row r="57" spans="1:24" ht="57.6" customHeight="1">
      <c r="A57" s="486">
        <v>18601129</v>
      </c>
      <c r="B57" s="468" t="s">
        <v>71</v>
      </c>
      <c r="C57" s="233" t="s">
        <v>72</v>
      </c>
      <c r="D57" s="452" t="s">
        <v>55</v>
      </c>
      <c r="E57" s="277">
        <v>2011</v>
      </c>
      <c r="F57" s="277"/>
      <c r="G57" s="272">
        <v>212588.68</v>
      </c>
      <c r="H57" s="272">
        <f>G57</f>
        <v>212588.68</v>
      </c>
      <c r="I57" s="272">
        <f>H57</f>
        <v>212588.68</v>
      </c>
      <c r="J57" s="278">
        <f>I57</f>
        <v>212588.68</v>
      </c>
      <c r="K57" s="278">
        <f>J57</f>
        <v>212588.68</v>
      </c>
      <c r="L57" s="278">
        <f t="shared" ref="L57:V58" si="23">K57</f>
        <v>212588.68</v>
      </c>
      <c r="M57" s="278">
        <f t="shared" si="23"/>
        <v>212588.68</v>
      </c>
      <c r="N57" s="278">
        <f t="shared" si="23"/>
        <v>212588.68</v>
      </c>
      <c r="O57" s="278">
        <f t="shared" si="23"/>
        <v>212588.68</v>
      </c>
      <c r="P57" s="278">
        <f t="shared" si="23"/>
        <v>212588.68</v>
      </c>
      <c r="Q57" s="278">
        <f t="shared" si="23"/>
        <v>212588.68</v>
      </c>
      <c r="R57" s="278">
        <f t="shared" si="23"/>
        <v>212588.68</v>
      </c>
      <c r="S57" s="278">
        <f t="shared" si="23"/>
        <v>212588.68</v>
      </c>
      <c r="T57" s="278">
        <f t="shared" si="23"/>
        <v>212588.68</v>
      </c>
      <c r="U57" s="278">
        <f t="shared" si="23"/>
        <v>212588.68</v>
      </c>
      <c r="V57" s="247">
        <f t="shared" si="23"/>
        <v>212588.68</v>
      </c>
    </row>
    <row r="58" spans="1:24">
      <c r="A58" s="486"/>
      <c r="B58" s="468" t="s">
        <v>71</v>
      </c>
      <c r="C58" s="249" t="s">
        <v>30</v>
      </c>
      <c r="D58" s="473" t="s">
        <v>15</v>
      </c>
      <c r="E58" s="251">
        <v>43070</v>
      </c>
      <c r="F58" s="251" t="s">
        <v>16</v>
      </c>
      <c r="G58" s="252">
        <v>0</v>
      </c>
      <c r="H58" s="252">
        <v>0</v>
      </c>
      <c r="I58" s="252">
        <v>0</v>
      </c>
      <c r="J58" s="252">
        <v>0</v>
      </c>
      <c r="K58" s="253">
        <v>0</v>
      </c>
      <c r="L58" s="253">
        <f t="shared" si="23"/>
        <v>0</v>
      </c>
      <c r="M58" s="253">
        <f t="shared" si="23"/>
        <v>0</v>
      </c>
      <c r="N58" s="253">
        <f t="shared" si="23"/>
        <v>0</v>
      </c>
      <c r="O58" s="253">
        <f t="shared" si="23"/>
        <v>0</v>
      </c>
      <c r="P58" s="253">
        <f t="shared" si="23"/>
        <v>0</v>
      </c>
      <c r="Q58" s="253">
        <f t="shared" si="23"/>
        <v>0</v>
      </c>
      <c r="R58" s="253">
        <f t="shared" si="23"/>
        <v>0</v>
      </c>
      <c r="S58" s="253">
        <f t="shared" si="23"/>
        <v>0</v>
      </c>
      <c r="T58" s="253">
        <f t="shared" si="23"/>
        <v>0</v>
      </c>
      <c r="U58" s="253">
        <f t="shared" si="23"/>
        <v>0</v>
      </c>
      <c r="V58" s="474">
        <v>-212589</v>
      </c>
    </row>
    <row r="59" spans="1:24">
      <c r="A59" s="486"/>
      <c r="B59" s="468"/>
      <c r="C59" s="255" t="s">
        <v>73</v>
      </c>
      <c r="D59" s="453"/>
      <c r="E59" s="257"/>
      <c r="F59" s="257"/>
      <c r="G59" s="258">
        <f>SUM(G57:G58)</f>
        <v>212588.68</v>
      </c>
      <c r="H59" s="258">
        <f t="shared" ref="H59:I59" si="24">SUM(H57:H58)</f>
        <v>212588.68</v>
      </c>
      <c r="I59" s="258">
        <f t="shared" si="24"/>
        <v>212588.68</v>
      </c>
      <c r="J59" s="258">
        <f>SUM(J57:J58)</f>
        <v>212588.68</v>
      </c>
      <c r="K59" s="258">
        <f t="shared" ref="K59:V59" si="25">SUM(K57:K58)</f>
        <v>212588.68</v>
      </c>
      <c r="L59" s="258">
        <f t="shared" si="25"/>
        <v>212588.68</v>
      </c>
      <c r="M59" s="258">
        <f t="shared" si="25"/>
        <v>212588.68</v>
      </c>
      <c r="N59" s="258">
        <f t="shared" si="25"/>
        <v>212588.68</v>
      </c>
      <c r="O59" s="258">
        <f t="shared" si="25"/>
        <v>212588.68</v>
      </c>
      <c r="P59" s="258">
        <f t="shared" si="25"/>
        <v>212588.68</v>
      </c>
      <c r="Q59" s="258">
        <f t="shared" si="25"/>
        <v>212588.68</v>
      </c>
      <c r="R59" s="258">
        <f t="shared" si="25"/>
        <v>212588.68</v>
      </c>
      <c r="S59" s="258">
        <f t="shared" si="25"/>
        <v>212588.68</v>
      </c>
      <c r="T59" s="258">
        <f t="shared" si="25"/>
        <v>212588.68</v>
      </c>
      <c r="U59" s="258">
        <f t="shared" si="25"/>
        <v>212588.68</v>
      </c>
      <c r="V59" s="498">
        <f t="shared" si="25"/>
        <v>-0.32000000000698492</v>
      </c>
      <c r="X59" s="75"/>
    </row>
    <row r="60" spans="1:24" s="50" customFormat="1" ht="11.25">
      <c r="A60" s="495"/>
      <c r="B60" s="496"/>
      <c r="C60" s="481"/>
      <c r="D60" s="497"/>
      <c r="E60" s="264"/>
      <c r="F60" s="264"/>
      <c r="G60" s="266"/>
      <c r="H60" s="266"/>
      <c r="I60" s="266"/>
      <c r="J60" s="265"/>
      <c r="K60" s="267"/>
      <c r="L60" s="267"/>
      <c r="M60" s="265"/>
      <c r="N60" s="267"/>
      <c r="O60" s="267"/>
      <c r="P60" s="265"/>
      <c r="Q60" s="267"/>
      <c r="R60" s="267"/>
      <c r="S60" s="268"/>
      <c r="T60" s="267"/>
      <c r="U60" s="267"/>
      <c r="V60" s="485"/>
    </row>
    <row r="61" spans="1:24" ht="60">
      <c r="A61" s="467">
        <v>18601151</v>
      </c>
      <c r="B61" s="468" t="s">
        <v>74</v>
      </c>
      <c r="C61" s="233" t="s">
        <v>75</v>
      </c>
      <c r="D61" s="452" t="s">
        <v>55</v>
      </c>
      <c r="E61" s="271">
        <v>2011</v>
      </c>
      <c r="F61" s="271"/>
      <c r="G61" s="272">
        <v>111880.23</v>
      </c>
      <c r="H61" s="272">
        <f>G61</f>
        <v>111880.23</v>
      </c>
      <c r="I61" s="272">
        <f>H61</f>
        <v>111880.23</v>
      </c>
      <c r="J61" s="245">
        <v>111880.23</v>
      </c>
      <c r="K61" s="245">
        <f>J61</f>
        <v>111880.23</v>
      </c>
      <c r="L61" s="245">
        <f t="shared" ref="L61:V61" si="26">K61</f>
        <v>111880.23</v>
      </c>
      <c r="M61" s="245">
        <f t="shared" si="26"/>
        <v>111880.23</v>
      </c>
      <c r="N61" s="245">
        <f t="shared" si="26"/>
        <v>111880.23</v>
      </c>
      <c r="O61" s="245">
        <f t="shared" si="26"/>
        <v>111880.23</v>
      </c>
      <c r="P61" s="245">
        <f t="shared" si="26"/>
        <v>111880.23</v>
      </c>
      <c r="Q61" s="245">
        <f t="shared" si="26"/>
        <v>111880.23</v>
      </c>
      <c r="R61" s="245">
        <f t="shared" si="26"/>
        <v>111880.23</v>
      </c>
      <c r="S61" s="245">
        <f t="shared" si="26"/>
        <v>111880.23</v>
      </c>
      <c r="T61" s="245">
        <f t="shared" si="26"/>
        <v>111880.23</v>
      </c>
      <c r="U61" s="245">
        <f t="shared" si="26"/>
        <v>111880.23</v>
      </c>
      <c r="V61" s="471">
        <f t="shared" si="26"/>
        <v>111880.23</v>
      </c>
    </row>
    <row r="62" spans="1:24">
      <c r="A62" s="506"/>
      <c r="B62" s="468" t="s">
        <v>74</v>
      </c>
      <c r="C62" s="249" t="s">
        <v>30</v>
      </c>
      <c r="D62" s="473" t="s">
        <v>15</v>
      </c>
      <c r="E62" s="251">
        <v>43070</v>
      </c>
      <c r="F62" s="251" t="s">
        <v>16</v>
      </c>
      <c r="G62" s="281">
        <v>0</v>
      </c>
      <c r="H62" s="281">
        <f>G62</f>
        <v>0</v>
      </c>
      <c r="I62" s="281">
        <f>H62</f>
        <v>0</v>
      </c>
      <c r="J62" s="252">
        <v>0</v>
      </c>
      <c r="K62" s="252">
        <v>0</v>
      </c>
      <c r="L62" s="252">
        <v>0</v>
      </c>
      <c r="M62" s="252">
        <v>0</v>
      </c>
      <c r="N62" s="252">
        <v>0</v>
      </c>
      <c r="O62" s="252">
        <v>0</v>
      </c>
      <c r="P62" s="252">
        <v>0</v>
      </c>
      <c r="Q62" s="252">
        <v>0</v>
      </c>
      <c r="R62" s="252">
        <v>0</v>
      </c>
      <c r="S62" s="252">
        <v>0</v>
      </c>
      <c r="T62" s="252">
        <v>0</v>
      </c>
      <c r="U62" s="252">
        <v>0</v>
      </c>
      <c r="V62" s="507">
        <f>-111880</f>
        <v>-111880</v>
      </c>
    </row>
    <row r="63" spans="1:24">
      <c r="A63" s="289"/>
      <c r="B63" s="233"/>
      <c r="C63" s="255" t="s">
        <v>76</v>
      </c>
      <c r="D63" s="453"/>
      <c r="E63" s="257"/>
      <c r="F63" s="257"/>
      <c r="G63" s="258">
        <f>SUM(G61:G62)</f>
        <v>111880.23</v>
      </c>
      <c r="H63" s="258">
        <f t="shared" ref="H63:I63" si="27">SUM(H61:H62)</f>
        <v>111880.23</v>
      </c>
      <c r="I63" s="258">
        <f t="shared" si="27"/>
        <v>111880.23</v>
      </c>
      <c r="J63" s="258">
        <f>SUM(J61:J62)</f>
        <v>111880.23</v>
      </c>
      <c r="K63" s="258">
        <f t="shared" ref="K63:V63" si="28">SUM(K61:K62)</f>
        <v>111880.23</v>
      </c>
      <c r="L63" s="258">
        <f t="shared" si="28"/>
        <v>111880.23</v>
      </c>
      <c r="M63" s="258">
        <f t="shared" si="28"/>
        <v>111880.23</v>
      </c>
      <c r="N63" s="258">
        <f t="shared" si="28"/>
        <v>111880.23</v>
      </c>
      <c r="O63" s="258">
        <f t="shared" si="28"/>
        <v>111880.23</v>
      </c>
      <c r="P63" s="258">
        <f t="shared" si="28"/>
        <v>111880.23</v>
      </c>
      <c r="Q63" s="258">
        <f t="shared" si="28"/>
        <v>111880.23</v>
      </c>
      <c r="R63" s="258">
        <f t="shared" si="28"/>
        <v>111880.23</v>
      </c>
      <c r="S63" s="258">
        <f t="shared" si="28"/>
        <v>111880.23</v>
      </c>
      <c r="T63" s="258">
        <f t="shared" si="28"/>
        <v>111880.23</v>
      </c>
      <c r="U63" s="258">
        <f t="shared" si="28"/>
        <v>111880.23</v>
      </c>
      <c r="V63" s="498">
        <f t="shared" si="28"/>
        <v>0.22999999999592546</v>
      </c>
    </row>
    <row r="64" spans="1:24" s="50" customFormat="1" ht="11.25">
      <c r="A64" s="495"/>
      <c r="B64" s="496"/>
      <c r="C64" s="481"/>
      <c r="D64" s="497"/>
      <c r="E64" s="273"/>
      <c r="F64" s="264"/>
      <c r="G64" s="266"/>
      <c r="H64" s="266"/>
      <c r="I64" s="266"/>
      <c r="J64" s="265"/>
      <c r="K64" s="267"/>
      <c r="L64" s="267"/>
      <c r="M64" s="265"/>
      <c r="N64" s="267"/>
      <c r="O64" s="267"/>
      <c r="P64" s="265"/>
      <c r="Q64" s="267"/>
      <c r="R64" s="267"/>
      <c r="S64" s="268"/>
      <c r="T64" s="267"/>
      <c r="U64" s="267"/>
      <c r="V64" s="501"/>
    </row>
    <row r="65" spans="1:22" ht="60">
      <c r="A65" s="467">
        <v>18601163</v>
      </c>
      <c r="B65" s="468" t="s">
        <v>77</v>
      </c>
      <c r="C65" s="233" t="s">
        <v>78</v>
      </c>
      <c r="D65" s="283" t="s">
        <v>55</v>
      </c>
      <c r="E65" s="284"/>
      <c r="F65" s="251"/>
      <c r="G65" s="253">
        <v>0</v>
      </c>
      <c r="H65" s="253">
        <v>0</v>
      </c>
      <c r="I65" s="253">
        <v>0</v>
      </c>
      <c r="J65" s="253">
        <v>0</v>
      </c>
      <c r="K65" s="253">
        <v>0</v>
      </c>
      <c r="L65" s="253">
        <v>0</v>
      </c>
      <c r="M65" s="253">
        <v>0</v>
      </c>
      <c r="N65" s="253">
        <v>0</v>
      </c>
      <c r="O65" s="253">
        <v>56229.11</v>
      </c>
      <c r="P65" s="253">
        <f>O65+2000</f>
        <v>58229.11</v>
      </c>
      <c r="Q65" s="253">
        <f>P65+4422.5</f>
        <v>62651.61</v>
      </c>
      <c r="R65" s="253">
        <f>Q65</f>
        <v>62651.61</v>
      </c>
      <c r="S65" s="253">
        <f>R65+9796.79</f>
        <v>72448.399999999994</v>
      </c>
      <c r="T65" s="253">
        <f>S65</f>
        <v>72448.399999999994</v>
      </c>
      <c r="U65" s="508">
        <f>T65+8133.9</f>
        <v>80582.299999999988</v>
      </c>
      <c r="V65" s="474">
        <f>U65+14884.3</f>
        <v>95466.599999999991</v>
      </c>
    </row>
    <row r="66" spans="1:22">
      <c r="A66" s="506"/>
      <c r="B66" s="233"/>
      <c r="C66" s="255" t="s">
        <v>79</v>
      </c>
      <c r="D66" s="509"/>
      <c r="E66" s="510"/>
      <c r="F66" s="510"/>
      <c r="G66" s="258">
        <f t="shared" ref="G66:V66" si="29">SUM(G65:G65)</f>
        <v>0</v>
      </c>
      <c r="H66" s="258">
        <f t="shared" si="29"/>
        <v>0</v>
      </c>
      <c r="I66" s="258">
        <f t="shared" si="29"/>
        <v>0</v>
      </c>
      <c r="J66" s="258">
        <f t="shared" si="29"/>
        <v>0</v>
      </c>
      <c r="K66" s="258">
        <f t="shared" si="29"/>
        <v>0</v>
      </c>
      <c r="L66" s="258">
        <f t="shared" si="29"/>
        <v>0</v>
      </c>
      <c r="M66" s="258">
        <f t="shared" si="29"/>
        <v>0</v>
      </c>
      <c r="N66" s="258">
        <f t="shared" si="29"/>
        <v>0</v>
      </c>
      <c r="O66" s="258">
        <f t="shared" si="29"/>
        <v>56229.11</v>
      </c>
      <c r="P66" s="258">
        <f t="shared" si="29"/>
        <v>58229.11</v>
      </c>
      <c r="Q66" s="258">
        <f t="shared" si="29"/>
        <v>62651.61</v>
      </c>
      <c r="R66" s="258">
        <f t="shared" si="29"/>
        <v>62651.61</v>
      </c>
      <c r="S66" s="258">
        <f t="shared" si="29"/>
        <v>72448.399999999994</v>
      </c>
      <c r="T66" s="258">
        <f t="shared" si="29"/>
        <v>72448.399999999994</v>
      </c>
      <c r="U66" s="258">
        <f t="shared" si="29"/>
        <v>80582.299999999988</v>
      </c>
      <c r="V66" s="498">
        <f t="shared" si="29"/>
        <v>95466.599999999991</v>
      </c>
    </row>
    <row r="67" spans="1:22" s="50" customFormat="1" ht="11.25">
      <c r="A67" s="495"/>
      <c r="B67" s="496"/>
      <c r="C67" s="481"/>
      <c r="D67" s="497"/>
      <c r="E67" s="264"/>
      <c r="F67" s="264"/>
      <c r="G67" s="266"/>
      <c r="H67" s="266"/>
      <c r="I67" s="266"/>
      <c r="J67" s="265"/>
      <c r="K67" s="267"/>
      <c r="L67" s="267"/>
      <c r="M67" s="265"/>
      <c r="N67" s="267"/>
      <c r="O67" s="267"/>
      <c r="P67" s="265"/>
      <c r="Q67" s="267"/>
      <c r="R67" s="267"/>
      <c r="S67" s="268"/>
      <c r="T67" s="267"/>
      <c r="U67" s="267"/>
      <c r="V67" s="485"/>
    </row>
    <row r="68" spans="1:22" ht="60">
      <c r="A68" s="467" t="s">
        <v>80</v>
      </c>
      <c r="B68" s="468" t="s">
        <v>81</v>
      </c>
      <c r="C68" s="233" t="s">
        <v>82</v>
      </c>
      <c r="D68" s="283" t="s">
        <v>55</v>
      </c>
      <c r="E68" s="511"/>
      <c r="F68" s="251"/>
      <c r="G68" s="253">
        <v>0</v>
      </c>
      <c r="H68" s="253">
        <v>0</v>
      </c>
      <c r="I68" s="253">
        <v>0</v>
      </c>
      <c r="J68" s="253">
        <v>0</v>
      </c>
      <c r="K68" s="253">
        <v>0</v>
      </c>
      <c r="L68" s="253">
        <v>0</v>
      </c>
      <c r="M68" s="253">
        <v>0</v>
      </c>
      <c r="N68" s="253">
        <v>0</v>
      </c>
      <c r="O68" s="253">
        <f>N68</f>
        <v>0</v>
      </c>
      <c r="P68" s="253">
        <f t="shared" ref="P68:V68" si="30">O68</f>
        <v>0</v>
      </c>
      <c r="Q68" s="253">
        <f t="shared" si="30"/>
        <v>0</v>
      </c>
      <c r="R68" s="253">
        <f t="shared" si="30"/>
        <v>0</v>
      </c>
      <c r="S68" s="253">
        <f t="shared" si="30"/>
        <v>0</v>
      </c>
      <c r="T68" s="253">
        <f t="shared" si="30"/>
        <v>0</v>
      </c>
      <c r="U68" s="253">
        <f t="shared" si="30"/>
        <v>0</v>
      </c>
      <c r="V68" s="474">
        <f t="shared" si="30"/>
        <v>0</v>
      </c>
    </row>
    <row r="69" spans="1:22">
      <c r="A69" s="506"/>
      <c r="B69" s="233"/>
      <c r="C69" s="255" t="s">
        <v>83</v>
      </c>
      <c r="D69" s="512"/>
      <c r="E69" s="226"/>
      <c r="F69" s="513"/>
      <c r="G69" s="258">
        <f t="shared" ref="G69:V69" si="31">SUM(G68:G68)</f>
        <v>0</v>
      </c>
      <c r="H69" s="258">
        <f t="shared" si="31"/>
        <v>0</v>
      </c>
      <c r="I69" s="258">
        <f t="shared" si="31"/>
        <v>0</v>
      </c>
      <c r="J69" s="258">
        <f t="shared" si="31"/>
        <v>0</v>
      </c>
      <c r="K69" s="258">
        <f t="shared" si="31"/>
        <v>0</v>
      </c>
      <c r="L69" s="258">
        <f t="shared" si="31"/>
        <v>0</v>
      </c>
      <c r="M69" s="258">
        <f t="shared" si="31"/>
        <v>0</v>
      </c>
      <c r="N69" s="258">
        <f t="shared" si="31"/>
        <v>0</v>
      </c>
      <c r="O69" s="258">
        <f t="shared" si="31"/>
        <v>0</v>
      </c>
      <c r="P69" s="258">
        <f t="shared" si="31"/>
        <v>0</v>
      </c>
      <c r="Q69" s="258">
        <f t="shared" si="31"/>
        <v>0</v>
      </c>
      <c r="R69" s="258">
        <f t="shared" si="31"/>
        <v>0</v>
      </c>
      <c r="S69" s="258">
        <f t="shared" si="31"/>
        <v>0</v>
      </c>
      <c r="T69" s="258">
        <f t="shared" si="31"/>
        <v>0</v>
      </c>
      <c r="U69" s="258">
        <f t="shared" si="31"/>
        <v>0</v>
      </c>
      <c r="V69" s="498">
        <f t="shared" si="31"/>
        <v>0</v>
      </c>
    </row>
    <row r="70" spans="1:22" s="50" customFormat="1" ht="11.25">
      <c r="A70" s="495"/>
      <c r="B70" s="496"/>
      <c r="C70" s="481"/>
      <c r="D70" s="497"/>
      <c r="E70" s="264"/>
      <c r="F70" s="264"/>
      <c r="G70" s="266"/>
      <c r="H70" s="266"/>
      <c r="I70" s="266"/>
      <c r="J70" s="265"/>
      <c r="K70" s="267"/>
      <c r="L70" s="267"/>
      <c r="M70" s="265"/>
      <c r="N70" s="267"/>
      <c r="O70" s="267"/>
      <c r="P70" s="265"/>
      <c r="Q70" s="267"/>
      <c r="R70" s="267"/>
      <c r="S70" s="268"/>
      <c r="T70" s="267"/>
      <c r="U70" s="267"/>
      <c r="V70" s="485"/>
    </row>
    <row r="71" spans="1:22">
      <c r="A71" s="506"/>
      <c r="B71" s="468" t="s">
        <v>84</v>
      </c>
      <c r="C71" s="233" t="s">
        <v>85</v>
      </c>
      <c r="D71" s="514" t="s">
        <v>86</v>
      </c>
      <c r="E71" s="515" t="s">
        <v>87</v>
      </c>
      <c r="F71" s="515"/>
      <c r="G71" s="287">
        <v>-4610484.08</v>
      </c>
      <c r="H71" s="287">
        <f>G71</f>
        <v>-4610484.08</v>
      </c>
      <c r="I71" s="287">
        <f>H71</f>
        <v>-4610484.08</v>
      </c>
      <c r="J71" s="245">
        <v>-4610484.08</v>
      </c>
      <c r="K71" s="245">
        <f>J71</f>
        <v>-4610484.08</v>
      </c>
      <c r="L71" s="245">
        <f t="shared" ref="L71:U72" si="32">K71</f>
        <v>-4610484.08</v>
      </c>
      <c r="M71" s="245">
        <f t="shared" si="32"/>
        <v>-4610484.08</v>
      </c>
      <c r="N71" s="245">
        <f t="shared" si="32"/>
        <v>-4610484.08</v>
      </c>
      <c r="O71" s="245">
        <f t="shared" si="32"/>
        <v>-4610484.08</v>
      </c>
      <c r="P71" s="245">
        <f t="shared" si="32"/>
        <v>-4610484.08</v>
      </c>
      <c r="Q71" s="245">
        <f t="shared" si="32"/>
        <v>-4610484.08</v>
      </c>
      <c r="R71" s="245">
        <f t="shared" si="32"/>
        <v>-4610484.08</v>
      </c>
      <c r="S71" s="245">
        <f t="shared" si="32"/>
        <v>-4610484.08</v>
      </c>
      <c r="T71" s="245">
        <f t="shared" si="32"/>
        <v>-4610484.08</v>
      </c>
      <c r="U71" s="245">
        <f t="shared" si="32"/>
        <v>-4610484.08</v>
      </c>
      <c r="V71" s="471">
        <f>U71</f>
        <v>-4610484.08</v>
      </c>
    </row>
    <row r="72" spans="1:22">
      <c r="A72" s="506"/>
      <c r="B72" s="468" t="s">
        <v>84</v>
      </c>
      <c r="C72" s="249" t="s">
        <v>30</v>
      </c>
      <c r="D72" s="473" t="s">
        <v>15</v>
      </c>
      <c r="E72" s="251">
        <v>43070</v>
      </c>
      <c r="F72" s="251" t="s">
        <v>16</v>
      </c>
      <c r="G72" s="253">
        <v>0</v>
      </c>
      <c r="H72" s="253">
        <v>0</v>
      </c>
      <c r="I72" s="253">
        <v>0</v>
      </c>
      <c r="J72" s="253">
        <v>0</v>
      </c>
      <c r="K72" s="253">
        <v>0</v>
      </c>
      <c r="L72" s="253">
        <v>0</v>
      </c>
      <c r="M72" s="253">
        <v>0</v>
      </c>
      <c r="N72" s="253">
        <v>0</v>
      </c>
      <c r="O72" s="253">
        <f>N72</f>
        <v>0</v>
      </c>
      <c r="P72" s="253">
        <f t="shared" si="32"/>
        <v>0</v>
      </c>
      <c r="Q72" s="253">
        <f t="shared" si="32"/>
        <v>0</v>
      </c>
      <c r="R72" s="253">
        <f t="shared" si="32"/>
        <v>0</v>
      </c>
      <c r="S72" s="253">
        <f t="shared" si="32"/>
        <v>0</v>
      </c>
      <c r="T72" s="253">
        <f t="shared" si="32"/>
        <v>0</v>
      </c>
      <c r="U72" s="253">
        <f t="shared" si="32"/>
        <v>0</v>
      </c>
      <c r="V72" s="474">
        <v>1743761.81</v>
      </c>
    </row>
    <row r="73" spans="1:22">
      <c r="A73" s="506"/>
      <c r="B73" s="233"/>
      <c r="C73" s="255" t="s">
        <v>88</v>
      </c>
      <c r="D73" s="514"/>
      <c r="E73" s="226"/>
      <c r="F73" s="513"/>
      <c r="G73" s="258">
        <f>SUM(G71:G72)</f>
        <v>-4610484.08</v>
      </c>
      <c r="H73" s="258">
        <f t="shared" ref="H73:I73" si="33">SUM(H71:H72)</f>
        <v>-4610484.08</v>
      </c>
      <c r="I73" s="258">
        <f t="shared" si="33"/>
        <v>-4610484.08</v>
      </c>
      <c r="J73" s="258">
        <f>SUM(J71:J72)</f>
        <v>-4610484.08</v>
      </c>
      <c r="K73" s="258">
        <f t="shared" ref="K73:U73" si="34">SUM(K71:K72)</f>
        <v>-4610484.08</v>
      </c>
      <c r="L73" s="258">
        <f t="shared" si="34"/>
        <v>-4610484.08</v>
      </c>
      <c r="M73" s="258">
        <f t="shared" si="34"/>
        <v>-4610484.08</v>
      </c>
      <c r="N73" s="258">
        <f t="shared" si="34"/>
        <v>-4610484.08</v>
      </c>
      <c r="O73" s="258">
        <f t="shared" si="34"/>
        <v>-4610484.08</v>
      </c>
      <c r="P73" s="258">
        <f t="shared" si="34"/>
        <v>-4610484.08</v>
      </c>
      <c r="Q73" s="258">
        <f t="shared" si="34"/>
        <v>-4610484.08</v>
      </c>
      <c r="R73" s="258">
        <f t="shared" si="34"/>
        <v>-4610484.08</v>
      </c>
      <c r="S73" s="258">
        <f t="shared" si="34"/>
        <v>-4610484.08</v>
      </c>
      <c r="T73" s="258">
        <f t="shared" si="34"/>
        <v>-4610484.08</v>
      </c>
      <c r="U73" s="258">
        <f t="shared" si="34"/>
        <v>-4610484.08</v>
      </c>
      <c r="V73" s="498">
        <f>SUM(V71:V72)</f>
        <v>-2866722.27</v>
      </c>
    </row>
    <row r="74" spans="1:22" s="50" customFormat="1" ht="11.25">
      <c r="A74" s="495"/>
      <c r="B74" s="496"/>
      <c r="C74" s="481"/>
      <c r="D74" s="497"/>
      <c r="E74" s="264"/>
      <c r="F74" s="264"/>
      <c r="G74" s="266"/>
      <c r="H74" s="266"/>
      <c r="I74" s="266"/>
      <c r="J74" s="265"/>
      <c r="K74" s="267"/>
      <c r="L74" s="267"/>
      <c r="M74" s="265"/>
      <c r="N74" s="267"/>
      <c r="O74" s="267"/>
      <c r="P74" s="265"/>
      <c r="Q74" s="267"/>
      <c r="R74" s="267"/>
      <c r="S74" s="268"/>
      <c r="T74" s="267"/>
      <c r="U74" s="267"/>
      <c r="V74" s="485"/>
    </row>
    <row r="75" spans="1:22">
      <c r="A75" s="506"/>
      <c r="B75" s="233"/>
      <c r="C75" s="290"/>
      <c r="D75" s="291"/>
      <c r="E75" s="292"/>
      <c r="F75" s="292"/>
      <c r="G75" s="294"/>
      <c r="H75" s="294"/>
      <c r="I75" s="294"/>
      <c r="J75" s="294"/>
      <c r="K75" s="294"/>
      <c r="L75" s="294"/>
      <c r="M75" s="294"/>
      <c r="N75" s="294"/>
      <c r="O75" s="294"/>
      <c r="P75" s="294"/>
      <c r="Q75" s="294"/>
      <c r="R75" s="294"/>
      <c r="S75" s="294"/>
      <c r="T75" s="294"/>
      <c r="U75" s="293"/>
      <c r="V75" s="516"/>
    </row>
    <row r="76" spans="1:22" ht="15.75" thickBot="1">
      <c r="A76" s="506"/>
      <c r="B76" s="233"/>
      <c r="C76" s="296" t="s">
        <v>89</v>
      </c>
      <c r="D76" s="297"/>
      <c r="E76" s="298"/>
      <c r="F76" s="298"/>
      <c r="G76" s="299">
        <f>G8+G12+G17+G21+G25+G29+G34+G38+G42+G46+G51+G55+G59+G63+G66+G69+G73</f>
        <v>4252202.9099999983</v>
      </c>
      <c r="H76" s="299">
        <f>H8+H12+H17+H21+H25+H29+H34+H38+H42+H46+H51+H55+H59+H63+H66+H69+H73</f>
        <v>4143849.3099999987</v>
      </c>
      <c r="I76" s="299">
        <f t="shared" ref="I76:U76" si="35">I8+I12+I17+I21+I25+I29+I34+I38+I42+I46+I51+I55+I59+I63+I66+I69+I73</f>
        <v>4362978.01</v>
      </c>
      <c r="J76" s="299">
        <f>J8+J12+J17+J21+J25+J29+J34+J38+J42+J46+J51+J55+J59+J63+J66+J69+J73</f>
        <v>4328582.1399999987</v>
      </c>
      <c r="K76" s="299">
        <f t="shared" si="35"/>
        <v>4460974.51</v>
      </c>
      <c r="L76" s="299">
        <f t="shared" si="35"/>
        <v>4512246.9399999995</v>
      </c>
      <c r="M76" s="299">
        <f t="shared" si="35"/>
        <v>4730282.8500000015</v>
      </c>
      <c r="N76" s="299">
        <f t="shared" si="35"/>
        <v>4815686.1300000008</v>
      </c>
      <c r="O76" s="299">
        <f t="shared" si="35"/>
        <v>4937716.3800000008</v>
      </c>
      <c r="P76" s="299">
        <f t="shared" si="35"/>
        <v>5051233.8100000005</v>
      </c>
      <c r="Q76" s="299">
        <f t="shared" si="35"/>
        <v>5108745.7400000021</v>
      </c>
      <c r="R76" s="299">
        <f t="shared" si="35"/>
        <v>5197936.9000000022</v>
      </c>
      <c r="S76" s="299">
        <f t="shared" si="35"/>
        <v>5214168.0200000014</v>
      </c>
      <c r="T76" s="299">
        <f t="shared" si="35"/>
        <v>5242318.5100000016</v>
      </c>
      <c r="U76" s="299">
        <f t="shared" si="35"/>
        <v>5255994.410000002</v>
      </c>
      <c r="V76" s="300">
        <f>V8+V12+V17+V21+V25+V29+V34+V38+V42+V46+V51+V55+V59+V63+V66+V69+V73</f>
        <v>67491.300000000279</v>
      </c>
    </row>
    <row r="77" spans="1:22" s="50" customFormat="1" ht="12.75" thickTop="1" thickBot="1">
      <c r="A77" s="517"/>
      <c r="B77" s="518"/>
      <c r="C77" s="519"/>
      <c r="D77" s="520"/>
      <c r="E77" s="520"/>
      <c r="F77" s="520"/>
      <c r="G77" s="520"/>
      <c r="H77" s="520"/>
      <c r="I77" s="520"/>
      <c r="J77" s="521"/>
      <c r="K77" s="522"/>
      <c r="L77" s="522"/>
      <c r="M77" s="521"/>
      <c r="N77" s="522"/>
      <c r="O77" s="522"/>
      <c r="P77" s="521"/>
      <c r="Q77" s="522"/>
      <c r="R77" s="522"/>
      <c r="S77" s="521"/>
      <c r="T77" s="522"/>
      <c r="U77" s="522"/>
      <c r="V77" s="521"/>
    </row>
    <row r="78" spans="1:22">
      <c r="B78" s="2"/>
      <c r="U78" s="530"/>
      <c r="V78" s="532"/>
    </row>
  </sheetData>
  <mergeCells count="6">
    <mergeCell ref="D48:D49"/>
    <mergeCell ref="E48:E49"/>
    <mergeCell ref="D14:D15"/>
    <mergeCell ref="E14:E15"/>
    <mergeCell ref="D31:D32"/>
    <mergeCell ref="E31:E32"/>
  </mergeCells>
  <printOptions horizontalCentered="1"/>
  <pageMargins left="0.2" right="0.2" top="0.5" bottom="0.5" header="0.3" footer="0.3"/>
  <pageSetup scale="36"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0"/>
  <sheetViews>
    <sheetView view="pageBreakPreview" zoomScale="60" zoomScaleNormal="82" workbookViewId="0">
      <pane xSplit="3" ySplit="5" topLeftCell="D41" activePane="bottomRight" state="frozen"/>
      <selection activeCell="D12" sqref="D12"/>
      <selection pane="topRight" activeCell="D12" sqref="D12"/>
      <selection pane="bottomLeft" activeCell="D12" sqref="D12"/>
      <selection pane="bottomRight" activeCell="F99" sqref="F99"/>
    </sheetView>
  </sheetViews>
  <sheetFormatPr defaultRowHeight="15"/>
  <cols>
    <col min="1" max="1" width="10.7109375" style="1" customWidth="1"/>
    <col min="2" max="2" width="12" bestFit="1" customWidth="1"/>
    <col min="3" max="3" width="55.7109375" customWidth="1"/>
    <col min="4" max="4" width="15" customWidth="1"/>
    <col min="5" max="5" width="12" customWidth="1"/>
    <col min="6" max="6" width="12.7109375" customWidth="1"/>
    <col min="7" max="7" width="14.28515625" bestFit="1" customWidth="1"/>
    <col min="8" max="12" width="13.42578125" bestFit="1" customWidth="1"/>
    <col min="13" max="21" width="16.42578125" customWidth="1"/>
    <col min="22" max="22" width="15.140625" bestFit="1" customWidth="1"/>
    <col min="23" max="23" width="20.7109375" bestFit="1" customWidth="1"/>
  </cols>
  <sheetData>
    <row r="1" spans="1:24">
      <c r="A1" s="335" t="s">
        <v>0</v>
      </c>
      <c r="B1" s="335"/>
      <c r="C1" s="335"/>
      <c r="D1" s="335"/>
      <c r="E1" s="335"/>
      <c r="F1" s="335"/>
      <c r="G1" s="335"/>
      <c r="H1" s="335"/>
      <c r="I1" s="335"/>
      <c r="J1" s="335"/>
      <c r="K1" s="335"/>
      <c r="L1" s="335"/>
      <c r="M1" s="335"/>
      <c r="N1" s="335"/>
      <c r="O1" s="335"/>
      <c r="P1" s="335"/>
      <c r="Q1" s="335"/>
      <c r="R1" s="335"/>
      <c r="S1" s="335"/>
      <c r="T1" s="335"/>
      <c r="U1" s="335"/>
      <c r="V1" s="335"/>
    </row>
    <row r="2" spans="1:24">
      <c r="A2" s="335" t="s">
        <v>90</v>
      </c>
      <c r="B2" s="335"/>
      <c r="C2" s="335"/>
      <c r="D2" s="335"/>
      <c r="E2" s="335"/>
      <c r="F2" s="335"/>
      <c r="G2" s="335"/>
      <c r="H2" s="335"/>
      <c r="I2" s="335"/>
      <c r="J2" s="335"/>
      <c r="K2" s="335"/>
      <c r="L2" s="335"/>
      <c r="M2" s="335"/>
      <c r="N2" s="335"/>
      <c r="O2" s="335"/>
      <c r="P2" s="335"/>
      <c r="Q2" s="335"/>
      <c r="R2" s="335"/>
      <c r="S2" s="335"/>
      <c r="T2" s="335"/>
      <c r="U2" s="335"/>
      <c r="V2" s="335"/>
    </row>
    <row r="3" spans="1:24" ht="21">
      <c r="A3" s="336" t="s">
        <v>2</v>
      </c>
      <c r="B3" s="336"/>
      <c r="C3" s="336"/>
      <c r="D3" s="336"/>
      <c r="E3" s="336"/>
      <c r="F3" s="336"/>
      <c r="G3" s="336"/>
      <c r="H3" s="336"/>
      <c r="I3" s="336"/>
      <c r="J3" s="336"/>
      <c r="K3" s="336"/>
      <c r="L3" s="336"/>
      <c r="M3" s="336"/>
      <c r="N3" s="336"/>
      <c r="O3" s="336"/>
      <c r="P3" s="336"/>
      <c r="Q3" s="336"/>
      <c r="R3" s="336"/>
      <c r="S3" s="336"/>
      <c r="T3" s="336"/>
      <c r="U3" s="336"/>
      <c r="V3" s="336"/>
    </row>
    <row r="4" spans="1:24" ht="7.15" customHeight="1" thickBot="1"/>
    <row r="5" spans="1:24" s="8" customFormat="1" ht="43.9" customHeight="1" thickBot="1">
      <c r="A5" s="3" t="s">
        <v>3</v>
      </c>
      <c r="B5" s="4" t="s">
        <v>4</v>
      </c>
      <c r="C5" s="5" t="s">
        <v>5</v>
      </c>
      <c r="D5" s="4" t="s">
        <v>6</v>
      </c>
      <c r="E5" s="4" t="s">
        <v>7</v>
      </c>
      <c r="F5" s="4" t="s">
        <v>8</v>
      </c>
      <c r="G5" s="6" t="s">
        <v>9</v>
      </c>
      <c r="H5" s="6">
        <v>42644</v>
      </c>
      <c r="I5" s="6">
        <v>42675</v>
      </c>
      <c r="J5" s="6" t="s">
        <v>10</v>
      </c>
      <c r="K5" s="6">
        <v>42736</v>
      </c>
      <c r="L5" s="6">
        <v>42767</v>
      </c>
      <c r="M5" s="6">
        <v>42795</v>
      </c>
      <c r="N5" s="6">
        <v>42826</v>
      </c>
      <c r="O5" s="6">
        <v>42856</v>
      </c>
      <c r="P5" s="6">
        <v>42887</v>
      </c>
      <c r="Q5" s="6">
        <v>42917</v>
      </c>
      <c r="R5" s="6">
        <v>42948</v>
      </c>
      <c r="S5" s="6">
        <v>42979</v>
      </c>
      <c r="T5" s="6">
        <v>43009</v>
      </c>
      <c r="U5" s="6">
        <v>43040</v>
      </c>
      <c r="V5" s="7">
        <v>43070</v>
      </c>
      <c r="W5"/>
    </row>
    <row r="6" spans="1:24" s="2" customFormat="1">
      <c r="A6" s="32">
        <v>18606102</v>
      </c>
      <c r="B6" s="9">
        <v>18608612</v>
      </c>
      <c r="C6" s="10" t="s">
        <v>91</v>
      </c>
      <c r="D6" s="95" t="s">
        <v>92</v>
      </c>
      <c r="E6" s="11"/>
      <c r="F6" s="96"/>
      <c r="G6" s="12">
        <v>785957.33000000007</v>
      </c>
      <c r="H6" s="97">
        <f>G6+4354.8</f>
        <v>790312.13000000012</v>
      </c>
      <c r="I6" s="97">
        <f>H6</f>
        <v>790312.13000000012</v>
      </c>
      <c r="J6" s="12">
        <v>792458.63000000012</v>
      </c>
      <c r="K6" s="12">
        <f>J6+3825</f>
        <v>796283.63000000012</v>
      </c>
      <c r="L6" s="12">
        <f>K6</f>
        <v>796283.63000000012</v>
      </c>
      <c r="M6" s="12">
        <f>L6+1890</f>
        <v>798173.63000000012</v>
      </c>
      <c r="N6" s="12">
        <f>M6+1115</f>
        <v>799288.63000000012</v>
      </c>
      <c r="O6" s="12">
        <f>N6+2520</f>
        <v>801808.63000000012</v>
      </c>
      <c r="P6" s="12">
        <f>O6+3433.23</f>
        <v>805241.8600000001</v>
      </c>
      <c r="Q6" s="12">
        <f>P6+1867.5</f>
        <v>807109.3600000001</v>
      </c>
      <c r="R6" s="12">
        <f>Q6+877.5</f>
        <v>807986.8600000001</v>
      </c>
      <c r="S6" s="12">
        <f>R6+3036.97</f>
        <v>811023.83000000007</v>
      </c>
      <c r="T6" s="12">
        <f>S6+2355.3</f>
        <v>813379.13000000012</v>
      </c>
      <c r="U6" s="12">
        <f>T6+1807.5</f>
        <v>815186.63000000012</v>
      </c>
      <c r="V6" s="14">
        <f>U6+1267.5</f>
        <v>816454.13000000012</v>
      </c>
    </row>
    <row r="7" spans="1:24" s="2" customFormat="1">
      <c r="A7" s="15"/>
      <c r="B7" s="9">
        <v>18608612</v>
      </c>
      <c r="C7" s="10" t="s">
        <v>14</v>
      </c>
      <c r="D7" s="98" t="s">
        <v>93</v>
      </c>
      <c r="E7" s="16">
        <v>43070</v>
      </c>
      <c r="F7" s="99" t="s">
        <v>16</v>
      </c>
      <c r="G7" s="17">
        <v>0</v>
      </c>
      <c r="H7" s="17">
        <v>0</v>
      </c>
      <c r="I7" s="17">
        <v>0</v>
      </c>
      <c r="J7" s="17">
        <v>0</v>
      </c>
      <c r="K7" s="17">
        <v>0</v>
      </c>
      <c r="L7" s="17">
        <v>0</v>
      </c>
      <c r="M7" s="17">
        <v>0</v>
      </c>
      <c r="N7" s="17">
        <v>0</v>
      </c>
      <c r="O7" s="17">
        <v>0</v>
      </c>
      <c r="P7" s="17">
        <v>0</v>
      </c>
      <c r="Q7" s="17">
        <v>0</v>
      </c>
      <c r="R7" s="17">
        <v>0</v>
      </c>
      <c r="S7" s="17">
        <v>0</v>
      </c>
      <c r="T7" s="17">
        <v>0</v>
      </c>
      <c r="U7" s="17">
        <v>0</v>
      </c>
      <c r="V7" s="18">
        <v>-785957.33</v>
      </c>
    </row>
    <row r="8" spans="1:24" s="2" customFormat="1">
      <c r="A8" s="15"/>
      <c r="B8" s="9"/>
      <c r="C8" s="41" t="s">
        <v>94</v>
      </c>
      <c r="D8" s="64"/>
      <c r="E8" s="20"/>
      <c r="F8" s="100"/>
      <c r="G8" s="21">
        <f t="shared" ref="G8:V8" si="0">SUM(G6:G7)</f>
        <v>785957.33000000007</v>
      </c>
      <c r="H8" s="21">
        <f t="shared" si="0"/>
        <v>790312.13000000012</v>
      </c>
      <c r="I8" s="21">
        <f t="shared" si="0"/>
        <v>790312.13000000012</v>
      </c>
      <c r="J8" s="21">
        <f t="shared" si="0"/>
        <v>792458.63000000012</v>
      </c>
      <c r="K8" s="21">
        <f t="shared" si="0"/>
        <v>796283.63000000012</v>
      </c>
      <c r="L8" s="21">
        <f t="shared" si="0"/>
        <v>796283.63000000012</v>
      </c>
      <c r="M8" s="21">
        <f t="shared" si="0"/>
        <v>798173.63000000012</v>
      </c>
      <c r="N8" s="21">
        <f t="shared" si="0"/>
        <v>799288.63000000012</v>
      </c>
      <c r="O8" s="21">
        <f t="shared" si="0"/>
        <v>801808.63000000012</v>
      </c>
      <c r="P8" s="21">
        <f t="shared" si="0"/>
        <v>805241.8600000001</v>
      </c>
      <c r="Q8" s="21">
        <f t="shared" si="0"/>
        <v>807109.3600000001</v>
      </c>
      <c r="R8" s="21">
        <f t="shared" si="0"/>
        <v>807986.8600000001</v>
      </c>
      <c r="S8" s="21">
        <f t="shared" si="0"/>
        <v>811023.83000000007</v>
      </c>
      <c r="T8" s="21">
        <f t="shared" si="0"/>
        <v>813379.13000000012</v>
      </c>
      <c r="U8" s="21">
        <f t="shared" si="0"/>
        <v>815186.63000000012</v>
      </c>
      <c r="V8" s="22">
        <f t="shared" si="0"/>
        <v>30496.800000000163</v>
      </c>
    </row>
    <row r="9" spans="1:24" s="31" customFormat="1" ht="11.45" customHeight="1">
      <c r="A9" s="23"/>
      <c r="B9" s="24"/>
      <c r="C9" s="25"/>
      <c r="D9" s="101"/>
      <c r="E9" s="102"/>
      <c r="F9" s="102"/>
      <c r="G9" s="28"/>
      <c r="H9" s="29"/>
      <c r="I9" s="29"/>
      <c r="J9" s="28"/>
      <c r="K9" s="28"/>
      <c r="L9" s="28"/>
      <c r="M9" s="28"/>
      <c r="N9" s="28"/>
      <c r="O9" s="28"/>
      <c r="P9" s="28"/>
      <c r="Q9" s="28"/>
      <c r="R9" s="28"/>
      <c r="S9" s="28"/>
      <c r="T9" s="28"/>
      <c r="U9" s="28"/>
      <c r="V9" s="30"/>
    </row>
    <row r="10" spans="1:24" s="2" customFormat="1">
      <c r="A10" s="32">
        <v>18607102</v>
      </c>
      <c r="B10" s="9">
        <v>18608712</v>
      </c>
      <c r="C10" s="10" t="s">
        <v>95</v>
      </c>
      <c r="D10" s="567" t="s">
        <v>92</v>
      </c>
      <c r="E10" s="574"/>
      <c r="F10" s="575"/>
      <c r="G10" s="12">
        <v>5361208.370000001</v>
      </c>
      <c r="H10" s="33">
        <f>G10</f>
        <v>5361208.370000001</v>
      </c>
      <c r="I10" s="33">
        <f>H10</f>
        <v>5361208.370000001</v>
      </c>
      <c r="J10" s="33">
        <v>5360730.4700000007</v>
      </c>
      <c r="K10" s="33">
        <f>J10</f>
        <v>5360730.4700000007</v>
      </c>
      <c r="L10" s="33">
        <f>K10+4979.64</f>
        <v>5365710.1100000003</v>
      </c>
      <c r="M10" s="33">
        <f>L10</f>
        <v>5365710.1100000003</v>
      </c>
      <c r="N10" s="33">
        <f>M10</f>
        <v>5365710.1100000003</v>
      </c>
      <c r="O10" s="33">
        <f>N10</f>
        <v>5365710.1100000003</v>
      </c>
      <c r="P10" s="33">
        <f>O10+1286.16</f>
        <v>5366996.2700000005</v>
      </c>
      <c r="Q10" s="33">
        <f>P10+135</f>
        <v>5367131.2700000005</v>
      </c>
      <c r="R10" s="33">
        <f>Q10</f>
        <v>5367131.2700000005</v>
      </c>
      <c r="S10" s="33">
        <f>R10</f>
        <v>5367131.2700000005</v>
      </c>
      <c r="T10" s="33">
        <f>S10</f>
        <v>5367131.2700000005</v>
      </c>
      <c r="U10" s="33">
        <f>T10+1091.25</f>
        <v>5368222.5200000005</v>
      </c>
      <c r="V10" s="34">
        <f>U10+765</f>
        <v>5368987.5200000005</v>
      </c>
      <c r="X10" s="66"/>
    </row>
    <row r="11" spans="1:24" s="2" customFormat="1">
      <c r="A11" s="32"/>
      <c r="B11" s="9">
        <v>18608772</v>
      </c>
      <c r="C11" s="10" t="s">
        <v>96</v>
      </c>
      <c r="D11" s="568"/>
      <c r="E11" s="574"/>
      <c r="F11" s="575"/>
      <c r="G11" s="12">
        <v>-3488999.0999999996</v>
      </c>
      <c r="H11" s="33">
        <f>G11</f>
        <v>-3488999.0999999996</v>
      </c>
      <c r="I11" s="33">
        <f>H11</f>
        <v>-3488999.0999999996</v>
      </c>
      <c r="J11" s="33">
        <v>-3488999.0999999996</v>
      </c>
      <c r="K11" s="33">
        <f>J11</f>
        <v>-3488999.0999999996</v>
      </c>
      <c r="L11" s="33">
        <f>K11</f>
        <v>-3488999.0999999996</v>
      </c>
      <c r="M11" s="33">
        <f t="shared" ref="M11:V11" si="1">L11</f>
        <v>-3488999.0999999996</v>
      </c>
      <c r="N11" s="33">
        <f t="shared" si="1"/>
        <v>-3488999.0999999996</v>
      </c>
      <c r="O11" s="33">
        <f t="shared" si="1"/>
        <v>-3488999.0999999996</v>
      </c>
      <c r="P11" s="33">
        <f t="shared" si="1"/>
        <v>-3488999.0999999996</v>
      </c>
      <c r="Q11" s="33">
        <f t="shared" si="1"/>
        <v>-3488999.0999999996</v>
      </c>
      <c r="R11" s="33">
        <f t="shared" si="1"/>
        <v>-3488999.0999999996</v>
      </c>
      <c r="S11" s="33">
        <f t="shared" si="1"/>
        <v>-3488999.0999999996</v>
      </c>
      <c r="T11" s="33">
        <f t="shared" si="1"/>
        <v>-3488999.0999999996</v>
      </c>
      <c r="U11" s="33">
        <f t="shared" si="1"/>
        <v>-3488999.0999999996</v>
      </c>
      <c r="V11" s="34">
        <f t="shared" si="1"/>
        <v>-3488999.0999999996</v>
      </c>
      <c r="X11" s="66"/>
    </row>
    <row r="12" spans="1:24" s="2" customFormat="1">
      <c r="A12" s="32"/>
      <c r="B12" s="9">
        <v>18608722</v>
      </c>
      <c r="C12" s="10" t="s">
        <v>97</v>
      </c>
      <c r="D12" s="569"/>
      <c r="E12" s="574"/>
      <c r="F12" s="576"/>
      <c r="G12" s="12">
        <v>8781.25</v>
      </c>
      <c r="H12" s="33">
        <f>G12:G12</f>
        <v>8781.25</v>
      </c>
      <c r="I12" s="33">
        <f>H12</f>
        <v>8781.25</v>
      </c>
      <c r="J12" s="33">
        <v>8781.25</v>
      </c>
      <c r="K12" s="33">
        <f>J12</f>
        <v>8781.25</v>
      </c>
      <c r="L12" s="33">
        <f t="shared" ref="L12:U12" si="2">K12</f>
        <v>8781.25</v>
      </c>
      <c r="M12" s="33">
        <f t="shared" si="2"/>
        <v>8781.25</v>
      </c>
      <c r="N12" s="33">
        <f t="shared" si="2"/>
        <v>8781.25</v>
      </c>
      <c r="O12" s="33">
        <f t="shared" si="2"/>
        <v>8781.25</v>
      </c>
      <c r="P12" s="33">
        <f t="shared" si="2"/>
        <v>8781.25</v>
      </c>
      <c r="Q12" s="33">
        <f t="shared" si="2"/>
        <v>8781.25</v>
      </c>
      <c r="R12" s="33">
        <f t="shared" si="2"/>
        <v>8781.25</v>
      </c>
      <c r="S12" s="33">
        <f t="shared" si="2"/>
        <v>8781.25</v>
      </c>
      <c r="T12" s="33">
        <f t="shared" si="2"/>
        <v>8781.25</v>
      </c>
      <c r="U12" s="33">
        <f t="shared" si="2"/>
        <v>8781.25</v>
      </c>
      <c r="V12" s="34">
        <f>U12</f>
        <v>8781.25</v>
      </c>
      <c r="X12" s="66"/>
    </row>
    <row r="13" spans="1:24" s="2" customFormat="1">
      <c r="A13" s="32"/>
      <c r="B13" s="9">
        <v>18608712</v>
      </c>
      <c r="C13" s="10" t="s">
        <v>14</v>
      </c>
      <c r="D13" s="567" t="s">
        <v>93</v>
      </c>
      <c r="E13" s="578">
        <v>43070</v>
      </c>
      <c r="F13" s="580" t="s">
        <v>16</v>
      </c>
      <c r="G13" s="72">
        <v>0</v>
      </c>
      <c r="H13" s="12">
        <v>0</v>
      </c>
      <c r="I13" s="12">
        <v>0</v>
      </c>
      <c r="J13" s="12">
        <v>0</v>
      </c>
      <c r="K13" s="12">
        <v>0</v>
      </c>
      <c r="L13" s="12">
        <v>0</v>
      </c>
      <c r="M13" s="12">
        <v>0</v>
      </c>
      <c r="N13" s="12">
        <v>0</v>
      </c>
      <c r="O13" s="12">
        <v>0</v>
      </c>
      <c r="P13" s="12">
        <v>0</v>
      </c>
      <c r="Q13" s="12">
        <v>0</v>
      </c>
      <c r="R13" s="12">
        <v>0</v>
      </c>
      <c r="S13" s="12">
        <v>0</v>
      </c>
      <c r="T13" s="12">
        <v>0</v>
      </c>
      <c r="U13" s="12">
        <v>0</v>
      </c>
      <c r="V13" s="34">
        <v>-5361208.37</v>
      </c>
      <c r="X13" s="66"/>
    </row>
    <row r="14" spans="1:24" s="2" customFormat="1">
      <c r="A14" s="32"/>
      <c r="B14" s="9">
        <v>18608772</v>
      </c>
      <c r="C14" s="10" t="s">
        <v>14</v>
      </c>
      <c r="D14" s="568"/>
      <c r="E14" s="578"/>
      <c r="F14" s="581"/>
      <c r="G14" s="72">
        <v>0</v>
      </c>
      <c r="H14" s="12">
        <v>0</v>
      </c>
      <c r="I14" s="12">
        <v>0</v>
      </c>
      <c r="J14" s="12">
        <v>0</v>
      </c>
      <c r="K14" s="12">
        <v>0</v>
      </c>
      <c r="L14" s="12">
        <v>0</v>
      </c>
      <c r="M14" s="12">
        <v>0</v>
      </c>
      <c r="N14" s="12">
        <v>0</v>
      </c>
      <c r="O14" s="12">
        <v>0</v>
      </c>
      <c r="P14" s="12">
        <v>0</v>
      </c>
      <c r="Q14" s="12">
        <v>0</v>
      </c>
      <c r="R14" s="12">
        <v>0</v>
      </c>
      <c r="S14" s="12">
        <v>0</v>
      </c>
      <c r="T14" s="12">
        <v>0</v>
      </c>
      <c r="U14" s="12">
        <v>0</v>
      </c>
      <c r="V14" s="34">
        <v>3488999.1</v>
      </c>
      <c r="X14" s="66"/>
    </row>
    <row r="15" spans="1:24" s="2" customFormat="1">
      <c r="A15" s="15"/>
      <c r="B15" s="9">
        <v>18608722</v>
      </c>
      <c r="C15" s="10" t="s">
        <v>14</v>
      </c>
      <c r="D15" s="577"/>
      <c r="E15" s="579"/>
      <c r="F15" s="582"/>
      <c r="G15" s="37">
        <v>0</v>
      </c>
      <c r="H15" s="37">
        <v>0</v>
      </c>
      <c r="I15" s="37">
        <v>0</v>
      </c>
      <c r="J15" s="37">
        <v>0</v>
      </c>
      <c r="K15" s="37">
        <v>0</v>
      </c>
      <c r="L15" s="37">
        <v>0</v>
      </c>
      <c r="M15" s="37">
        <v>0</v>
      </c>
      <c r="N15" s="37">
        <v>0</v>
      </c>
      <c r="O15" s="37">
        <v>0</v>
      </c>
      <c r="P15" s="37">
        <v>0</v>
      </c>
      <c r="Q15" s="37">
        <v>0</v>
      </c>
      <c r="R15" s="37">
        <v>0</v>
      </c>
      <c r="S15" s="37">
        <v>0</v>
      </c>
      <c r="T15" s="37">
        <v>0</v>
      </c>
      <c r="U15" s="37">
        <v>0</v>
      </c>
      <c r="V15" s="38">
        <v>-8781.25</v>
      </c>
      <c r="X15" s="66"/>
    </row>
    <row r="16" spans="1:24" s="2" customFormat="1">
      <c r="A16" s="39"/>
      <c r="B16" s="40"/>
      <c r="C16" s="41" t="s">
        <v>98</v>
      </c>
      <c r="D16" s="64"/>
      <c r="E16" s="42"/>
      <c r="F16" s="96"/>
      <c r="G16" s="21">
        <f t="shared" ref="G16:V16" si="3">SUM(G10:G15)</f>
        <v>1880990.5200000014</v>
      </c>
      <c r="H16" s="21">
        <f t="shared" si="3"/>
        <v>1880990.5200000014</v>
      </c>
      <c r="I16" s="21">
        <f t="shared" si="3"/>
        <v>1880990.5200000014</v>
      </c>
      <c r="J16" s="21">
        <f t="shared" si="3"/>
        <v>1880512.620000001</v>
      </c>
      <c r="K16" s="21">
        <f t="shared" si="3"/>
        <v>1880512.620000001</v>
      </c>
      <c r="L16" s="21">
        <f t="shared" si="3"/>
        <v>1885492.2600000007</v>
      </c>
      <c r="M16" s="21">
        <f t="shared" si="3"/>
        <v>1885492.2600000007</v>
      </c>
      <c r="N16" s="21">
        <f t="shared" si="3"/>
        <v>1885492.2600000007</v>
      </c>
      <c r="O16" s="21">
        <f t="shared" si="3"/>
        <v>1885492.2600000007</v>
      </c>
      <c r="P16" s="21">
        <f t="shared" si="3"/>
        <v>1886778.4200000009</v>
      </c>
      <c r="Q16" s="21">
        <f t="shared" si="3"/>
        <v>1886913.4200000009</v>
      </c>
      <c r="R16" s="21">
        <f t="shared" si="3"/>
        <v>1886913.4200000009</v>
      </c>
      <c r="S16" s="21">
        <f t="shared" si="3"/>
        <v>1886913.4200000009</v>
      </c>
      <c r="T16" s="21">
        <f t="shared" si="3"/>
        <v>1886913.4200000009</v>
      </c>
      <c r="U16" s="21">
        <f t="shared" si="3"/>
        <v>1888004.6700000009</v>
      </c>
      <c r="V16" s="22">
        <f t="shared" si="3"/>
        <v>7779.1500000008382</v>
      </c>
    </row>
    <row r="17" spans="1:22" s="50" customFormat="1" ht="11.25">
      <c r="A17" s="43"/>
      <c r="B17" s="44"/>
      <c r="C17" s="25"/>
      <c r="D17" s="45"/>
      <c r="E17" s="70"/>
      <c r="F17" s="70"/>
      <c r="G17" s="103"/>
      <c r="H17" s="71"/>
      <c r="I17" s="71"/>
      <c r="J17" s="28"/>
      <c r="K17" s="49"/>
      <c r="L17" s="49"/>
      <c r="M17" s="28"/>
      <c r="N17" s="49"/>
      <c r="O17" s="49"/>
      <c r="P17" s="28"/>
      <c r="Q17" s="49"/>
      <c r="R17" s="49"/>
      <c r="S17" s="28"/>
      <c r="T17" s="49"/>
      <c r="U17" s="49"/>
      <c r="V17" s="30"/>
    </row>
    <row r="18" spans="1:22" s="2" customFormat="1">
      <c r="A18" s="32">
        <v>18602102</v>
      </c>
      <c r="B18" s="9">
        <v>18608212</v>
      </c>
      <c r="C18" s="10" t="s">
        <v>99</v>
      </c>
      <c r="D18" s="104" t="s">
        <v>100</v>
      </c>
      <c r="E18" s="574"/>
      <c r="F18" s="575"/>
      <c r="G18" s="105">
        <v>1470852.25</v>
      </c>
      <c r="H18" s="105">
        <f>G18+4607.2</f>
        <v>1475459.45</v>
      </c>
      <c r="I18" s="105">
        <f>H18+338.25</f>
        <v>1475797.7</v>
      </c>
      <c r="J18" s="12">
        <v>1475797.7</v>
      </c>
      <c r="K18" s="52">
        <f>J18</f>
        <v>1475797.7</v>
      </c>
      <c r="L18" s="52">
        <f t="shared" ref="L18:S19" si="4">K18</f>
        <v>1475797.7</v>
      </c>
      <c r="M18" s="52">
        <f t="shared" si="4"/>
        <v>1475797.7</v>
      </c>
      <c r="N18" s="52">
        <f t="shared" si="4"/>
        <v>1475797.7</v>
      </c>
      <c r="O18" s="52">
        <f t="shared" si="4"/>
        <v>1475797.7</v>
      </c>
      <c r="P18" s="52">
        <f t="shared" si="4"/>
        <v>1475797.7</v>
      </c>
      <c r="Q18" s="52">
        <f t="shared" si="4"/>
        <v>1475797.7</v>
      </c>
      <c r="R18" s="52">
        <f t="shared" si="4"/>
        <v>1475797.7</v>
      </c>
      <c r="S18" s="52">
        <f>R18+5162.61</f>
        <v>1480960.31</v>
      </c>
      <c r="T18" s="52">
        <f>S18+4676.25</f>
        <v>1485636.56</v>
      </c>
      <c r="U18" s="52">
        <f>T18</f>
        <v>1485636.56</v>
      </c>
      <c r="V18" s="53">
        <f>U18</f>
        <v>1485636.56</v>
      </c>
    </row>
    <row r="19" spans="1:22" s="2" customFormat="1">
      <c r="A19" s="32"/>
      <c r="B19" s="9">
        <v>18608782</v>
      </c>
      <c r="C19" s="10" t="s">
        <v>101</v>
      </c>
      <c r="D19" s="106"/>
      <c r="E19" s="574"/>
      <c r="F19" s="576"/>
      <c r="G19" s="97">
        <v>-801550.75</v>
      </c>
      <c r="H19" s="97">
        <f>G19</f>
        <v>-801550.75</v>
      </c>
      <c r="I19" s="97">
        <f>H19</f>
        <v>-801550.75</v>
      </c>
      <c r="J19" s="12">
        <v>-801550.75</v>
      </c>
      <c r="K19" s="52">
        <f>J19</f>
        <v>-801550.75</v>
      </c>
      <c r="L19" s="52">
        <f t="shared" si="4"/>
        <v>-801550.75</v>
      </c>
      <c r="M19" s="52">
        <f t="shared" si="4"/>
        <v>-801550.75</v>
      </c>
      <c r="N19" s="52">
        <f t="shared" si="4"/>
        <v>-801550.75</v>
      </c>
      <c r="O19" s="52">
        <f t="shared" si="4"/>
        <v>-801550.75</v>
      </c>
      <c r="P19" s="52">
        <f t="shared" si="4"/>
        <v>-801550.75</v>
      </c>
      <c r="Q19" s="52">
        <f t="shared" si="4"/>
        <v>-801550.75</v>
      </c>
      <c r="R19" s="52">
        <f t="shared" si="4"/>
        <v>-801550.75</v>
      </c>
      <c r="S19" s="52">
        <f t="shared" si="4"/>
        <v>-801550.75</v>
      </c>
      <c r="T19" s="52">
        <f>S19</f>
        <v>-801550.75</v>
      </c>
      <c r="U19" s="52">
        <f>T19</f>
        <v>-801550.75</v>
      </c>
      <c r="V19" s="53">
        <f>U19</f>
        <v>-801550.75</v>
      </c>
    </row>
    <row r="20" spans="1:22" s="2" customFormat="1">
      <c r="A20" s="32"/>
      <c r="B20" s="9" t="s">
        <v>102</v>
      </c>
      <c r="C20" s="10" t="s">
        <v>14</v>
      </c>
      <c r="D20" s="104"/>
      <c r="E20" s="107"/>
      <c r="F20" s="108"/>
      <c r="G20" s="12">
        <v>0</v>
      </c>
      <c r="H20" s="12">
        <v>0</v>
      </c>
      <c r="I20" s="12">
        <v>0</v>
      </c>
      <c r="J20" s="12">
        <v>0</v>
      </c>
      <c r="K20" s="12">
        <v>0</v>
      </c>
      <c r="L20" s="12">
        <v>0</v>
      </c>
      <c r="M20" s="12">
        <v>0</v>
      </c>
      <c r="N20" s="12">
        <v>0</v>
      </c>
      <c r="O20" s="12">
        <v>0</v>
      </c>
      <c r="P20" s="12">
        <v>0</v>
      </c>
      <c r="Q20" s="12">
        <v>0</v>
      </c>
      <c r="R20" s="12">
        <v>0</v>
      </c>
      <c r="S20" s="12">
        <v>0</v>
      </c>
      <c r="T20" s="12">
        <v>0</v>
      </c>
      <c r="U20" s="12">
        <v>0</v>
      </c>
      <c r="V20" s="34">
        <v>-1470852.25</v>
      </c>
    </row>
    <row r="21" spans="1:22" s="2" customFormat="1">
      <c r="A21" s="32"/>
      <c r="B21" s="9">
        <v>18608782</v>
      </c>
      <c r="C21" s="10" t="s">
        <v>14</v>
      </c>
      <c r="D21" s="98" t="s">
        <v>93</v>
      </c>
      <c r="E21" s="16">
        <v>43070</v>
      </c>
      <c r="F21" s="99" t="s">
        <v>16</v>
      </c>
      <c r="G21" s="37">
        <v>0</v>
      </c>
      <c r="H21" s="37">
        <v>0</v>
      </c>
      <c r="I21" s="37">
        <v>0</v>
      </c>
      <c r="J21" s="37">
        <v>0</v>
      </c>
      <c r="K21" s="37">
        <v>0</v>
      </c>
      <c r="L21" s="37">
        <v>0</v>
      </c>
      <c r="M21" s="37">
        <v>0</v>
      </c>
      <c r="N21" s="37">
        <v>0</v>
      </c>
      <c r="O21" s="37">
        <v>0</v>
      </c>
      <c r="P21" s="37">
        <v>0</v>
      </c>
      <c r="Q21" s="37">
        <v>0</v>
      </c>
      <c r="R21" s="37">
        <v>0</v>
      </c>
      <c r="S21" s="37">
        <v>0</v>
      </c>
      <c r="T21" s="37">
        <v>0</v>
      </c>
      <c r="U21" s="37">
        <v>0</v>
      </c>
      <c r="V21" s="38">
        <v>801550.75</v>
      </c>
    </row>
    <row r="22" spans="1:22" s="2" customFormat="1">
      <c r="A22" s="39"/>
      <c r="B22" s="40"/>
      <c r="C22" s="41" t="s">
        <v>103</v>
      </c>
      <c r="D22" s="54"/>
      <c r="E22" s="60"/>
      <c r="F22" s="109"/>
      <c r="G22" s="56">
        <f t="shared" ref="G22:U22" si="5">SUM(G18:G21)</f>
        <v>669301.5</v>
      </c>
      <c r="H22" s="56">
        <f t="shared" si="5"/>
        <v>673908.7</v>
      </c>
      <c r="I22" s="56">
        <f t="shared" si="5"/>
        <v>674246.95</v>
      </c>
      <c r="J22" s="56">
        <f t="shared" si="5"/>
        <v>674246.95</v>
      </c>
      <c r="K22" s="56">
        <f t="shared" si="5"/>
        <v>674246.95</v>
      </c>
      <c r="L22" s="56">
        <f t="shared" si="5"/>
        <v>674246.95</v>
      </c>
      <c r="M22" s="56">
        <f t="shared" si="5"/>
        <v>674246.95</v>
      </c>
      <c r="N22" s="56">
        <f t="shared" si="5"/>
        <v>674246.95</v>
      </c>
      <c r="O22" s="56">
        <f t="shared" si="5"/>
        <v>674246.95</v>
      </c>
      <c r="P22" s="56">
        <f t="shared" si="5"/>
        <v>674246.95</v>
      </c>
      <c r="Q22" s="56">
        <f t="shared" si="5"/>
        <v>674246.95</v>
      </c>
      <c r="R22" s="56">
        <f t="shared" si="5"/>
        <v>674246.95</v>
      </c>
      <c r="S22" s="56">
        <f t="shared" si="5"/>
        <v>679409.56</v>
      </c>
      <c r="T22" s="56">
        <f t="shared" si="5"/>
        <v>684085.81</v>
      </c>
      <c r="U22" s="56">
        <f t="shared" si="5"/>
        <v>684085.81</v>
      </c>
      <c r="V22" s="57">
        <f>SUM(V18:V21)</f>
        <v>14784.310000000056</v>
      </c>
    </row>
    <row r="23" spans="1:22" s="50" customFormat="1" ht="11.25">
      <c r="A23" s="43"/>
      <c r="B23" s="44"/>
      <c r="C23" s="25"/>
      <c r="D23" s="45"/>
      <c r="E23" s="70"/>
      <c r="F23" s="70"/>
      <c r="G23" s="110"/>
      <c r="H23" s="71"/>
      <c r="I23" s="71"/>
      <c r="J23" s="73"/>
      <c r="K23" s="111"/>
      <c r="L23" s="111"/>
      <c r="M23" s="73"/>
      <c r="N23" s="111"/>
      <c r="O23" s="111"/>
      <c r="P23" s="73"/>
      <c r="Q23" s="111"/>
      <c r="R23" s="111"/>
      <c r="S23" s="73"/>
      <c r="T23" s="111"/>
      <c r="U23" s="111"/>
      <c r="V23" s="112"/>
    </row>
    <row r="24" spans="1:22" s="2" customFormat="1">
      <c r="A24" s="39">
        <v>18603102</v>
      </c>
      <c r="B24" s="40">
        <v>18608312</v>
      </c>
      <c r="C24" s="10" t="s">
        <v>104</v>
      </c>
      <c r="D24" s="104" t="s">
        <v>92</v>
      </c>
      <c r="E24" s="113"/>
      <c r="F24" s="42"/>
      <c r="G24" s="52">
        <v>3961262</v>
      </c>
      <c r="H24" s="52">
        <f>G24</f>
        <v>3961262</v>
      </c>
      <c r="I24" s="52">
        <f>H24</f>
        <v>3961262</v>
      </c>
      <c r="J24" s="114">
        <v>3961506.13</v>
      </c>
      <c r="K24" s="52">
        <f>J24+3360</f>
        <v>3964866.13</v>
      </c>
      <c r="L24" s="52">
        <f>K24</f>
        <v>3964866.13</v>
      </c>
      <c r="M24" s="52">
        <f>L24</f>
        <v>3964866.13</v>
      </c>
      <c r="N24" s="52">
        <f>M24+1457.63</f>
        <v>3966323.76</v>
      </c>
      <c r="O24" s="52">
        <f>N24</f>
        <v>3966323.76</v>
      </c>
      <c r="P24" s="52">
        <f>O24</f>
        <v>3966323.76</v>
      </c>
      <c r="Q24" s="52">
        <f>P24</f>
        <v>3966323.76</v>
      </c>
      <c r="R24" s="52">
        <f>Q24</f>
        <v>3966323.76</v>
      </c>
      <c r="S24" s="52">
        <f>R24+2836.13</f>
        <v>3969159.8899999997</v>
      </c>
      <c r="T24" s="52">
        <f>S24+1808.63</f>
        <v>3970968.5199999996</v>
      </c>
      <c r="U24" s="52">
        <f>T24</f>
        <v>3970968.5199999996</v>
      </c>
      <c r="V24" s="53">
        <f>U24</f>
        <v>3970968.5199999996</v>
      </c>
    </row>
    <row r="25" spans="1:22" s="2" customFormat="1">
      <c r="A25" s="39"/>
      <c r="B25" s="40">
        <v>18608312</v>
      </c>
      <c r="C25" s="10" t="s">
        <v>14</v>
      </c>
      <c r="D25" s="98" t="s">
        <v>93</v>
      </c>
      <c r="E25" s="16">
        <v>43070</v>
      </c>
      <c r="F25" s="99" t="s">
        <v>16</v>
      </c>
      <c r="G25" s="115">
        <v>0</v>
      </c>
      <c r="H25" s="116">
        <v>0</v>
      </c>
      <c r="I25" s="116">
        <v>0</v>
      </c>
      <c r="J25" s="116">
        <v>0</v>
      </c>
      <c r="K25" s="116">
        <v>0</v>
      </c>
      <c r="L25" s="116">
        <v>0</v>
      </c>
      <c r="M25" s="116">
        <v>0</v>
      </c>
      <c r="N25" s="116">
        <v>0</v>
      </c>
      <c r="O25" s="116">
        <v>0</v>
      </c>
      <c r="P25" s="116">
        <v>0</v>
      </c>
      <c r="Q25" s="116">
        <v>0</v>
      </c>
      <c r="R25" s="116">
        <v>0</v>
      </c>
      <c r="S25" s="116">
        <v>0</v>
      </c>
      <c r="T25" s="116">
        <v>0</v>
      </c>
      <c r="U25" s="116">
        <v>0</v>
      </c>
      <c r="V25" s="117">
        <v>-3961262</v>
      </c>
    </row>
    <row r="26" spans="1:22" s="2" customFormat="1">
      <c r="A26" s="39"/>
      <c r="B26" s="40"/>
      <c r="C26" s="41" t="s">
        <v>105</v>
      </c>
      <c r="D26" s="54"/>
      <c r="E26" s="118"/>
      <c r="F26" s="109"/>
      <c r="G26" s="56">
        <f t="shared" ref="G26:V26" si="6">SUM(G24:G25)</f>
        <v>3961262</v>
      </c>
      <c r="H26" s="56">
        <f t="shared" si="6"/>
        <v>3961262</v>
      </c>
      <c r="I26" s="56">
        <f t="shared" si="6"/>
        <v>3961262</v>
      </c>
      <c r="J26" s="56">
        <f t="shared" si="6"/>
        <v>3961506.13</v>
      </c>
      <c r="K26" s="56">
        <f t="shared" si="6"/>
        <v>3964866.13</v>
      </c>
      <c r="L26" s="56">
        <f t="shared" si="6"/>
        <v>3964866.13</v>
      </c>
      <c r="M26" s="56">
        <f t="shared" si="6"/>
        <v>3964866.13</v>
      </c>
      <c r="N26" s="56">
        <f t="shared" si="6"/>
        <v>3966323.76</v>
      </c>
      <c r="O26" s="56">
        <f t="shared" si="6"/>
        <v>3966323.76</v>
      </c>
      <c r="P26" s="56">
        <f t="shared" si="6"/>
        <v>3966323.76</v>
      </c>
      <c r="Q26" s="56">
        <f t="shared" si="6"/>
        <v>3966323.76</v>
      </c>
      <c r="R26" s="56">
        <f t="shared" si="6"/>
        <v>3966323.76</v>
      </c>
      <c r="S26" s="56">
        <f t="shared" si="6"/>
        <v>3969159.8899999997</v>
      </c>
      <c r="T26" s="56">
        <f t="shared" si="6"/>
        <v>3970968.5199999996</v>
      </c>
      <c r="U26" s="56">
        <f t="shared" si="6"/>
        <v>3970968.5199999996</v>
      </c>
      <c r="V26" s="57">
        <f t="shared" si="6"/>
        <v>9706.519999999553</v>
      </c>
    </row>
    <row r="27" spans="1:22" s="50" customFormat="1" ht="11.45" customHeight="1">
      <c r="A27" s="119"/>
      <c r="B27" s="120"/>
      <c r="C27" s="121"/>
      <c r="D27" s="26"/>
      <c r="E27" s="70"/>
      <c r="F27" s="122"/>
      <c r="G27" s="103"/>
      <c r="H27" s="71"/>
      <c r="I27" s="71"/>
      <c r="J27" s="73"/>
      <c r="K27" s="111"/>
      <c r="L27" s="111"/>
      <c r="M27" s="73"/>
      <c r="N27" s="111"/>
      <c r="O27" s="111"/>
      <c r="P27" s="73"/>
      <c r="Q27" s="111"/>
      <c r="R27" s="111"/>
      <c r="S27" s="73"/>
      <c r="T27" s="111"/>
      <c r="U27" s="111"/>
      <c r="V27" s="112"/>
    </row>
    <row r="28" spans="1:22" s="123" customFormat="1" ht="12.6" customHeight="1">
      <c r="A28" s="39">
        <v>18606302</v>
      </c>
      <c r="B28" s="40">
        <v>18609432</v>
      </c>
      <c r="C28" s="10" t="s">
        <v>106</v>
      </c>
      <c r="D28" s="567" t="s">
        <v>92</v>
      </c>
      <c r="E28" s="570"/>
      <c r="F28" s="572"/>
      <c r="G28" s="12">
        <v>6872373.6200000001</v>
      </c>
      <c r="H28" s="12">
        <f>G28+158743.71</f>
        <v>7031117.3300000001</v>
      </c>
      <c r="I28" s="12">
        <f>H28+170229.18</f>
        <v>7201346.5099999998</v>
      </c>
      <c r="J28" s="12">
        <v>7419660.5</v>
      </c>
      <c r="K28" s="12">
        <f>J28+108582.31</f>
        <v>7528242.8099999996</v>
      </c>
      <c r="L28" s="12">
        <f>K28+117085.63</f>
        <v>7645328.4399999995</v>
      </c>
      <c r="M28" s="12">
        <f>L28+152886.79</f>
        <v>7798215.2299999995</v>
      </c>
      <c r="N28" s="12">
        <f t="shared" ref="N28" si="7">M28</f>
        <v>7798215.2299999995</v>
      </c>
      <c r="O28" s="12">
        <f>N28+511322.7</f>
        <v>8309537.9299999997</v>
      </c>
      <c r="P28" s="12">
        <f>O28+190276.88</f>
        <v>8499814.8100000005</v>
      </c>
      <c r="Q28" s="12">
        <f>P28+153128.9</f>
        <v>8652943.7100000009</v>
      </c>
      <c r="R28" s="12">
        <f>Q28+182252.16</f>
        <v>8835195.870000001</v>
      </c>
      <c r="S28" s="12">
        <f>R28+142106.66</f>
        <v>8977302.5300000012</v>
      </c>
      <c r="T28" s="12">
        <f>S28+182156.8</f>
        <v>9159459.3300000019</v>
      </c>
      <c r="U28" s="12">
        <f>T28+155411.13</f>
        <v>9314870.4600000028</v>
      </c>
      <c r="V28" s="53">
        <f>U28+223717.34</f>
        <v>9538587.8000000026</v>
      </c>
    </row>
    <row r="29" spans="1:22" s="123" customFormat="1" ht="12.6" customHeight="1">
      <c r="A29" s="39">
        <v>18604102</v>
      </c>
      <c r="B29" s="40">
        <v>18608412</v>
      </c>
      <c r="C29" s="10" t="s">
        <v>107</v>
      </c>
      <c r="D29" s="568"/>
      <c r="E29" s="570"/>
      <c r="F29" s="572"/>
      <c r="G29" s="12">
        <v>2651381.7400000002</v>
      </c>
      <c r="H29" s="12">
        <f>G29</f>
        <v>2651381.7400000002</v>
      </c>
      <c r="I29" s="12">
        <f>H29</f>
        <v>2651381.7400000002</v>
      </c>
      <c r="J29" s="12">
        <v>2651381.7400000002</v>
      </c>
      <c r="K29" s="12">
        <f>J29</f>
        <v>2651381.7400000002</v>
      </c>
      <c r="L29" s="12">
        <f>K29</f>
        <v>2651381.7400000002</v>
      </c>
      <c r="M29" s="12">
        <f t="shared" ref="M29:U30" si="8">L29</f>
        <v>2651381.7400000002</v>
      </c>
      <c r="N29" s="12">
        <f t="shared" si="8"/>
        <v>2651381.7400000002</v>
      </c>
      <c r="O29" s="12">
        <f t="shared" si="8"/>
        <v>2651381.7400000002</v>
      </c>
      <c r="P29" s="12">
        <f t="shared" si="8"/>
        <v>2651381.7400000002</v>
      </c>
      <c r="Q29" s="12">
        <f t="shared" si="8"/>
        <v>2651381.7400000002</v>
      </c>
      <c r="R29" s="12">
        <f t="shared" si="8"/>
        <v>2651381.7400000002</v>
      </c>
      <c r="S29" s="12">
        <f t="shared" si="8"/>
        <v>2651381.7400000002</v>
      </c>
      <c r="T29" s="12">
        <f t="shared" si="8"/>
        <v>2651381.7400000002</v>
      </c>
      <c r="U29" s="12">
        <f t="shared" si="8"/>
        <v>2651381.7400000002</v>
      </c>
      <c r="V29" s="53">
        <f>U29</f>
        <v>2651381.7400000002</v>
      </c>
    </row>
    <row r="30" spans="1:22" s="123" customFormat="1" ht="12.6" customHeight="1">
      <c r="A30" s="39">
        <v>18614102</v>
      </c>
      <c r="B30" s="40">
        <v>18609312</v>
      </c>
      <c r="C30" s="10" t="s">
        <v>108</v>
      </c>
      <c r="D30" s="568"/>
      <c r="E30" s="570"/>
      <c r="F30" s="572"/>
      <c r="G30" s="12">
        <v>12405154.710000001</v>
      </c>
      <c r="H30" s="12">
        <f>G30</f>
        <v>12405154.710000001</v>
      </c>
      <c r="I30" s="12">
        <f>H30</f>
        <v>12405154.710000001</v>
      </c>
      <c r="J30" s="12">
        <v>12405154.710000001</v>
      </c>
      <c r="K30" s="12">
        <f>J30</f>
        <v>12405154.710000001</v>
      </c>
      <c r="L30" s="12">
        <f>K30</f>
        <v>12405154.710000001</v>
      </c>
      <c r="M30" s="12">
        <f>L30</f>
        <v>12405154.710000001</v>
      </c>
      <c r="N30" s="12">
        <f>M30</f>
        <v>12405154.710000001</v>
      </c>
      <c r="O30" s="12">
        <f t="shared" si="8"/>
        <v>12405154.710000001</v>
      </c>
      <c r="P30" s="12">
        <f t="shared" si="8"/>
        <v>12405154.710000001</v>
      </c>
      <c r="Q30" s="12">
        <f t="shared" si="8"/>
        <v>12405154.710000001</v>
      </c>
      <c r="R30" s="12">
        <f t="shared" si="8"/>
        <v>12405154.710000001</v>
      </c>
      <c r="S30" s="12">
        <f t="shared" si="8"/>
        <v>12405154.710000001</v>
      </c>
      <c r="T30" s="12">
        <f t="shared" si="8"/>
        <v>12405154.710000001</v>
      </c>
      <c r="U30" s="12">
        <f t="shared" si="8"/>
        <v>12405154.710000001</v>
      </c>
      <c r="V30" s="53">
        <f>U30</f>
        <v>12405154.710000001</v>
      </c>
    </row>
    <row r="31" spans="1:22" s="123" customFormat="1" ht="12.6" customHeight="1">
      <c r="A31" s="39">
        <v>18606303</v>
      </c>
      <c r="B31" s="40">
        <v>18609402</v>
      </c>
      <c r="C31" s="10" t="s">
        <v>109</v>
      </c>
      <c r="D31" s="569"/>
      <c r="E31" s="571"/>
      <c r="F31" s="573"/>
      <c r="G31" s="124">
        <v>0</v>
      </c>
      <c r="H31" s="124">
        <v>0</v>
      </c>
      <c r="I31" s="12">
        <v>0</v>
      </c>
      <c r="J31" s="124">
        <v>0</v>
      </c>
      <c r="K31" s="124">
        <f>J31</f>
        <v>0</v>
      </c>
      <c r="L31" s="124">
        <f t="shared" ref="L31" si="9">K31</f>
        <v>0</v>
      </c>
      <c r="M31" s="12">
        <v>-190064.35</v>
      </c>
      <c r="N31" s="12">
        <f>M31</f>
        <v>-190064.35</v>
      </c>
      <c r="O31" s="12">
        <f>N31</f>
        <v>-190064.35</v>
      </c>
      <c r="P31" s="12">
        <f>O31-74175.7</f>
        <v>-264240.05</v>
      </c>
      <c r="Q31" s="12">
        <f>P31</f>
        <v>-264240.05</v>
      </c>
      <c r="R31" s="12">
        <f>Q31</f>
        <v>-264240.05</v>
      </c>
      <c r="S31" s="12">
        <f>R31-139862.41</f>
        <v>-404102.45999999996</v>
      </c>
      <c r="T31" s="12">
        <f>S31</f>
        <v>-404102.45999999996</v>
      </c>
      <c r="U31" s="12">
        <f>T31</f>
        <v>-404102.45999999996</v>
      </c>
      <c r="V31" s="53">
        <f>U31-95133.26</f>
        <v>-499235.72</v>
      </c>
    </row>
    <row r="32" spans="1:22" s="123" customFormat="1" ht="12.6" customHeight="1">
      <c r="A32" s="39"/>
      <c r="B32" s="40">
        <v>18609432</v>
      </c>
      <c r="C32" s="10" t="s">
        <v>14</v>
      </c>
      <c r="D32" s="567" t="s">
        <v>93</v>
      </c>
      <c r="E32" s="578">
        <v>43070</v>
      </c>
      <c r="F32" s="580" t="s">
        <v>16</v>
      </c>
      <c r="G32" s="12">
        <v>0</v>
      </c>
      <c r="H32" s="12">
        <v>0</v>
      </c>
      <c r="I32" s="12">
        <v>0</v>
      </c>
      <c r="J32" s="12">
        <v>0</v>
      </c>
      <c r="K32" s="12">
        <v>0</v>
      </c>
      <c r="L32" s="12">
        <v>0</v>
      </c>
      <c r="M32" s="12">
        <v>0</v>
      </c>
      <c r="N32" s="12">
        <v>0</v>
      </c>
      <c r="O32" s="12">
        <v>0</v>
      </c>
      <c r="P32" s="12">
        <v>0</v>
      </c>
      <c r="Q32" s="12">
        <v>0</v>
      </c>
      <c r="R32" s="12">
        <v>0</v>
      </c>
      <c r="S32" s="12">
        <v>0</v>
      </c>
      <c r="T32" s="12">
        <v>0</v>
      </c>
      <c r="U32" s="12">
        <v>0</v>
      </c>
      <c r="V32" s="53">
        <v>-6872373.6200000001</v>
      </c>
    </row>
    <row r="33" spans="1:22" s="123" customFormat="1" ht="12.6" customHeight="1">
      <c r="A33" s="119"/>
      <c r="B33" s="40">
        <v>18608412</v>
      </c>
      <c r="C33" s="10" t="s">
        <v>14</v>
      </c>
      <c r="D33" s="568"/>
      <c r="E33" s="578"/>
      <c r="F33" s="581"/>
      <c r="G33" s="12">
        <v>0</v>
      </c>
      <c r="H33" s="12">
        <v>0</v>
      </c>
      <c r="I33" s="12">
        <v>0</v>
      </c>
      <c r="J33" s="12">
        <v>0</v>
      </c>
      <c r="K33" s="12">
        <v>0</v>
      </c>
      <c r="L33" s="12">
        <v>0</v>
      </c>
      <c r="M33" s="12">
        <v>0</v>
      </c>
      <c r="N33" s="12">
        <v>0</v>
      </c>
      <c r="O33" s="12">
        <v>0</v>
      </c>
      <c r="P33" s="12">
        <v>0</v>
      </c>
      <c r="Q33" s="12">
        <v>0</v>
      </c>
      <c r="R33" s="12">
        <v>0</v>
      </c>
      <c r="S33" s="12">
        <v>0</v>
      </c>
      <c r="T33" s="12">
        <v>0</v>
      </c>
      <c r="U33" s="12">
        <v>0</v>
      </c>
      <c r="V33" s="53">
        <v>-2651381.7400000002</v>
      </c>
    </row>
    <row r="34" spans="1:22" s="2" customFormat="1">
      <c r="A34" s="32"/>
      <c r="B34" s="40">
        <v>18609312</v>
      </c>
      <c r="C34" s="10" t="s">
        <v>14</v>
      </c>
      <c r="D34" s="577"/>
      <c r="E34" s="579"/>
      <c r="F34" s="582"/>
      <c r="G34" s="116">
        <v>0</v>
      </c>
      <c r="H34" s="116">
        <v>0</v>
      </c>
      <c r="I34" s="116">
        <v>0</v>
      </c>
      <c r="J34" s="116">
        <v>0</v>
      </c>
      <c r="K34" s="116">
        <v>0</v>
      </c>
      <c r="L34" s="116">
        <v>0</v>
      </c>
      <c r="M34" s="116">
        <v>0</v>
      </c>
      <c r="N34" s="116">
        <v>0</v>
      </c>
      <c r="O34" s="116">
        <v>0</v>
      </c>
      <c r="P34" s="116">
        <v>0</v>
      </c>
      <c r="Q34" s="116">
        <v>0</v>
      </c>
      <c r="R34" s="116">
        <v>0</v>
      </c>
      <c r="S34" s="116">
        <v>0</v>
      </c>
      <c r="T34" s="116">
        <v>0</v>
      </c>
      <c r="U34" s="116">
        <v>0</v>
      </c>
      <c r="V34" s="53">
        <v>-12405154.710000001</v>
      </c>
    </row>
    <row r="35" spans="1:22" s="2" customFormat="1">
      <c r="A35" s="39"/>
      <c r="B35" s="40"/>
      <c r="C35" s="41" t="s">
        <v>110</v>
      </c>
      <c r="D35" s="54"/>
      <c r="E35" s="60"/>
      <c r="F35" s="109"/>
      <c r="G35" s="56">
        <f t="shared" ref="G35:V35" si="10">SUM(G28:G34)</f>
        <v>21928910.07</v>
      </c>
      <c r="H35" s="56">
        <f t="shared" si="10"/>
        <v>22087653.780000001</v>
      </c>
      <c r="I35" s="56">
        <f t="shared" si="10"/>
        <v>22257882.960000001</v>
      </c>
      <c r="J35" s="56">
        <f t="shared" si="10"/>
        <v>22476196.950000003</v>
      </c>
      <c r="K35" s="56">
        <f t="shared" si="10"/>
        <v>22584779.260000002</v>
      </c>
      <c r="L35" s="56">
        <f t="shared" si="10"/>
        <v>22701864.890000001</v>
      </c>
      <c r="M35" s="56">
        <f t="shared" si="10"/>
        <v>22664687.329999998</v>
      </c>
      <c r="N35" s="56">
        <f t="shared" si="10"/>
        <v>22664687.329999998</v>
      </c>
      <c r="O35" s="56">
        <f t="shared" si="10"/>
        <v>23176010.030000001</v>
      </c>
      <c r="P35" s="56">
        <f t="shared" si="10"/>
        <v>23292111.210000001</v>
      </c>
      <c r="Q35" s="56">
        <f t="shared" si="10"/>
        <v>23445240.110000003</v>
      </c>
      <c r="R35" s="56">
        <f t="shared" si="10"/>
        <v>23627492.27</v>
      </c>
      <c r="S35" s="56">
        <f t="shared" si="10"/>
        <v>23629736.520000003</v>
      </c>
      <c r="T35" s="56">
        <f t="shared" si="10"/>
        <v>23811893.32</v>
      </c>
      <c r="U35" s="56">
        <f t="shared" si="10"/>
        <v>23967304.450000003</v>
      </c>
      <c r="V35" s="57">
        <f t="shared" si="10"/>
        <v>2166978.4600000028</v>
      </c>
    </row>
    <row r="36" spans="1:22" s="50" customFormat="1" ht="12.6" customHeight="1">
      <c r="A36" s="43"/>
      <c r="B36" s="44"/>
      <c r="C36" s="25"/>
      <c r="D36" s="45"/>
      <c r="E36" s="70"/>
      <c r="F36" s="70"/>
      <c r="G36" s="47"/>
      <c r="H36" s="48"/>
      <c r="I36" s="48"/>
      <c r="J36" s="28"/>
      <c r="K36" s="49"/>
      <c r="L36" s="49"/>
      <c r="M36" s="125"/>
      <c r="N36" s="49"/>
      <c r="O36" s="49"/>
      <c r="P36" s="28"/>
      <c r="Q36" s="49"/>
      <c r="R36" s="49"/>
      <c r="S36" s="28"/>
      <c r="T36" s="49"/>
      <c r="U36" s="49"/>
      <c r="V36" s="30"/>
    </row>
    <row r="37" spans="1:22" s="2" customFormat="1">
      <c r="A37" s="39">
        <v>18612102</v>
      </c>
      <c r="B37" s="40">
        <v>18609512</v>
      </c>
      <c r="C37" s="10" t="s">
        <v>111</v>
      </c>
      <c r="D37" s="104" t="s">
        <v>92</v>
      </c>
      <c r="E37" s="113"/>
      <c r="F37" s="42"/>
      <c r="G37" s="52">
        <v>227819.36</v>
      </c>
      <c r="H37" s="52">
        <f>G37+4468</f>
        <v>232287.35999999999</v>
      </c>
      <c r="I37" s="52">
        <f>H37+6938.08</f>
        <v>239225.43999999997</v>
      </c>
      <c r="J37" s="52">
        <v>238684</v>
      </c>
      <c r="K37" s="52">
        <f>J37+329.5</f>
        <v>239013.5</v>
      </c>
      <c r="L37" s="52">
        <f t="shared" ref="L37:U37" si="11">K37</f>
        <v>239013.5</v>
      </c>
      <c r="M37" s="52">
        <f t="shared" si="11"/>
        <v>239013.5</v>
      </c>
      <c r="N37" s="52">
        <f t="shared" si="11"/>
        <v>239013.5</v>
      </c>
      <c r="O37" s="52">
        <f t="shared" si="11"/>
        <v>239013.5</v>
      </c>
      <c r="P37" s="52">
        <f>O37+54617</f>
        <v>293630.5</v>
      </c>
      <c r="Q37" s="52">
        <f>P37+180.5</f>
        <v>293811</v>
      </c>
      <c r="R37" s="52">
        <f t="shared" si="11"/>
        <v>293811</v>
      </c>
      <c r="S37" s="52">
        <f t="shared" si="11"/>
        <v>293811</v>
      </c>
      <c r="T37" s="52">
        <f t="shared" si="11"/>
        <v>293811</v>
      </c>
      <c r="U37" s="52">
        <f t="shared" si="11"/>
        <v>293811</v>
      </c>
      <c r="V37" s="53">
        <f>U37+437</f>
        <v>294248</v>
      </c>
    </row>
    <row r="38" spans="1:22" s="2" customFormat="1">
      <c r="A38" s="32"/>
      <c r="B38" s="40">
        <v>18609512</v>
      </c>
      <c r="C38" s="10" t="s">
        <v>30</v>
      </c>
      <c r="D38" s="126" t="s">
        <v>93</v>
      </c>
      <c r="E38" s="16">
        <v>43070</v>
      </c>
      <c r="F38" s="99" t="s">
        <v>16</v>
      </c>
      <c r="G38" s="37">
        <v>0</v>
      </c>
      <c r="H38" s="37">
        <v>0</v>
      </c>
      <c r="I38" s="37">
        <v>0</v>
      </c>
      <c r="J38" s="37">
        <v>0</v>
      </c>
      <c r="K38" s="37">
        <v>0</v>
      </c>
      <c r="L38" s="37">
        <v>0</v>
      </c>
      <c r="M38" s="37">
        <v>0</v>
      </c>
      <c r="N38" s="37">
        <v>0</v>
      </c>
      <c r="O38" s="37">
        <v>0</v>
      </c>
      <c r="P38" s="37">
        <v>0</v>
      </c>
      <c r="Q38" s="37">
        <v>0</v>
      </c>
      <c r="R38" s="37">
        <v>0</v>
      </c>
      <c r="S38" s="37">
        <v>0</v>
      </c>
      <c r="T38" s="37">
        <v>0</v>
      </c>
      <c r="U38" s="37">
        <v>0</v>
      </c>
      <c r="V38" s="38">
        <v>-227819.36</v>
      </c>
    </row>
    <row r="39" spans="1:22" s="2" customFormat="1">
      <c r="A39" s="39"/>
      <c r="B39" s="40"/>
      <c r="C39" s="41" t="s">
        <v>112</v>
      </c>
      <c r="D39" s="59"/>
      <c r="E39" s="60"/>
      <c r="F39" s="127"/>
      <c r="G39" s="21">
        <f t="shared" ref="G39:V39" si="12">SUM(G37:G38)</f>
        <v>227819.36</v>
      </c>
      <c r="H39" s="21">
        <f t="shared" si="12"/>
        <v>232287.35999999999</v>
      </c>
      <c r="I39" s="21">
        <f t="shared" si="12"/>
        <v>239225.43999999997</v>
      </c>
      <c r="J39" s="21">
        <f t="shared" si="12"/>
        <v>238684</v>
      </c>
      <c r="K39" s="21">
        <f t="shared" si="12"/>
        <v>239013.5</v>
      </c>
      <c r="L39" s="21">
        <f t="shared" si="12"/>
        <v>239013.5</v>
      </c>
      <c r="M39" s="21">
        <f t="shared" si="12"/>
        <v>239013.5</v>
      </c>
      <c r="N39" s="21">
        <f t="shared" si="12"/>
        <v>239013.5</v>
      </c>
      <c r="O39" s="21">
        <f t="shared" si="12"/>
        <v>239013.5</v>
      </c>
      <c r="P39" s="21">
        <f t="shared" si="12"/>
        <v>293630.5</v>
      </c>
      <c r="Q39" s="21">
        <f t="shared" si="12"/>
        <v>293811</v>
      </c>
      <c r="R39" s="21">
        <f t="shared" si="12"/>
        <v>293811</v>
      </c>
      <c r="S39" s="21">
        <f t="shared" si="12"/>
        <v>293811</v>
      </c>
      <c r="T39" s="21">
        <f t="shared" si="12"/>
        <v>293811</v>
      </c>
      <c r="U39" s="21">
        <f t="shared" si="12"/>
        <v>293811</v>
      </c>
      <c r="V39" s="22">
        <f t="shared" si="12"/>
        <v>66428.640000000014</v>
      </c>
    </row>
    <row r="40" spans="1:22" s="50" customFormat="1" ht="11.25">
      <c r="A40" s="43"/>
      <c r="B40" s="44"/>
      <c r="C40" s="25"/>
      <c r="D40" s="45"/>
      <c r="E40" s="70"/>
      <c r="F40" s="70"/>
      <c r="G40" s="47"/>
      <c r="H40" s="48"/>
      <c r="I40" s="48"/>
      <c r="J40" s="28"/>
      <c r="K40" s="49"/>
      <c r="L40" s="49"/>
      <c r="M40" s="28"/>
      <c r="N40" s="49"/>
      <c r="O40" s="49"/>
      <c r="P40" s="28"/>
      <c r="Q40" s="49"/>
      <c r="R40" s="49"/>
      <c r="S40" s="28"/>
      <c r="T40" s="49"/>
      <c r="U40" s="49"/>
      <c r="V40" s="30"/>
    </row>
    <row r="41" spans="1:22" s="2" customFormat="1">
      <c r="A41" s="32">
        <v>18601102</v>
      </c>
      <c r="B41" s="9">
        <v>18608112</v>
      </c>
      <c r="C41" s="10" t="s">
        <v>113</v>
      </c>
      <c r="D41" s="567" t="s">
        <v>100</v>
      </c>
      <c r="E41" s="574"/>
      <c r="F41" s="575"/>
      <c r="G41" s="12">
        <v>4147808.8500000006</v>
      </c>
      <c r="H41" s="12">
        <f>G41+7606.86</f>
        <v>4155415.7100000004</v>
      </c>
      <c r="I41" s="12">
        <f>H41+32351.19</f>
        <v>4187766.9000000004</v>
      </c>
      <c r="J41" s="12">
        <v>4216729.9700000007</v>
      </c>
      <c r="K41" s="12">
        <f>J41</f>
        <v>4216729.9700000007</v>
      </c>
      <c r="L41" s="12">
        <f>K41+26073.78</f>
        <v>4242803.7500000009</v>
      </c>
      <c r="M41" s="12">
        <f>L41+18420.62</f>
        <v>4261224.370000001</v>
      </c>
      <c r="N41" s="12">
        <f>M41+23427.41</f>
        <v>4284651.7800000012</v>
      </c>
      <c r="O41" s="12">
        <f>N41+143</f>
        <v>4284794.7800000012</v>
      </c>
      <c r="P41" s="12">
        <f>O41+17757.27</f>
        <v>4302552.0500000007</v>
      </c>
      <c r="Q41" s="12">
        <f>P41+51717.65</f>
        <v>4354269.7000000011</v>
      </c>
      <c r="R41" s="12">
        <f>Q41+21607.48</f>
        <v>4375877.1800000016</v>
      </c>
      <c r="S41" s="12">
        <f>R41+9823.25</f>
        <v>4385700.4300000016</v>
      </c>
      <c r="T41" s="12">
        <f>S41+19278.45</f>
        <v>4404978.8800000018</v>
      </c>
      <c r="U41" s="12">
        <f>T41+28882.22</f>
        <v>4433861.1000000015</v>
      </c>
      <c r="V41" s="14">
        <f>U41+181662.74</f>
        <v>4615523.8400000017</v>
      </c>
    </row>
    <row r="42" spans="1:22" s="2" customFormat="1">
      <c r="A42" s="32">
        <v>18601102</v>
      </c>
      <c r="B42" s="9">
        <v>18608112</v>
      </c>
      <c r="C42" s="10" t="s">
        <v>114</v>
      </c>
      <c r="D42" s="569"/>
      <c r="E42" s="574"/>
      <c r="F42" s="576"/>
      <c r="G42" s="72">
        <v>34881722.379999995</v>
      </c>
      <c r="H42" s="12">
        <f>G42</f>
        <v>34881722.379999995</v>
      </c>
      <c r="I42" s="12">
        <f>H42</f>
        <v>34881722.379999995</v>
      </c>
      <c r="J42" s="72">
        <v>34881722.379999995</v>
      </c>
      <c r="K42" s="12">
        <f>J42</f>
        <v>34881722.379999995</v>
      </c>
      <c r="L42" s="12">
        <f t="shared" ref="L42:U42" si="13">K42</f>
        <v>34881722.379999995</v>
      </c>
      <c r="M42" s="12">
        <f t="shared" si="13"/>
        <v>34881722.379999995</v>
      </c>
      <c r="N42" s="12">
        <f t="shared" si="13"/>
        <v>34881722.379999995</v>
      </c>
      <c r="O42" s="12">
        <f t="shared" si="13"/>
        <v>34881722.379999995</v>
      </c>
      <c r="P42" s="12">
        <f t="shared" si="13"/>
        <v>34881722.379999995</v>
      </c>
      <c r="Q42" s="12">
        <f t="shared" si="13"/>
        <v>34881722.379999995</v>
      </c>
      <c r="R42" s="12">
        <f t="shared" si="13"/>
        <v>34881722.379999995</v>
      </c>
      <c r="S42" s="12">
        <f t="shared" si="13"/>
        <v>34881722.379999995</v>
      </c>
      <c r="T42" s="12">
        <f t="shared" si="13"/>
        <v>34881722.379999995</v>
      </c>
      <c r="U42" s="12">
        <f t="shared" si="13"/>
        <v>34881722.379999995</v>
      </c>
      <c r="V42" s="14">
        <f>U42</f>
        <v>34881722.379999995</v>
      </c>
    </row>
    <row r="43" spans="1:22" s="2" customFormat="1">
      <c r="A43" s="32"/>
      <c r="B43" s="40">
        <v>18608112</v>
      </c>
      <c r="C43" s="10" t="s">
        <v>30</v>
      </c>
      <c r="D43" s="126" t="s">
        <v>93</v>
      </c>
      <c r="E43" s="16">
        <v>43070</v>
      </c>
      <c r="F43" s="99" t="s">
        <v>16</v>
      </c>
      <c r="G43" s="37">
        <v>0</v>
      </c>
      <c r="H43" s="37">
        <v>0</v>
      </c>
      <c r="I43" s="37">
        <v>0</v>
      </c>
      <c r="J43" s="37">
        <v>0</v>
      </c>
      <c r="K43" s="37">
        <v>0</v>
      </c>
      <c r="L43" s="37">
        <v>0</v>
      </c>
      <c r="M43" s="37">
        <v>0</v>
      </c>
      <c r="N43" s="37">
        <v>0</v>
      </c>
      <c r="O43" s="37">
        <v>0</v>
      </c>
      <c r="P43" s="37">
        <v>0</v>
      </c>
      <c r="Q43" s="37">
        <v>0</v>
      </c>
      <c r="R43" s="37">
        <v>0</v>
      </c>
      <c r="S43" s="37">
        <v>0</v>
      </c>
      <c r="T43" s="37">
        <v>0</v>
      </c>
      <c r="U43" s="37">
        <v>0</v>
      </c>
      <c r="V43" s="38">
        <v>-39029531.229999997</v>
      </c>
    </row>
    <row r="44" spans="1:22" s="2" customFormat="1">
      <c r="A44" s="39"/>
      <c r="B44" s="40"/>
      <c r="C44" s="41" t="s">
        <v>115</v>
      </c>
      <c r="D44" s="59"/>
      <c r="E44" s="118"/>
      <c r="F44" s="127"/>
      <c r="G44" s="21">
        <f t="shared" ref="G44:V44" si="14">SUM(G41:G43)</f>
        <v>39029531.229999997</v>
      </c>
      <c r="H44" s="21">
        <f t="shared" si="14"/>
        <v>39037138.089999996</v>
      </c>
      <c r="I44" s="21">
        <f t="shared" si="14"/>
        <v>39069489.279999994</v>
      </c>
      <c r="J44" s="21">
        <f t="shared" si="14"/>
        <v>39098452.349999994</v>
      </c>
      <c r="K44" s="21">
        <f t="shared" si="14"/>
        <v>39098452.349999994</v>
      </c>
      <c r="L44" s="21">
        <f t="shared" si="14"/>
        <v>39124526.129999995</v>
      </c>
      <c r="M44" s="21">
        <f t="shared" si="14"/>
        <v>39142946.75</v>
      </c>
      <c r="N44" s="21">
        <f t="shared" si="14"/>
        <v>39166374.159999996</v>
      </c>
      <c r="O44" s="21">
        <f t="shared" si="14"/>
        <v>39166517.159999996</v>
      </c>
      <c r="P44" s="21">
        <f t="shared" si="14"/>
        <v>39184274.429999992</v>
      </c>
      <c r="Q44" s="21">
        <f t="shared" si="14"/>
        <v>39235992.079999998</v>
      </c>
      <c r="R44" s="21">
        <f t="shared" si="14"/>
        <v>39257599.559999995</v>
      </c>
      <c r="S44" s="21">
        <f t="shared" si="14"/>
        <v>39267422.809999995</v>
      </c>
      <c r="T44" s="21">
        <f t="shared" si="14"/>
        <v>39286701.259999998</v>
      </c>
      <c r="U44" s="21">
        <f t="shared" si="14"/>
        <v>39315583.479999997</v>
      </c>
      <c r="V44" s="22">
        <f t="shared" si="14"/>
        <v>467714.99000000209</v>
      </c>
    </row>
    <row r="45" spans="1:22" s="50" customFormat="1" ht="11.25">
      <c r="A45" s="43"/>
      <c r="B45" s="44"/>
      <c r="C45" s="25"/>
      <c r="D45" s="45"/>
      <c r="E45" s="70"/>
      <c r="F45" s="70"/>
      <c r="G45" s="47"/>
      <c r="H45" s="48"/>
      <c r="I45" s="48"/>
      <c r="J45" s="28"/>
      <c r="K45" s="49"/>
      <c r="L45" s="49"/>
      <c r="M45" s="28"/>
      <c r="N45" s="49"/>
      <c r="O45" s="49"/>
      <c r="P45" s="28"/>
      <c r="Q45" s="49"/>
      <c r="R45" s="49"/>
      <c r="S45" s="28"/>
      <c r="T45" s="49"/>
      <c r="U45" s="49"/>
      <c r="V45" s="30"/>
    </row>
    <row r="46" spans="1:22" s="2" customFormat="1">
      <c r="A46" s="32">
        <v>18603202</v>
      </c>
      <c r="B46" s="9">
        <v>18609532</v>
      </c>
      <c r="C46" s="10" t="s">
        <v>116</v>
      </c>
      <c r="D46" s="104" t="s">
        <v>92</v>
      </c>
      <c r="E46" s="113"/>
      <c r="F46" s="42"/>
      <c r="G46" s="52">
        <v>436858.74</v>
      </c>
      <c r="H46" s="52">
        <f>G46-181223.3</f>
        <v>255635.44</v>
      </c>
      <c r="I46" s="52">
        <f>H46+194010.96</f>
        <v>449646.4</v>
      </c>
      <c r="J46" s="52">
        <v>479528.95</v>
      </c>
      <c r="K46" s="52">
        <f>J46+3576.66</f>
        <v>483105.61</v>
      </c>
      <c r="L46" s="52">
        <f>K46+15240.37</f>
        <v>498345.98</v>
      </c>
      <c r="M46" s="52">
        <f>L46+32102.37</f>
        <v>530448.35</v>
      </c>
      <c r="N46" s="52">
        <f>M46+21865.13</f>
        <v>552313.48</v>
      </c>
      <c r="O46" s="52">
        <f>N46+22310.63</f>
        <v>574624.11</v>
      </c>
      <c r="P46" s="52">
        <f>O46+47813.9</f>
        <v>622438.01</v>
      </c>
      <c r="Q46" s="52">
        <f>P46+271130.54</f>
        <v>893568.55</v>
      </c>
      <c r="R46" s="52">
        <f>Q46+2849.5</f>
        <v>896418.05</v>
      </c>
      <c r="S46" s="52">
        <f>R46+77464.79</f>
        <v>973882.84000000008</v>
      </c>
      <c r="T46" s="52">
        <f>S46+107236.08</f>
        <v>1081118.9200000002</v>
      </c>
      <c r="U46" s="52">
        <f>T46+249</f>
        <v>1081367.9200000002</v>
      </c>
      <c r="V46" s="53">
        <f>U46+166</f>
        <v>1081533.9200000002</v>
      </c>
    </row>
    <row r="47" spans="1:22" s="2" customFormat="1">
      <c r="A47" s="32"/>
      <c r="B47" s="40">
        <v>18609532</v>
      </c>
      <c r="C47" s="10" t="s">
        <v>30</v>
      </c>
      <c r="D47" s="126" t="s">
        <v>93</v>
      </c>
      <c r="E47" s="16">
        <v>43070</v>
      </c>
      <c r="F47" s="99" t="s">
        <v>16</v>
      </c>
      <c r="G47" s="37">
        <v>0</v>
      </c>
      <c r="H47" s="37">
        <v>0</v>
      </c>
      <c r="I47" s="37">
        <v>0</v>
      </c>
      <c r="J47" s="37">
        <v>0</v>
      </c>
      <c r="K47" s="37">
        <v>0</v>
      </c>
      <c r="L47" s="37">
        <v>0</v>
      </c>
      <c r="M47" s="37">
        <v>0</v>
      </c>
      <c r="N47" s="37">
        <v>0</v>
      </c>
      <c r="O47" s="37">
        <v>0</v>
      </c>
      <c r="P47" s="37">
        <v>0</v>
      </c>
      <c r="Q47" s="37">
        <v>0</v>
      </c>
      <c r="R47" s="37">
        <v>0</v>
      </c>
      <c r="S47" s="37">
        <v>0</v>
      </c>
      <c r="T47" s="37">
        <v>0</v>
      </c>
      <c r="U47" s="37">
        <v>0</v>
      </c>
      <c r="V47" s="38">
        <v>-436858.74</v>
      </c>
    </row>
    <row r="48" spans="1:22" s="2" customFormat="1">
      <c r="A48" s="39"/>
      <c r="B48" s="40"/>
      <c r="C48" s="58" t="s">
        <v>117</v>
      </c>
      <c r="D48" s="59"/>
      <c r="E48" s="60"/>
      <c r="F48" s="127"/>
      <c r="G48" s="21">
        <f t="shared" ref="G48:V48" si="15">SUM(G46:G47)</f>
        <v>436858.74</v>
      </c>
      <c r="H48" s="21">
        <f t="shared" si="15"/>
        <v>255635.44</v>
      </c>
      <c r="I48" s="21">
        <f t="shared" si="15"/>
        <v>449646.4</v>
      </c>
      <c r="J48" s="21">
        <f t="shared" si="15"/>
        <v>479528.95</v>
      </c>
      <c r="K48" s="21">
        <f t="shared" si="15"/>
        <v>483105.61</v>
      </c>
      <c r="L48" s="21">
        <f t="shared" si="15"/>
        <v>498345.98</v>
      </c>
      <c r="M48" s="21">
        <f t="shared" si="15"/>
        <v>530448.35</v>
      </c>
      <c r="N48" s="21">
        <f t="shared" si="15"/>
        <v>552313.48</v>
      </c>
      <c r="O48" s="21">
        <f t="shared" si="15"/>
        <v>574624.11</v>
      </c>
      <c r="P48" s="21">
        <f t="shared" si="15"/>
        <v>622438.01</v>
      </c>
      <c r="Q48" s="21">
        <f t="shared" si="15"/>
        <v>893568.55</v>
      </c>
      <c r="R48" s="21">
        <f t="shared" si="15"/>
        <v>896418.05</v>
      </c>
      <c r="S48" s="21">
        <f t="shared" si="15"/>
        <v>973882.84000000008</v>
      </c>
      <c r="T48" s="21">
        <f t="shared" si="15"/>
        <v>1081118.9200000002</v>
      </c>
      <c r="U48" s="21">
        <f t="shared" si="15"/>
        <v>1081367.9200000002</v>
      </c>
      <c r="V48" s="22">
        <f t="shared" si="15"/>
        <v>644675.18000000017</v>
      </c>
    </row>
    <row r="49" spans="1:23" s="50" customFormat="1" ht="11.25">
      <c r="A49" s="43"/>
      <c r="B49" s="44"/>
      <c r="C49" s="25"/>
      <c r="D49" s="45"/>
      <c r="E49" s="70"/>
      <c r="F49" s="70"/>
      <c r="G49" s="47"/>
      <c r="H49" s="48"/>
      <c r="I49" s="48"/>
      <c r="J49" s="28"/>
      <c r="K49" s="49"/>
      <c r="L49" s="49"/>
      <c r="M49" s="28"/>
      <c r="N49" s="49"/>
      <c r="O49" s="49"/>
      <c r="P49" s="28"/>
      <c r="Q49" s="49"/>
      <c r="R49" s="49"/>
      <c r="S49" s="28"/>
      <c r="T49" s="49"/>
      <c r="U49" s="49"/>
      <c r="V49" s="30"/>
    </row>
    <row r="50" spans="1:23" s="2" customFormat="1">
      <c r="A50" s="32">
        <v>18614402</v>
      </c>
      <c r="B50" s="9">
        <v>18609542</v>
      </c>
      <c r="C50" s="10" t="s">
        <v>118</v>
      </c>
      <c r="D50" s="567" t="s">
        <v>92</v>
      </c>
      <c r="E50" s="574"/>
      <c r="F50" s="572"/>
      <c r="G50" s="52">
        <v>1263973.54</v>
      </c>
      <c r="H50" s="52">
        <f>G50</f>
        <v>1263973.54</v>
      </c>
      <c r="I50" s="52">
        <f>H50</f>
        <v>1263973.54</v>
      </c>
      <c r="J50" s="52">
        <v>1265653.31</v>
      </c>
      <c r="K50" s="52">
        <f>J50</f>
        <v>1265653.31</v>
      </c>
      <c r="L50" s="52">
        <f t="shared" ref="L50:U52" si="16">K50</f>
        <v>1265653.31</v>
      </c>
      <c r="M50" s="52">
        <f t="shared" si="16"/>
        <v>1265653.31</v>
      </c>
      <c r="N50" s="52">
        <f t="shared" si="16"/>
        <v>1265653.31</v>
      </c>
      <c r="O50" s="52">
        <f t="shared" si="16"/>
        <v>1265653.31</v>
      </c>
      <c r="P50" s="52">
        <f t="shared" si="16"/>
        <v>1265653.31</v>
      </c>
      <c r="Q50" s="52">
        <f t="shared" si="16"/>
        <v>1265653.31</v>
      </c>
      <c r="R50" s="52">
        <f t="shared" si="16"/>
        <v>1265653.31</v>
      </c>
      <c r="S50" s="52">
        <f t="shared" si="16"/>
        <v>1265653.31</v>
      </c>
      <c r="T50" s="52">
        <f t="shared" si="16"/>
        <v>1265653.31</v>
      </c>
      <c r="U50" s="52">
        <f t="shared" si="16"/>
        <v>1265653.31</v>
      </c>
      <c r="V50" s="53">
        <f>U50+8491.4</f>
        <v>1274144.71</v>
      </c>
    </row>
    <row r="51" spans="1:23" s="2" customFormat="1">
      <c r="A51" s="32"/>
      <c r="B51" s="9">
        <v>18608792</v>
      </c>
      <c r="C51" s="10" t="s">
        <v>119</v>
      </c>
      <c r="D51" s="569"/>
      <c r="E51" s="574"/>
      <c r="F51" s="573"/>
      <c r="G51" s="52">
        <v>-160310.15</v>
      </c>
      <c r="H51" s="52">
        <f>G51</f>
        <v>-160310.15</v>
      </c>
      <c r="I51" s="52">
        <f>H51</f>
        <v>-160310.15</v>
      </c>
      <c r="J51" s="52">
        <v>-160310.15</v>
      </c>
      <c r="K51" s="52">
        <f>J51</f>
        <v>-160310.15</v>
      </c>
      <c r="L51" s="52">
        <f t="shared" si="16"/>
        <v>-160310.15</v>
      </c>
      <c r="M51" s="52">
        <f t="shared" si="16"/>
        <v>-160310.15</v>
      </c>
      <c r="N51" s="52">
        <f t="shared" si="16"/>
        <v>-160310.15</v>
      </c>
      <c r="O51" s="52">
        <f t="shared" si="16"/>
        <v>-160310.15</v>
      </c>
      <c r="P51" s="52">
        <f t="shared" si="16"/>
        <v>-160310.15</v>
      </c>
      <c r="Q51" s="52">
        <f t="shared" si="16"/>
        <v>-160310.15</v>
      </c>
      <c r="R51" s="52">
        <f t="shared" si="16"/>
        <v>-160310.15</v>
      </c>
      <c r="S51" s="52">
        <f t="shared" si="16"/>
        <v>-160310.15</v>
      </c>
      <c r="T51" s="52">
        <f t="shared" si="16"/>
        <v>-160310.15</v>
      </c>
      <c r="U51" s="52">
        <f t="shared" si="16"/>
        <v>-160310.15</v>
      </c>
      <c r="V51" s="53">
        <f>U51</f>
        <v>-160310.15</v>
      </c>
    </row>
    <row r="52" spans="1:23" s="2" customFormat="1">
      <c r="A52" s="32"/>
      <c r="B52" s="9">
        <v>18609542</v>
      </c>
      <c r="C52" s="10" t="s">
        <v>30</v>
      </c>
      <c r="D52" s="567" t="s">
        <v>93</v>
      </c>
      <c r="E52" s="583">
        <v>43070</v>
      </c>
      <c r="F52" s="583" t="s">
        <v>16</v>
      </c>
      <c r="G52" s="52">
        <v>0</v>
      </c>
      <c r="H52" s="52">
        <v>0</v>
      </c>
      <c r="I52" s="52">
        <v>0</v>
      </c>
      <c r="J52" s="52">
        <v>0</v>
      </c>
      <c r="K52" s="52">
        <f t="shared" ref="K52" si="17">J52</f>
        <v>0</v>
      </c>
      <c r="L52" s="52">
        <f t="shared" si="16"/>
        <v>0</v>
      </c>
      <c r="M52" s="52">
        <f t="shared" si="16"/>
        <v>0</v>
      </c>
      <c r="N52" s="52">
        <f t="shared" si="16"/>
        <v>0</v>
      </c>
      <c r="O52" s="52">
        <f t="shared" si="16"/>
        <v>0</v>
      </c>
      <c r="P52" s="52">
        <f t="shared" si="16"/>
        <v>0</v>
      </c>
      <c r="Q52" s="52">
        <f t="shared" si="16"/>
        <v>0</v>
      </c>
      <c r="R52" s="52">
        <f t="shared" si="16"/>
        <v>0</v>
      </c>
      <c r="S52" s="52">
        <f t="shared" si="16"/>
        <v>0</v>
      </c>
      <c r="T52" s="52">
        <f t="shared" si="16"/>
        <v>0</v>
      </c>
      <c r="U52" s="52">
        <f t="shared" si="16"/>
        <v>0</v>
      </c>
      <c r="V52" s="53">
        <v>-1263973.54</v>
      </c>
    </row>
    <row r="53" spans="1:23" s="2" customFormat="1">
      <c r="A53" s="32"/>
      <c r="B53" s="9">
        <v>18608792</v>
      </c>
      <c r="C53" s="10" t="s">
        <v>30</v>
      </c>
      <c r="D53" s="577"/>
      <c r="E53" s="584"/>
      <c r="F53" s="584"/>
      <c r="G53" s="37">
        <v>0</v>
      </c>
      <c r="H53" s="37">
        <v>0</v>
      </c>
      <c r="I53" s="37">
        <v>0</v>
      </c>
      <c r="J53" s="37">
        <v>0</v>
      </c>
      <c r="K53" s="37">
        <v>0</v>
      </c>
      <c r="L53" s="37">
        <v>0</v>
      </c>
      <c r="M53" s="37">
        <v>0</v>
      </c>
      <c r="N53" s="37">
        <v>0</v>
      </c>
      <c r="O53" s="37">
        <v>0</v>
      </c>
      <c r="P53" s="37">
        <v>0</v>
      </c>
      <c r="Q53" s="37">
        <v>0</v>
      </c>
      <c r="R53" s="37">
        <v>0</v>
      </c>
      <c r="S53" s="37">
        <v>0</v>
      </c>
      <c r="T53" s="37">
        <v>0</v>
      </c>
      <c r="U53" s="37">
        <v>0</v>
      </c>
      <c r="V53" s="38">
        <v>160310.15</v>
      </c>
      <c r="W53" s="63"/>
    </row>
    <row r="54" spans="1:23" s="2" customFormat="1">
      <c r="A54" s="39"/>
      <c r="B54" s="40"/>
      <c r="C54" s="58" t="s">
        <v>120</v>
      </c>
      <c r="D54" s="59"/>
      <c r="E54" s="60"/>
      <c r="F54" s="127"/>
      <c r="G54" s="21">
        <f t="shared" ref="G54:V54" si="18">SUM(G50:G53)</f>
        <v>1103663.3900000001</v>
      </c>
      <c r="H54" s="21">
        <f t="shared" si="18"/>
        <v>1103663.3900000001</v>
      </c>
      <c r="I54" s="21">
        <f t="shared" si="18"/>
        <v>1103663.3900000001</v>
      </c>
      <c r="J54" s="21">
        <f t="shared" si="18"/>
        <v>1105343.1600000001</v>
      </c>
      <c r="K54" s="21">
        <f t="shared" si="18"/>
        <v>1105343.1600000001</v>
      </c>
      <c r="L54" s="21">
        <f t="shared" si="18"/>
        <v>1105343.1600000001</v>
      </c>
      <c r="M54" s="21">
        <f t="shared" si="18"/>
        <v>1105343.1600000001</v>
      </c>
      <c r="N54" s="21">
        <f t="shared" si="18"/>
        <v>1105343.1600000001</v>
      </c>
      <c r="O54" s="21">
        <f t="shared" si="18"/>
        <v>1105343.1600000001</v>
      </c>
      <c r="P54" s="21">
        <f t="shared" si="18"/>
        <v>1105343.1600000001</v>
      </c>
      <c r="Q54" s="21">
        <f t="shared" si="18"/>
        <v>1105343.1600000001</v>
      </c>
      <c r="R54" s="21">
        <f t="shared" si="18"/>
        <v>1105343.1600000001</v>
      </c>
      <c r="S54" s="21">
        <f t="shared" si="18"/>
        <v>1105343.1600000001</v>
      </c>
      <c r="T54" s="21">
        <f t="shared" si="18"/>
        <v>1105343.1600000001</v>
      </c>
      <c r="U54" s="21">
        <f t="shared" si="18"/>
        <v>1105343.1600000001</v>
      </c>
      <c r="V54" s="22">
        <f t="shared" si="18"/>
        <v>10171.170000000013</v>
      </c>
    </row>
    <row r="55" spans="1:23" s="50" customFormat="1" ht="11.25">
      <c r="A55" s="43"/>
      <c r="B55" s="44"/>
      <c r="C55" s="25"/>
      <c r="D55" s="45"/>
      <c r="E55" s="70"/>
      <c r="F55" s="70"/>
      <c r="G55" s="47"/>
      <c r="H55" s="48"/>
      <c r="I55" s="48"/>
      <c r="J55" s="28"/>
      <c r="K55" s="49"/>
      <c r="L55" s="49"/>
      <c r="M55" s="28"/>
      <c r="N55" s="49"/>
      <c r="O55" s="49"/>
      <c r="P55" s="28"/>
      <c r="Q55" s="49"/>
      <c r="R55" s="49"/>
      <c r="S55" s="28"/>
      <c r="T55" s="49"/>
      <c r="U55" s="49"/>
      <c r="V55" s="30"/>
    </row>
    <row r="56" spans="1:23" s="2" customFormat="1">
      <c r="A56" s="32">
        <v>18608302</v>
      </c>
      <c r="B56" s="9">
        <v>18608752</v>
      </c>
      <c r="C56" s="10" t="s">
        <v>121</v>
      </c>
      <c r="D56" s="567" t="s">
        <v>92</v>
      </c>
      <c r="E56" s="574"/>
      <c r="F56" s="572"/>
      <c r="G56" s="52">
        <v>2050122.67</v>
      </c>
      <c r="H56" s="52">
        <f>G56</f>
        <v>2050122.67</v>
      </c>
      <c r="I56" s="52">
        <f>H56</f>
        <v>2050122.67</v>
      </c>
      <c r="J56" s="52">
        <v>2050122.67</v>
      </c>
      <c r="K56" s="52">
        <f>J56</f>
        <v>2050122.67</v>
      </c>
      <c r="L56" s="52">
        <f t="shared" ref="L56:V57" si="19">K56</f>
        <v>2050122.67</v>
      </c>
      <c r="M56" s="52">
        <f t="shared" si="19"/>
        <v>2050122.67</v>
      </c>
      <c r="N56" s="52">
        <f t="shared" si="19"/>
        <v>2050122.67</v>
      </c>
      <c r="O56" s="52">
        <f t="shared" si="19"/>
        <v>2050122.67</v>
      </c>
      <c r="P56" s="52">
        <f t="shared" si="19"/>
        <v>2050122.67</v>
      </c>
      <c r="Q56" s="52">
        <f t="shared" si="19"/>
        <v>2050122.67</v>
      </c>
      <c r="R56" s="52">
        <f t="shared" si="19"/>
        <v>2050122.67</v>
      </c>
      <c r="S56" s="52">
        <f t="shared" si="19"/>
        <v>2050122.67</v>
      </c>
      <c r="T56" s="52">
        <f t="shared" si="19"/>
        <v>2050122.67</v>
      </c>
      <c r="U56" s="52">
        <f t="shared" si="19"/>
        <v>2050122.67</v>
      </c>
      <c r="V56" s="53">
        <f t="shared" si="19"/>
        <v>2050122.67</v>
      </c>
    </row>
    <row r="57" spans="1:23" s="2" customFormat="1">
      <c r="A57" s="32"/>
      <c r="B57" s="9">
        <v>18608752</v>
      </c>
      <c r="C57" s="10" t="s">
        <v>122</v>
      </c>
      <c r="D57" s="569"/>
      <c r="E57" s="574"/>
      <c r="F57" s="573"/>
      <c r="G57" s="52">
        <v>-1114592.67</v>
      </c>
      <c r="H57" s="52">
        <f>G57</f>
        <v>-1114592.67</v>
      </c>
      <c r="I57" s="52">
        <f>H57</f>
        <v>-1114592.67</v>
      </c>
      <c r="J57" s="52">
        <v>-1114592.67</v>
      </c>
      <c r="K57" s="52">
        <f>J57</f>
        <v>-1114592.67</v>
      </c>
      <c r="L57" s="52">
        <f t="shared" si="19"/>
        <v>-1114592.67</v>
      </c>
      <c r="M57" s="52">
        <f t="shared" si="19"/>
        <v>-1114592.67</v>
      </c>
      <c r="N57" s="52">
        <f t="shared" si="19"/>
        <v>-1114592.67</v>
      </c>
      <c r="O57" s="52">
        <f t="shared" si="19"/>
        <v>-1114592.67</v>
      </c>
      <c r="P57" s="52">
        <f t="shared" si="19"/>
        <v>-1114592.67</v>
      </c>
      <c r="Q57" s="52">
        <f t="shared" si="19"/>
        <v>-1114592.67</v>
      </c>
      <c r="R57" s="52">
        <f t="shared" si="19"/>
        <v>-1114592.67</v>
      </c>
      <c r="S57" s="52">
        <f t="shared" si="19"/>
        <v>-1114592.67</v>
      </c>
      <c r="T57" s="52">
        <f t="shared" si="19"/>
        <v>-1114592.67</v>
      </c>
      <c r="U57" s="52">
        <f t="shared" si="19"/>
        <v>-1114592.67</v>
      </c>
      <c r="V57" s="53">
        <f t="shared" si="19"/>
        <v>-1114592.67</v>
      </c>
    </row>
    <row r="58" spans="1:23" s="2" customFormat="1">
      <c r="A58" s="32"/>
      <c r="B58" s="9">
        <v>18608752</v>
      </c>
      <c r="C58" s="10" t="s">
        <v>30</v>
      </c>
      <c r="D58" s="126" t="s">
        <v>93</v>
      </c>
      <c r="E58" s="16">
        <v>43070</v>
      </c>
      <c r="F58" s="99" t="s">
        <v>16</v>
      </c>
      <c r="G58" s="37">
        <v>0</v>
      </c>
      <c r="H58" s="37">
        <v>0</v>
      </c>
      <c r="I58" s="37">
        <v>0</v>
      </c>
      <c r="J58" s="37">
        <v>0</v>
      </c>
      <c r="K58" s="37">
        <v>0</v>
      </c>
      <c r="L58" s="37">
        <v>0</v>
      </c>
      <c r="M58" s="37">
        <v>0</v>
      </c>
      <c r="N58" s="37">
        <v>0</v>
      </c>
      <c r="O58" s="37">
        <v>0</v>
      </c>
      <c r="P58" s="37">
        <v>0</v>
      </c>
      <c r="Q58" s="37">
        <v>0</v>
      </c>
      <c r="R58" s="37">
        <v>0</v>
      </c>
      <c r="S58" s="37">
        <v>0</v>
      </c>
      <c r="T58" s="37">
        <v>0</v>
      </c>
      <c r="U58" s="37">
        <v>0</v>
      </c>
      <c r="V58" s="38">
        <v>-935530</v>
      </c>
    </row>
    <row r="59" spans="1:23" s="2" customFormat="1">
      <c r="A59" s="39"/>
      <c r="B59" s="40"/>
      <c r="C59" s="58" t="s">
        <v>123</v>
      </c>
      <c r="D59" s="59"/>
      <c r="E59" s="60"/>
      <c r="F59" s="127"/>
      <c r="G59" s="21">
        <f t="shared" ref="G59:V59" si="20">SUM(G56:G58)</f>
        <v>935530</v>
      </c>
      <c r="H59" s="21">
        <f t="shared" si="20"/>
        <v>935530</v>
      </c>
      <c r="I59" s="21">
        <f t="shared" si="20"/>
        <v>935530</v>
      </c>
      <c r="J59" s="21">
        <f t="shared" si="20"/>
        <v>935530</v>
      </c>
      <c r="K59" s="21">
        <f t="shared" si="20"/>
        <v>935530</v>
      </c>
      <c r="L59" s="21">
        <f t="shared" si="20"/>
        <v>935530</v>
      </c>
      <c r="M59" s="21">
        <f t="shared" si="20"/>
        <v>935530</v>
      </c>
      <c r="N59" s="21">
        <f t="shared" si="20"/>
        <v>935530</v>
      </c>
      <c r="O59" s="21">
        <f t="shared" si="20"/>
        <v>935530</v>
      </c>
      <c r="P59" s="21">
        <f t="shared" si="20"/>
        <v>935530</v>
      </c>
      <c r="Q59" s="21">
        <f t="shared" si="20"/>
        <v>935530</v>
      </c>
      <c r="R59" s="21">
        <f t="shared" si="20"/>
        <v>935530</v>
      </c>
      <c r="S59" s="21">
        <f t="shared" si="20"/>
        <v>935530</v>
      </c>
      <c r="T59" s="21">
        <f t="shared" si="20"/>
        <v>935530</v>
      </c>
      <c r="U59" s="21">
        <f t="shared" si="20"/>
        <v>935530</v>
      </c>
      <c r="V59" s="22">
        <f t="shared" si="20"/>
        <v>0</v>
      </c>
    </row>
    <row r="60" spans="1:23" s="50" customFormat="1" ht="11.25">
      <c r="A60" s="43"/>
      <c r="B60" s="44"/>
      <c r="C60" s="25"/>
      <c r="D60" s="45"/>
      <c r="E60" s="70"/>
      <c r="F60" s="70"/>
      <c r="G60" s="47"/>
      <c r="H60" s="48"/>
      <c r="I60" s="48"/>
      <c r="J60" s="28"/>
      <c r="K60" s="49"/>
      <c r="L60" s="49"/>
      <c r="M60" s="28"/>
      <c r="N60" s="49"/>
      <c r="O60" s="49"/>
      <c r="P60" s="28"/>
      <c r="Q60" s="49"/>
      <c r="R60" s="49"/>
      <c r="S60" s="28"/>
      <c r="T60" s="49"/>
      <c r="U60" s="49"/>
      <c r="V60" s="30"/>
    </row>
    <row r="61" spans="1:23" s="2" customFormat="1">
      <c r="A61" s="32">
        <v>18607104</v>
      </c>
      <c r="B61" s="9">
        <v>18608002</v>
      </c>
      <c r="C61" s="10" t="s">
        <v>124</v>
      </c>
      <c r="D61" s="104" t="s">
        <v>92</v>
      </c>
      <c r="E61" s="113"/>
      <c r="F61" s="42"/>
      <c r="G61" s="52">
        <v>518202.47000000003</v>
      </c>
      <c r="H61" s="52">
        <f>G61+102328</f>
        <v>620530.47</v>
      </c>
      <c r="I61" s="52">
        <f>H61</f>
        <v>620530.47</v>
      </c>
      <c r="J61" s="52">
        <v>628937.45000000007</v>
      </c>
      <c r="K61" s="52">
        <f>J61+37123.95</f>
        <v>666061.4</v>
      </c>
      <c r="L61" s="52">
        <f>K61+1584.89</f>
        <v>667646.29</v>
      </c>
      <c r="M61" s="52">
        <f>L61+854.61</f>
        <v>668500.9</v>
      </c>
      <c r="N61" s="52">
        <f>M61</f>
        <v>668500.9</v>
      </c>
      <c r="O61" s="52">
        <f>N61+57600.19</f>
        <v>726101.09000000008</v>
      </c>
      <c r="P61" s="52">
        <f>O61+2680.5</f>
        <v>728781.59000000008</v>
      </c>
      <c r="Q61" s="52">
        <f>P61+14186.35</f>
        <v>742967.94000000006</v>
      </c>
      <c r="R61" s="52">
        <f>Q61+1430</f>
        <v>744397.94000000006</v>
      </c>
      <c r="S61" s="52">
        <f>R61+322.5</f>
        <v>744720.44000000006</v>
      </c>
      <c r="T61" s="52">
        <f t="shared" ref="T61" si="21">S61</f>
        <v>744720.44000000006</v>
      </c>
      <c r="U61" s="52">
        <f>T61+18671.58</f>
        <v>763392.02</v>
      </c>
      <c r="V61" s="53">
        <f>U61+7486.39</f>
        <v>770878.41</v>
      </c>
    </row>
    <row r="62" spans="1:23" s="2" customFormat="1">
      <c r="A62" s="32"/>
      <c r="B62" s="9">
        <v>18608002</v>
      </c>
      <c r="C62" s="10" t="s">
        <v>30</v>
      </c>
      <c r="D62" s="126" t="s">
        <v>93</v>
      </c>
      <c r="E62" s="16">
        <v>43070</v>
      </c>
      <c r="F62" s="99" t="s">
        <v>16</v>
      </c>
      <c r="G62" s="37">
        <v>0</v>
      </c>
      <c r="H62" s="37">
        <v>0</v>
      </c>
      <c r="I62" s="37">
        <v>0</v>
      </c>
      <c r="J62" s="37">
        <v>0</v>
      </c>
      <c r="K62" s="37">
        <v>0</v>
      </c>
      <c r="L62" s="37">
        <v>0</v>
      </c>
      <c r="M62" s="37">
        <v>0</v>
      </c>
      <c r="N62" s="37">
        <v>0</v>
      </c>
      <c r="O62" s="37">
        <v>0</v>
      </c>
      <c r="P62" s="37">
        <v>0</v>
      </c>
      <c r="Q62" s="37">
        <v>0</v>
      </c>
      <c r="R62" s="37">
        <v>0</v>
      </c>
      <c r="S62" s="37">
        <v>0</v>
      </c>
      <c r="T62" s="37">
        <v>0</v>
      </c>
      <c r="U62" s="37">
        <v>0</v>
      </c>
      <c r="V62" s="38">
        <f>-518202.47</f>
        <v>-518202.47</v>
      </c>
    </row>
    <row r="63" spans="1:23" s="2" customFormat="1">
      <c r="A63" s="39"/>
      <c r="B63" s="40"/>
      <c r="C63" s="58" t="s">
        <v>125</v>
      </c>
      <c r="D63" s="59"/>
      <c r="E63" s="60"/>
      <c r="F63" s="127"/>
      <c r="G63" s="21">
        <f t="shared" ref="G63:V63" si="22">SUM(G61:G62)</f>
        <v>518202.47000000003</v>
      </c>
      <c r="H63" s="21">
        <f t="shared" si="22"/>
        <v>620530.47</v>
      </c>
      <c r="I63" s="21">
        <f t="shared" si="22"/>
        <v>620530.47</v>
      </c>
      <c r="J63" s="21">
        <f t="shared" si="22"/>
        <v>628937.45000000007</v>
      </c>
      <c r="K63" s="21">
        <f t="shared" si="22"/>
        <v>666061.4</v>
      </c>
      <c r="L63" s="21">
        <f t="shared" si="22"/>
        <v>667646.29</v>
      </c>
      <c r="M63" s="21">
        <f t="shared" si="22"/>
        <v>668500.9</v>
      </c>
      <c r="N63" s="21">
        <f t="shared" si="22"/>
        <v>668500.9</v>
      </c>
      <c r="O63" s="21">
        <f t="shared" si="22"/>
        <v>726101.09000000008</v>
      </c>
      <c r="P63" s="21">
        <f t="shared" si="22"/>
        <v>728781.59000000008</v>
      </c>
      <c r="Q63" s="21">
        <f t="shared" si="22"/>
        <v>742967.94000000006</v>
      </c>
      <c r="R63" s="21">
        <f t="shared" si="22"/>
        <v>744397.94000000006</v>
      </c>
      <c r="S63" s="21">
        <f t="shared" si="22"/>
        <v>744720.44000000006</v>
      </c>
      <c r="T63" s="21">
        <f t="shared" si="22"/>
        <v>744720.44000000006</v>
      </c>
      <c r="U63" s="21">
        <f t="shared" si="22"/>
        <v>763392.02</v>
      </c>
      <c r="V63" s="22">
        <f t="shared" si="22"/>
        <v>252675.94000000006</v>
      </c>
    </row>
    <row r="64" spans="1:23" s="50" customFormat="1" ht="11.25">
      <c r="A64" s="43"/>
      <c r="B64" s="44"/>
      <c r="C64" s="25"/>
      <c r="D64" s="45"/>
      <c r="E64" s="70"/>
      <c r="F64" s="70"/>
      <c r="G64" s="47"/>
      <c r="H64" s="48"/>
      <c r="I64" s="48"/>
      <c r="J64" s="28"/>
      <c r="K64" s="49"/>
      <c r="L64" s="49"/>
      <c r="M64" s="28"/>
      <c r="N64" s="49"/>
      <c r="O64" s="49"/>
      <c r="P64" s="28"/>
      <c r="Q64" s="49"/>
      <c r="R64" s="49"/>
      <c r="S64" s="67"/>
      <c r="T64" s="49"/>
      <c r="U64" s="49"/>
      <c r="V64" s="30"/>
    </row>
    <row r="65" spans="1:24" s="2" customFormat="1">
      <c r="A65" s="32">
        <v>18230212</v>
      </c>
      <c r="B65" s="9">
        <v>18237112</v>
      </c>
      <c r="C65" s="10" t="s">
        <v>126</v>
      </c>
      <c r="D65" s="104" t="s">
        <v>92</v>
      </c>
      <c r="E65" s="113"/>
      <c r="F65" s="42"/>
      <c r="G65" s="12">
        <v>289121.19</v>
      </c>
      <c r="H65" s="12">
        <f>G65+2929.3</f>
        <v>292050.49</v>
      </c>
      <c r="I65" s="12">
        <f>H65+425.1</f>
        <v>292475.58999999997</v>
      </c>
      <c r="J65" s="12">
        <v>294228.84000000003</v>
      </c>
      <c r="K65" s="12">
        <f>J65</f>
        <v>294228.84000000003</v>
      </c>
      <c r="L65" s="12">
        <f t="shared" ref="L65:V66" si="23">K65</f>
        <v>294228.84000000003</v>
      </c>
      <c r="M65" s="12">
        <f t="shared" si="23"/>
        <v>294228.84000000003</v>
      </c>
      <c r="N65" s="12">
        <f t="shared" si="23"/>
        <v>294228.84000000003</v>
      </c>
      <c r="O65" s="12">
        <f t="shared" si="23"/>
        <v>294228.84000000003</v>
      </c>
      <c r="P65" s="12">
        <f t="shared" si="23"/>
        <v>294228.84000000003</v>
      </c>
      <c r="Q65" s="12">
        <f t="shared" si="23"/>
        <v>294228.84000000003</v>
      </c>
      <c r="R65" s="12">
        <f t="shared" si="23"/>
        <v>294228.84000000003</v>
      </c>
      <c r="S65" s="12">
        <f t="shared" si="23"/>
        <v>294228.84000000003</v>
      </c>
      <c r="T65" s="12">
        <f t="shared" si="23"/>
        <v>294228.84000000003</v>
      </c>
      <c r="U65" s="12">
        <f t="shared" si="23"/>
        <v>294228.84000000003</v>
      </c>
      <c r="V65" s="14">
        <f t="shared" si="23"/>
        <v>294228.84000000003</v>
      </c>
    </row>
    <row r="66" spans="1:24" s="2" customFormat="1">
      <c r="A66" s="32"/>
      <c r="B66" s="9">
        <v>18237112</v>
      </c>
      <c r="C66" s="68" t="s">
        <v>30</v>
      </c>
      <c r="D66" s="126" t="s">
        <v>93</v>
      </c>
      <c r="E66" s="16">
        <v>43070</v>
      </c>
      <c r="F66" s="99" t="s">
        <v>16</v>
      </c>
      <c r="G66" s="17">
        <v>0</v>
      </c>
      <c r="H66" s="17">
        <v>0</v>
      </c>
      <c r="I66" s="17">
        <v>0</v>
      </c>
      <c r="J66" s="17">
        <v>0</v>
      </c>
      <c r="K66" s="17">
        <v>0</v>
      </c>
      <c r="L66" s="17">
        <f t="shared" si="23"/>
        <v>0</v>
      </c>
      <c r="M66" s="17">
        <f t="shared" si="23"/>
        <v>0</v>
      </c>
      <c r="N66" s="17">
        <f t="shared" si="23"/>
        <v>0</v>
      </c>
      <c r="O66" s="17">
        <f t="shared" si="23"/>
        <v>0</v>
      </c>
      <c r="P66" s="17">
        <f t="shared" si="23"/>
        <v>0</v>
      </c>
      <c r="Q66" s="17">
        <f t="shared" si="23"/>
        <v>0</v>
      </c>
      <c r="R66" s="17">
        <f t="shared" si="23"/>
        <v>0</v>
      </c>
      <c r="S66" s="17">
        <f t="shared" si="23"/>
        <v>0</v>
      </c>
      <c r="T66" s="17">
        <f t="shared" si="23"/>
        <v>0</v>
      </c>
      <c r="U66" s="17">
        <f t="shared" si="23"/>
        <v>0</v>
      </c>
      <c r="V66" s="18">
        <v>-289121.19</v>
      </c>
    </row>
    <row r="67" spans="1:24" s="2" customFormat="1">
      <c r="A67" s="32"/>
      <c r="B67" s="9"/>
      <c r="C67" s="69" t="s">
        <v>127</v>
      </c>
      <c r="D67" s="54"/>
      <c r="E67" s="60"/>
      <c r="F67" s="127"/>
      <c r="G67" s="21">
        <f t="shared" ref="G67:V67" si="24">SUM(G65:G66)</f>
        <v>289121.19</v>
      </c>
      <c r="H67" s="21">
        <f t="shared" si="24"/>
        <v>292050.49</v>
      </c>
      <c r="I67" s="21">
        <f t="shared" si="24"/>
        <v>292475.58999999997</v>
      </c>
      <c r="J67" s="21">
        <f t="shared" si="24"/>
        <v>294228.84000000003</v>
      </c>
      <c r="K67" s="21">
        <f t="shared" si="24"/>
        <v>294228.84000000003</v>
      </c>
      <c r="L67" s="21">
        <f t="shared" si="24"/>
        <v>294228.84000000003</v>
      </c>
      <c r="M67" s="21">
        <f t="shared" si="24"/>
        <v>294228.84000000003</v>
      </c>
      <c r="N67" s="21">
        <f t="shared" si="24"/>
        <v>294228.84000000003</v>
      </c>
      <c r="O67" s="21">
        <f t="shared" si="24"/>
        <v>294228.84000000003</v>
      </c>
      <c r="P67" s="21">
        <f t="shared" si="24"/>
        <v>294228.84000000003</v>
      </c>
      <c r="Q67" s="21">
        <f t="shared" si="24"/>
        <v>294228.84000000003</v>
      </c>
      <c r="R67" s="21">
        <f t="shared" si="24"/>
        <v>294228.84000000003</v>
      </c>
      <c r="S67" s="21">
        <f t="shared" si="24"/>
        <v>294228.84000000003</v>
      </c>
      <c r="T67" s="21">
        <f t="shared" si="24"/>
        <v>294228.84000000003</v>
      </c>
      <c r="U67" s="21">
        <f t="shared" si="24"/>
        <v>294228.84000000003</v>
      </c>
      <c r="V67" s="22">
        <f t="shared" si="24"/>
        <v>5107.6500000000233</v>
      </c>
    </row>
    <row r="68" spans="1:24" s="50" customFormat="1" ht="11.25">
      <c r="A68" s="43"/>
      <c r="B68" s="44"/>
      <c r="C68" s="25"/>
      <c r="D68" s="45"/>
      <c r="E68" s="70"/>
      <c r="F68" s="128"/>
      <c r="G68" s="47"/>
      <c r="H68" s="48"/>
      <c r="I68" s="48"/>
      <c r="J68" s="28"/>
      <c r="K68" s="49"/>
      <c r="L68" s="49"/>
      <c r="M68" s="28"/>
      <c r="N68" s="49"/>
      <c r="O68" s="49"/>
      <c r="P68" s="28"/>
      <c r="Q68" s="49"/>
      <c r="R68" s="49"/>
      <c r="S68" s="28"/>
      <c r="T68" s="49"/>
      <c r="U68" s="49"/>
      <c r="V68" s="30"/>
    </row>
    <row r="69" spans="1:24" s="2" customFormat="1">
      <c r="A69" s="32"/>
      <c r="B69" s="9">
        <v>18237122</v>
      </c>
      <c r="C69" s="10" t="s">
        <v>128</v>
      </c>
      <c r="D69" s="129" t="s">
        <v>92</v>
      </c>
      <c r="E69" s="130" t="s">
        <v>129</v>
      </c>
      <c r="F69" s="131"/>
      <c r="G69" s="12">
        <v>169602.13</v>
      </c>
      <c r="H69" s="51">
        <f>G69</f>
        <v>169602.13</v>
      </c>
      <c r="I69" s="51">
        <f>H69</f>
        <v>169602.13</v>
      </c>
      <c r="J69" s="12">
        <v>169602.13</v>
      </c>
      <c r="K69" s="12">
        <f>J69</f>
        <v>169602.13</v>
      </c>
      <c r="L69" s="12">
        <f>K69</f>
        <v>169602.13</v>
      </c>
      <c r="M69" s="12">
        <f t="shared" ref="M69:V70" si="25">L69</f>
        <v>169602.13</v>
      </c>
      <c r="N69" s="12">
        <f t="shared" si="25"/>
        <v>169602.13</v>
      </c>
      <c r="O69" s="12">
        <f t="shared" si="25"/>
        <v>169602.13</v>
      </c>
      <c r="P69" s="12">
        <f t="shared" si="25"/>
        <v>169602.13</v>
      </c>
      <c r="Q69" s="12">
        <f t="shared" si="25"/>
        <v>169602.13</v>
      </c>
      <c r="R69" s="12">
        <f t="shared" si="25"/>
        <v>169602.13</v>
      </c>
      <c r="S69" s="12">
        <f t="shared" si="25"/>
        <v>169602.13</v>
      </c>
      <c r="T69" s="12">
        <f t="shared" si="25"/>
        <v>169602.13</v>
      </c>
      <c r="U69" s="12">
        <f t="shared" si="25"/>
        <v>169602.13</v>
      </c>
      <c r="V69" s="14">
        <f t="shared" si="25"/>
        <v>169602.13</v>
      </c>
    </row>
    <row r="70" spans="1:24" s="2" customFormat="1">
      <c r="A70" s="32"/>
      <c r="B70" s="9">
        <v>18237122</v>
      </c>
      <c r="C70" s="68" t="s">
        <v>30</v>
      </c>
      <c r="D70" s="126" t="s">
        <v>93</v>
      </c>
      <c r="E70" s="132">
        <v>43070</v>
      </c>
      <c r="F70" s="133" t="s">
        <v>16</v>
      </c>
      <c r="G70" s="37">
        <v>0</v>
      </c>
      <c r="H70" s="37">
        <v>0</v>
      </c>
      <c r="I70" s="37">
        <v>0</v>
      </c>
      <c r="J70" s="37">
        <v>0</v>
      </c>
      <c r="K70" s="17">
        <v>0</v>
      </c>
      <c r="L70" s="17">
        <f t="shared" ref="L70" si="26">K70</f>
        <v>0</v>
      </c>
      <c r="M70" s="17">
        <f t="shared" si="25"/>
        <v>0</v>
      </c>
      <c r="N70" s="17">
        <f t="shared" si="25"/>
        <v>0</v>
      </c>
      <c r="O70" s="17">
        <f t="shared" si="25"/>
        <v>0</v>
      </c>
      <c r="P70" s="17">
        <f t="shared" si="25"/>
        <v>0</v>
      </c>
      <c r="Q70" s="17">
        <f t="shared" si="25"/>
        <v>0</v>
      </c>
      <c r="R70" s="17">
        <f t="shared" si="25"/>
        <v>0</v>
      </c>
      <c r="S70" s="17">
        <f t="shared" si="25"/>
        <v>0</v>
      </c>
      <c r="T70" s="17">
        <f t="shared" si="25"/>
        <v>0</v>
      </c>
      <c r="U70" s="17">
        <f t="shared" si="25"/>
        <v>0</v>
      </c>
      <c r="V70" s="18">
        <v>-169602.13</v>
      </c>
    </row>
    <row r="71" spans="1:24" s="2" customFormat="1">
      <c r="A71" s="32"/>
      <c r="B71" s="9"/>
      <c r="C71" s="69" t="s">
        <v>130</v>
      </c>
      <c r="D71" s="54"/>
      <c r="E71" s="60"/>
      <c r="F71" s="109"/>
      <c r="G71" s="56">
        <f t="shared" ref="G71:I71" si="27">SUM(G69:G70)</f>
        <v>169602.13</v>
      </c>
      <c r="H71" s="56">
        <f t="shared" si="27"/>
        <v>169602.13</v>
      </c>
      <c r="I71" s="56">
        <f t="shared" si="27"/>
        <v>169602.13</v>
      </c>
      <c r="J71" s="56">
        <f t="shared" ref="J71:V71" si="28">SUM(J69:J70)</f>
        <v>169602.13</v>
      </c>
      <c r="K71" s="56">
        <f t="shared" si="28"/>
        <v>169602.13</v>
      </c>
      <c r="L71" s="56">
        <f t="shared" si="28"/>
        <v>169602.13</v>
      </c>
      <c r="M71" s="56">
        <f t="shared" si="28"/>
        <v>169602.13</v>
      </c>
      <c r="N71" s="56">
        <f t="shared" si="28"/>
        <v>169602.13</v>
      </c>
      <c r="O71" s="56">
        <f t="shared" si="28"/>
        <v>169602.13</v>
      </c>
      <c r="P71" s="56">
        <f t="shared" si="28"/>
        <v>169602.13</v>
      </c>
      <c r="Q71" s="56">
        <f t="shared" si="28"/>
        <v>169602.13</v>
      </c>
      <c r="R71" s="56">
        <f t="shared" si="28"/>
        <v>169602.13</v>
      </c>
      <c r="S71" s="56">
        <f t="shared" si="28"/>
        <v>169602.13</v>
      </c>
      <c r="T71" s="56">
        <f t="shared" si="28"/>
        <v>169602.13</v>
      </c>
      <c r="U71" s="56">
        <f t="shared" si="28"/>
        <v>169602.13</v>
      </c>
      <c r="V71" s="57">
        <f t="shared" si="28"/>
        <v>0</v>
      </c>
    </row>
    <row r="72" spans="1:24" s="50" customFormat="1" ht="11.25">
      <c r="A72" s="43"/>
      <c r="B72" s="44"/>
      <c r="C72" s="25"/>
      <c r="D72" s="45"/>
      <c r="E72" s="70"/>
      <c r="F72" s="70"/>
      <c r="G72" s="47"/>
      <c r="H72" s="48"/>
      <c r="I72" s="48"/>
      <c r="J72" s="28"/>
      <c r="K72" s="49"/>
      <c r="L72" s="49"/>
      <c r="M72" s="28"/>
      <c r="N72" s="49"/>
      <c r="O72" s="49"/>
      <c r="P72" s="28"/>
      <c r="Q72" s="49"/>
      <c r="R72" s="49"/>
      <c r="S72" s="67"/>
      <c r="T72" s="49"/>
      <c r="U72" s="49"/>
      <c r="V72" s="30"/>
    </row>
    <row r="73" spans="1:24" s="2" customFormat="1" ht="17.45" customHeight="1">
      <c r="A73" s="32"/>
      <c r="B73" s="9">
        <v>18237132</v>
      </c>
      <c r="C73" s="10" t="s">
        <v>131</v>
      </c>
      <c r="D73" s="129" t="s">
        <v>92</v>
      </c>
      <c r="E73" s="130" t="s">
        <v>129</v>
      </c>
      <c r="F73" s="131"/>
      <c r="G73" s="52">
        <v>133750.43</v>
      </c>
      <c r="H73" s="51">
        <f>G73</f>
        <v>133750.43</v>
      </c>
      <c r="I73" s="51">
        <f>H73</f>
        <v>133750.43</v>
      </c>
      <c r="J73" s="52">
        <v>133750.43</v>
      </c>
      <c r="K73" s="52">
        <f>J73</f>
        <v>133750.43</v>
      </c>
      <c r="L73" s="52">
        <f t="shared" ref="L73:V74" si="29">K73</f>
        <v>133750.43</v>
      </c>
      <c r="M73" s="52">
        <f t="shared" si="29"/>
        <v>133750.43</v>
      </c>
      <c r="N73" s="52">
        <f t="shared" si="29"/>
        <v>133750.43</v>
      </c>
      <c r="O73" s="52">
        <f t="shared" si="29"/>
        <v>133750.43</v>
      </c>
      <c r="P73" s="52">
        <f t="shared" si="29"/>
        <v>133750.43</v>
      </c>
      <c r="Q73" s="52">
        <f t="shared" si="29"/>
        <v>133750.43</v>
      </c>
      <c r="R73" s="52">
        <f t="shared" si="29"/>
        <v>133750.43</v>
      </c>
      <c r="S73" s="52">
        <f t="shared" si="29"/>
        <v>133750.43</v>
      </c>
      <c r="T73" s="52">
        <f t="shared" si="29"/>
        <v>133750.43</v>
      </c>
      <c r="U73" s="52">
        <f t="shared" si="29"/>
        <v>133750.43</v>
      </c>
      <c r="V73" s="53">
        <f t="shared" si="29"/>
        <v>133750.43</v>
      </c>
    </row>
    <row r="74" spans="1:24" s="2" customFormat="1">
      <c r="A74" s="32"/>
      <c r="B74" s="9">
        <v>18237132</v>
      </c>
      <c r="C74" s="68" t="s">
        <v>30</v>
      </c>
      <c r="D74" s="126" t="s">
        <v>93</v>
      </c>
      <c r="E74" s="16">
        <v>43070</v>
      </c>
      <c r="F74" s="99" t="s">
        <v>16</v>
      </c>
      <c r="G74" s="37">
        <v>0</v>
      </c>
      <c r="H74" s="37">
        <v>0</v>
      </c>
      <c r="I74" s="37">
        <v>0</v>
      </c>
      <c r="J74" s="37">
        <v>0</v>
      </c>
      <c r="K74" s="17">
        <v>0</v>
      </c>
      <c r="L74" s="17">
        <f t="shared" si="29"/>
        <v>0</v>
      </c>
      <c r="M74" s="17">
        <f t="shared" si="29"/>
        <v>0</v>
      </c>
      <c r="N74" s="17">
        <f t="shared" si="29"/>
        <v>0</v>
      </c>
      <c r="O74" s="17">
        <f t="shared" si="29"/>
        <v>0</v>
      </c>
      <c r="P74" s="17">
        <f t="shared" si="29"/>
        <v>0</v>
      </c>
      <c r="Q74" s="17">
        <f t="shared" si="29"/>
        <v>0</v>
      </c>
      <c r="R74" s="17">
        <f t="shared" si="29"/>
        <v>0</v>
      </c>
      <c r="S74" s="17">
        <f t="shared" si="29"/>
        <v>0</v>
      </c>
      <c r="T74" s="17">
        <f t="shared" si="29"/>
        <v>0</v>
      </c>
      <c r="U74" s="17">
        <f t="shared" si="29"/>
        <v>0</v>
      </c>
      <c r="V74" s="18">
        <v>-133750.43</v>
      </c>
    </row>
    <row r="75" spans="1:24" s="2" customFormat="1">
      <c r="A75" s="32"/>
      <c r="B75" s="9"/>
      <c r="C75" s="69" t="s">
        <v>132</v>
      </c>
      <c r="D75" s="74"/>
      <c r="E75" s="60"/>
      <c r="F75" s="109"/>
      <c r="G75" s="56">
        <f>SUM(G73:G74)</f>
        <v>133750.43</v>
      </c>
      <c r="H75" s="56">
        <f t="shared" ref="H75:I75" si="30">SUM(H73:H74)</f>
        <v>133750.43</v>
      </c>
      <c r="I75" s="56">
        <f t="shared" si="30"/>
        <v>133750.43</v>
      </c>
      <c r="J75" s="56">
        <f>SUM(J73:J74)</f>
        <v>133750.43</v>
      </c>
      <c r="K75" s="56">
        <f t="shared" ref="K75:V75" si="31">SUM(K73:K74)</f>
        <v>133750.43</v>
      </c>
      <c r="L75" s="56">
        <f t="shared" si="31"/>
        <v>133750.43</v>
      </c>
      <c r="M75" s="56">
        <f t="shared" si="31"/>
        <v>133750.43</v>
      </c>
      <c r="N75" s="56">
        <f t="shared" si="31"/>
        <v>133750.43</v>
      </c>
      <c r="O75" s="56">
        <f t="shared" si="31"/>
        <v>133750.43</v>
      </c>
      <c r="P75" s="56">
        <f t="shared" si="31"/>
        <v>133750.43</v>
      </c>
      <c r="Q75" s="56">
        <f t="shared" si="31"/>
        <v>133750.43</v>
      </c>
      <c r="R75" s="56">
        <f t="shared" si="31"/>
        <v>133750.43</v>
      </c>
      <c r="S75" s="56">
        <f t="shared" si="31"/>
        <v>133750.43</v>
      </c>
      <c r="T75" s="56">
        <f t="shared" si="31"/>
        <v>133750.43</v>
      </c>
      <c r="U75" s="56">
        <f t="shared" si="31"/>
        <v>133750.43</v>
      </c>
      <c r="V75" s="57">
        <f t="shared" si="31"/>
        <v>0</v>
      </c>
      <c r="X75" s="75"/>
    </row>
    <row r="76" spans="1:24" s="50" customFormat="1" ht="11.25">
      <c r="A76" s="43"/>
      <c r="B76" s="44"/>
      <c r="C76" s="25"/>
      <c r="D76" s="45"/>
      <c r="E76" s="70"/>
      <c r="F76" s="128"/>
      <c r="G76" s="47"/>
      <c r="H76" s="48"/>
      <c r="I76" s="48"/>
      <c r="J76" s="28"/>
      <c r="K76" s="49"/>
      <c r="L76" s="49"/>
      <c r="M76" s="28"/>
      <c r="N76" s="49"/>
      <c r="O76" s="49"/>
      <c r="P76" s="28"/>
      <c r="Q76" s="49"/>
      <c r="R76" s="49"/>
      <c r="S76" s="67"/>
      <c r="T76" s="49"/>
      <c r="U76" s="49"/>
      <c r="V76" s="30"/>
    </row>
    <row r="77" spans="1:24" s="2" customFormat="1" ht="16.899999999999999" customHeight="1">
      <c r="A77" s="32"/>
      <c r="B77" s="9">
        <v>18237142</v>
      </c>
      <c r="C77" s="10" t="s">
        <v>133</v>
      </c>
      <c r="D77" s="129" t="s">
        <v>92</v>
      </c>
      <c r="E77" s="130" t="s">
        <v>129</v>
      </c>
      <c r="F77" s="131"/>
      <c r="G77" s="12">
        <v>53995.63</v>
      </c>
      <c r="H77" s="51">
        <f>G77</f>
        <v>53995.63</v>
      </c>
      <c r="I77" s="51">
        <f>H77</f>
        <v>53995.63</v>
      </c>
      <c r="J77" s="12">
        <v>53995.63</v>
      </c>
      <c r="K77" s="12">
        <f>J77</f>
        <v>53995.63</v>
      </c>
      <c r="L77" s="12">
        <f t="shared" ref="L77:V77" si="32">K77</f>
        <v>53995.63</v>
      </c>
      <c r="M77" s="12">
        <f t="shared" si="32"/>
        <v>53995.63</v>
      </c>
      <c r="N77" s="12">
        <f t="shared" si="32"/>
        <v>53995.63</v>
      </c>
      <c r="O77" s="12">
        <f t="shared" si="32"/>
        <v>53995.63</v>
      </c>
      <c r="P77" s="12">
        <f t="shared" si="32"/>
        <v>53995.63</v>
      </c>
      <c r="Q77" s="12">
        <f t="shared" si="32"/>
        <v>53995.63</v>
      </c>
      <c r="R77" s="12">
        <f t="shared" si="32"/>
        <v>53995.63</v>
      </c>
      <c r="S77" s="12">
        <f t="shared" si="32"/>
        <v>53995.63</v>
      </c>
      <c r="T77" s="12">
        <f t="shared" si="32"/>
        <v>53995.63</v>
      </c>
      <c r="U77" s="12">
        <f t="shared" si="32"/>
        <v>53995.63</v>
      </c>
      <c r="V77" s="14">
        <f t="shared" si="32"/>
        <v>53995.63</v>
      </c>
    </row>
    <row r="78" spans="1:24" s="2" customFormat="1">
      <c r="A78" s="134"/>
      <c r="B78" s="9">
        <v>18237142</v>
      </c>
      <c r="C78" s="68" t="s">
        <v>30</v>
      </c>
      <c r="D78" s="126" t="s">
        <v>93</v>
      </c>
      <c r="E78" s="16">
        <v>43070</v>
      </c>
      <c r="F78" s="99" t="s">
        <v>16</v>
      </c>
      <c r="G78" s="37">
        <v>0</v>
      </c>
      <c r="H78" s="37">
        <v>0</v>
      </c>
      <c r="I78" s="37">
        <v>0</v>
      </c>
      <c r="J78" s="37">
        <v>0</v>
      </c>
      <c r="K78" s="37">
        <v>0</v>
      </c>
      <c r="L78" s="37">
        <v>0</v>
      </c>
      <c r="M78" s="37">
        <v>0</v>
      </c>
      <c r="N78" s="37">
        <v>0</v>
      </c>
      <c r="O78" s="37">
        <v>0</v>
      </c>
      <c r="P78" s="37">
        <v>0</v>
      </c>
      <c r="Q78" s="37">
        <v>0</v>
      </c>
      <c r="R78" s="37">
        <v>0</v>
      </c>
      <c r="S78" s="37">
        <v>0</v>
      </c>
      <c r="T78" s="37">
        <v>0</v>
      </c>
      <c r="U78" s="37">
        <v>0</v>
      </c>
      <c r="V78" s="78">
        <v>-53995.63</v>
      </c>
    </row>
    <row r="79" spans="1:24" s="2" customFormat="1">
      <c r="A79" s="136"/>
      <c r="B79" s="10"/>
      <c r="C79" s="69" t="s">
        <v>134</v>
      </c>
      <c r="D79" s="74"/>
      <c r="E79" s="118"/>
      <c r="F79" s="109"/>
      <c r="G79" s="56">
        <f>SUM(G77:G78)</f>
        <v>53995.63</v>
      </c>
      <c r="H79" s="56">
        <f t="shared" ref="H79:I79" si="33">SUM(H77:H78)</f>
        <v>53995.63</v>
      </c>
      <c r="I79" s="56">
        <f t="shared" si="33"/>
        <v>53995.63</v>
      </c>
      <c r="J79" s="56">
        <f>SUM(J77:J78)</f>
        <v>53995.63</v>
      </c>
      <c r="K79" s="56">
        <f t="shared" ref="K79:V79" si="34">SUM(K77:K78)</f>
        <v>53995.63</v>
      </c>
      <c r="L79" s="56">
        <f t="shared" si="34"/>
        <v>53995.63</v>
      </c>
      <c r="M79" s="56">
        <f t="shared" si="34"/>
        <v>53995.63</v>
      </c>
      <c r="N79" s="56">
        <f t="shared" si="34"/>
        <v>53995.63</v>
      </c>
      <c r="O79" s="56">
        <f t="shared" si="34"/>
        <v>53995.63</v>
      </c>
      <c r="P79" s="56">
        <f t="shared" si="34"/>
        <v>53995.63</v>
      </c>
      <c r="Q79" s="56">
        <f t="shared" si="34"/>
        <v>53995.63</v>
      </c>
      <c r="R79" s="56">
        <f t="shared" si="34"/>
        <v>53995.63</v>
      </c>
      <c r="S79" s="56">
        <f t="shared" si="34"/>
        <v>53995.63</v>
      </c>
      <c r="T79" s="56">
        <f t="shared" si="34"/>
        <v>53995.63</v>
      </c>
      <c r="U79" s="56">
        <f t="shared" si="34"/>
        <v>53995.63</v>
      </c>
      <c r="V79" s="57">
        <f t="shared" si="34"/>
        <v>0</v>
      </c>
    </row>
    <row r="80" spans="1:24" s="50" customFormat="1" ht="11.25">
      <c r="A80" s="43"/>
      <c r="B80" s="44"/>
      <c r="C80" s="25"/>
      <c r="D80" s="45"/>
      <c r="E80" s="70"/>
      <c r="F80" s="128"/>
      <c r="G80" s="47"/>
      <c r="H80" s="48"/>
      <c r="I80" s="48"/>
      <c r="J80" s="28"/>
      <c r="K80" s="49"/>
      <c r="L80" s="49"/>
      <c r="M80" s="28"/>
      <c r="N80" s="49"/>
      <c r="O80" s="49"/>
      <c r="P80" s="28"/>
      <c r="Q80" s="49"/>
      <c r="R80" s="49"/>
      <c r="S80" s="67"/>
      <c r="T80" s="49"/>
      <c r="U80" s="49"/>
      <c r="V80" s="30"/>
    </row>
    <row r="81" spans="1:22" s="2" customFormat="1">
      <c r="A81" s="32"/>
      <c r="B81" s="9">
        <v>18237152</v>
      </c>
      <c r="C81" s="10" t="s">
        <v>135</v>
      </c>
      <c r="D81" s="129" t="s">
        <v>92</v>
      </c>
      <c r="E81" s="130" t="s">
        <v>129</v>
      </c>
      <c r="F81" s="131"/>
      <c r="G81" s="12">
        <v>67987.45</v>
      </c>
      <c r="H81" s="12">
        <f>G81</f>
        <v>67987.45</v>
      </c>
      <c r="I81" s="12">
        <f>H81</f>
        <v>67987.45</v>
      </c>
      <c r="J81" s="12">
        <v>67987.45</v>
      </c>
      <c r="K81" s="12">
        <f>J81</f>
        <v>67987.45</v>
      </c>
      <c r="L81" s="12">
        <f t="shared" ref="L81:V81" si="35">K81</f>
        <v>67987.45</v>
      </c>
      <c r="M81" s="12">
        <f t="shared" si="35"/>
        <v>67987.45</v>
      </c>
      <c r="N81" s="12">
        <f t="shared" si="35"/>
        <v>67987.45</v>
      </c>
      <c r="O81" s="12">
        <f t="shared" si="35"/>
        <v>67987.45</v>
      </c>
      <c r="P81" s="12">
        <f t="shared" si="35"/>
        <v>67987.45</v>
      </c>
      <c r="Q81" s="12">
        <f t="shared" si="35"/>
        <v>67987.45</v>
      </c>
      <c r="R81" s="12">
        <f t="shared" si="35"/>
        <v>67987.45</v>
      </c>
      <c r="S81" s="12">
        <f t="shared" si="35"/>
        <v>67987.45</v>
      </c>
      <c r="T81" s="12">
        <f t="shared" si="35"/>
        <v>67987.45</v>
      </c>
      <c r="U81" s="12">
        <f t="shared" si="35"/>
        <v>67987.45</v>
      </c>
      <c r="V81" s="14">
        <f t="shared" si="35"/>
        <v>67987.45</v>
      </c>
    </row>
    <row r="82" spans="1:22" s="2" customFormat="1">
      <c r="A82" s="32"/>
      <c r="B82" s="9">
        <v>18237152</v>
      </c>
      <c r="C82" s="68" t="s">
        <v>30</v>
      </c>
      <c r="D82" s="126" t="s">
        <v>93</v>
      </c>
      <c r="E82" s="16">
        <v>43070</v>
      </c>
      <c r="F82" s="99" t="s">
        <v>16</v>
      </c>
      <c r="G82" s="37">
        <v>0</v>
      </c>
      <c r="H82" s="37">
        <v>0</v>
      </c>
      <c r="I82" s="37">
        <v>0</v>
      </c>
      <c r="J82" s="37">
        <v>0</v>
      </c>
      <c r="K82" s="37">
        <v>0</v>
      </c>
      <c r="L82" s="37">
        <v>0</v>
      </c>
      <c r="M82" s="37">
        <v>0</v>
      </c>
      <c r="N82" s="37">
        <v>0</v>
      </c>
      <c r="O82" s="37">
        <v>0</v>
      </c>
      <c r="P82" s="37">
        <v>0</v>
      </c>
      <c r="Q82" s="37">
        <v>0</v>
      </c>
      <c r="R82" s="37">
        <v>0</v>
      </c>
      <c r="S82" s="37">
        <v>0</v>
      </c>
      <c r="T82" s="37">
        <v>0</v>
      </c>
      <c r="U82" s="37">
        <v>0</v>
      </c>
      <c r="V82" s="137">
        <v>-67987.45</v>
      </c>
    </row>
    <row r="83" spans="1:22" s="2" customFormat="1">
      <c r="A83" s="136"/>
      <c r="B83" s="10"/>
      <c r="C83" s="69" t="s">
        <v>136</v>
      </c>
      <c r="D83" s="54"/>
      <c r="E83" s="118"/>
      <c r="F83" s="109"/>
      <c r="G83" s="56">
        <f>SUM(G81:G82)</f>
        <v>67987.45</v>
      </c>
      <c r="H83" s="56">
        <f t="shared" ref="H83:I83" si="36">SUM(H81:H82)</f>
        <v>67987.45</v>
      </c>
      <c r="I83" s="56">
        <f t="shared" si="36"/>
        <v>67987.45</v>
      </c>
      <c r="J83" s="56">
        <f>SUM(J81:J82)</f>
        <v>67987.45</v>
      </c>
      <c r="K83" s="56">
        <f t="shared" ref="K83:V83" si="37">SUM(K81:K82)</f>
        <v>67987.45</v>
      </c>
      <c r="L83" s="56">
        <f t="shared" si="37"/>
        <v>67987.45</v>
      </c>
      <c r="M83" s="56">
        <f t="shared" si="37"/>
        <v>67987.45</v>
      </c>
      <c r="N83" s="56">
        <f t="shared" si="37"/>
        <v>67987.45</v>
      </c>
      <c r="O83" s="56">
        <f t="shared" si="37"/>
        <v>67987.45</v>
      </c>
      <c r="P83" s="56">
        <f t="shared" si="37"/>
        <v>67987.45</v>
      </c>
      <c r="Q83" s="56">
        <f t="shared" si="37"/>
        <v>67987.45</v>
      </c>
      <c r="R83" s="56">
        <f t="shared" si="37"/>
        <v>67987.45</v>
      </c>
      <c r="S83" s="56">
        <f t="shared" si="37"/>
        <v>67987.45</v>
      </c>
      <c r="T83" s="56">
        <f t="shared" si="37"/>
        <v>67987.45</v>
      </c>
      <c r="U83" s="56">
        <f t="shared" si="37"/>
        <v>67987.45</v>
      </c>
      <c r="V83" s="57">
        <f t="shared" si="37"/>
        <v>0</v>
      </c>
    </row>
    <row r="84" spans="1:22" s="50" customFormat="1" ht="11.25">
      <c r="A84" s="43"/>
      <c r="B84" s="44"/>
      <c r="C84" s="25"/>
      <c r="D84" s="45"/>
      <c r="E84" s="70"/>
      <c r="F84" s="128"/>
      <c r="G84" s="47"/>
      <c r="H84" s="48"/>
      <c r="I84" s="48"/>
      <c r="J84" s="28"/>
      <c r="K84" s="49"/>
      <c r="L84" s="49"/>
      <c r="M84" s="28"/>
      <c r="N84" s="49"/>
      <c r="O84" s="49"/>
      <c r="P84" s="28"/>
      <c r="Q84" s="49"/>
      <c r="R84" s="49"/>
      <c r="S84" s="67"/>
      <c r="T84" s="49"/>
      <c r="U84" s="49"/>
      <c r="V84" s="30"/>
    </row>
    <row r="85" spans="1:22" s="2" customFormat="1">
      <c r="A85" s="134"/>
      <c r="B85" s="9">
        <v>18608062</v>
      </c>
      <c r="C85" s="10" t="s">
        <v>137</v>
      </c>
      <c r="D85" s="138" t="s">
        <v>86</v>
      </c>
      <c r="E85" s="139" t="s">
        <v>87</v>
      </c>
      <c r="F85" s="140"/>
      <c r="G85" s="12">
        <v>-50267724.640000001</v>
      </c>
      <c r="H85" s="82">
        <f>G85</f>
        <v>-50267724.640000001</v>
      </c>
      <c r="I85" s="82">
        <f>H85</f>
        <v>-50267724.640000001</v>
      </c>
      <c r="J85" s="12">
        <v>-50267724.640000001</v>
      </c>
      <c r="K85" s="12">
        <f>J85</f>
        <v>-50267724.640000001</v>
      </c>
      <c r="L85" s="12">
        <f t="shared" ref="L85:U87" si="38">K85</f>
        <v>-50267724.640000001</v>
      </c>
      <c r="M85" s="12">
        <f t="shared" si="38"/>
        <v>-50267724.640000001</v>
      </c>
      <c r="N85" s="12">
        <f t="shared" si="38"/>
        <v>-50267724.640000001</v>
      </c>
      <c r="O85" s="12">
        <f t="shared" si="38"/>
        <v>-50267724.640000001</v>
      </c>
      <c r="P85" s="12">
        <f t="shared" si="38"/>
        <v>-50267724.640000001</v>
      </c>
      <c r="Q85" s="12">
        <f t="shared" si="38"/>
        <v>-50267724.640000001</v>
      </c>
      <c r="R85" s="12">
        <f t="shared" si="38"/>
        <v>-50267724.640000001</v>
      </c>
      <c r="S85" s="12">
        <f t="shared" si="38"/>
        <v>-50267724.640000001</v>
      </c>
      <c r="T85" s="12">
        <f t="shared" si="38"/>
        <v>-50267724.640000001</v>
      </c>
      <c r="U85" s="12">
        <f t="shared" si="38"/>
        <v>-50267724.640000001</v>
      </c>
      <c r="V85" s="14">
        <f>U85</f>
        <v>-50267724.640000001</v>
      </c>
    </row>
    <row r="86" spans="1:22" s="2" customFormat="1">
      <c r="A86" s="134"/>
      <c r="B86" s="9">
        <v>18608062</v>
      </c>
      <c r="C86" s="135" t="s">
        <v>378</v>
      </c>
      <c r="D86" s="526" t="s">
        <v>93</v>
      </c>
      <c r="E86" s="524">
        <v>43070</v>
      </c>
      <c r="F86" s="528"/>
      <c r="G86" s="201">
        <v>0</v>
      </c>
      <c r="H86" s="201">
        <v>0</v>
      </c>
      <c r="I86" s="201">
        <v>0</v>
      </c>
      <c r="J86" s="201">
        <v>0</v>
      </c>
      <c r="K86" s="201">
        <v>0</v>
      </c>
      <c r="L86" s="201">
        <v>0</v>
      </c>
      <c r="M86" s="201">
        <v>0</v>
      </c>
      <c r="N86" s="201">
        <v>0</v>
      </c>
      <c r="O86" s="201">
        <v>0</v>
      </c>
      <c r="P86" s="201">
        <v>0</v>
      </c>
      <c r="Q86" s="201">
        <v>0</v>
      </c>
      <c r="R86" s="201">
        <v>0</v>
      </c>
      <c r="S86" s="201">
        <v>0</v>
      </c>
      <c r="T86" s="201">
        <v>0</v>
      </c>
      <c r="U86" s="201">
        <v>-210163</v>
      </c>
      <c r="V86" s="14">
        <f>U86</f>
        <v>-210163</v>
      </c>
    </row>
    <row r="87" spans="1:22" s="2" customFormat="1">
      <c r="A87" s="134"/>
      <c r="B87" s="9">
        <v>18608062</v>
      </c>
      <c r="C87" s="68" t="s">
        <v>30</v>
      </c>
      <c r="D87" s="523" t="s">
        <v>93</v>
      </c>
      <c r="E87" s="525">
        <v>43070</v>
      </c>
      <c r="F87" s="99" t="s">
        <v>16</v>
      </c>
      <c r="G87" s="17">
        <v>0</v>
      </c>
      <c r="H87" s="17">
        <v>0</v>
      </c>
      <c r="I87" s="17">
        <v>0</v>
      </c>
      <c r="J87" s="17">
        <v>0</v>
      </c>
      <c r="K87" s="17">
        <v>0</v>
      </c>
      <c r="L87" s="17">
        <v>0</v>
      </c>
      <c r="M87" s="17">
        <v>0</v>
      </c>
      <c r="N87" s="17">
        <v>0</v>
      </c>
      <c r="O87" s="17">
        <f>N87</f>
        <v>0</v>
      </c>
      <c r="P87" s="17">
        <f t="shared" si="38"/>
        <v>0</v>
      </c>
      <c r="Q87" s="17">
        <f t="shared" si="38"/>
        <v>0</v>
      </c>
      <c r="R87" s="17">
        <f t="shared" si="38"/>
        <v>0</v>
      </c>
      <c r="S87" s="17">
        <f t="shared" si="38"/>
        <v>0</v>
      </c>
      <c r="T87" s="17">
        <f t="shared" si="38"/>
        <v>0</v>
      </c>
      <c r="U87" s="17">
        <f t="shared" si="38"/>
        <v>0</v>
      </c>
      <c r="V87" s="18">
        <v>29176116</v>
      </c>
    </row>
    <row r="88" spans="1:22" s="2" customFormat="1">
      <c r="A88" s="134"/>
      <c r="B88" s="10"/>
      <c r="C88" s="69" t="s">
        <v>138</v>
      </c>
      <c r="D88" s="138"/>
      <c r="E88" s="60"/>
      <c r="F88" s="55"/>
      <c r="G88" s="56">
        <f t="shared" ref="G88:I88" si="39">SUM(G85:G87)</f>
        <v>-50267724.640000001</v>
      </c>
      <c r="H88" s="56">
        <f t="shared" si="39"/>
        <v>-50267724.640000001</v>
      </c>
      <c r="I88" s="56">
        <f t="shared" si="39"/>
        <v>-50267724.640000001</v>
      </c>
      <c r="J88" s="56">
        <f>SUM(J85:J87)</f>
        <v>-50267724.640000001</v>
      </c>
      <c r="K88" s="56">
        <f t="shared" ref="K88:U88" si="40">SUM(K85:K87)</f>
        <v>-50267724.640000001</v>
      </c>
      <c r="L88" s="56">
        <f t="shared" si="40"/>
        <v>-50267724.640000001</v>
      </c>
      <c r="M88" s="56">
        <f t="shared" si="40"/>
        <v>-50267724.640000001</v>
      </c>
      <c r="N88" s="56">
        <f t="shared" si="40"/>
        <v>-50267724.640000001</v>
      </c>
      <c r="O88" s="56">
        <f t="shared" si="40"/>
        <v>-50267724.640000001</v>
      </c>
      <c r="P88" s="56">
        <f t="shared" si="40"/>
        <v>-50267724.640000001</v>
      </c>
      <c r="Q88" s="56">
        <f t="shared" si="40"/>
        <v>-50267724.640000001</v>
      </c>
      <c r="R88" s="56">
        <f t="shared" si="40"/>
        <v>-50267724.640000001</v>
      </c>
      <c r="S88" s="56">
        <f t="shared" si="40"/>
        <v>-50267724.640000001</v>
      </c>
      <c r="T88" s="56">
        <f t="shared" si="40"/>
        <v>-50267724.640000001</v>
      </c>
      <c r="U88" s="56">
        <f t="shared" si="40"/>
        <v>-50477887.640000001</v>
      </c>
      <c r="V88" s="57">
        <f>SUM(V85:V87)</f>
        <v>-21301771.640000001</v>
      </c>
    </row>
    <row r="89" spans="1:22" s="50" customFormat="1" ht="11.25">
      <c r="A89" s="43"/>
      <c r="B89" s="44"/>
      <c r="C89" s="25"/>
      <c r="D89" s="45"/>
      <c r="E89" s="70"/>
      <c r="F89" s="46"/>
      <c r="G89" s="47"/>
      <c r="H89" s="48"/>
      <c r="I89" s="48"/>
      <c r="J89" s="28"/>
      <c r="K89" s="49"/>
      <c r="L89" s="49"/>
      <c r="M89" s="28"/>
      <c r="N89" s="49"/>
      <c r="O89" s="49"/>
      <c r="P89" s="28"/>
      <c r="Q89" s="49"/>
      <c r="R89" s="49"/>
      <c r="S89" s="67"/>
      <c r="T89" s="49"/>
      <c r="U89" s="49"/>
      <c r="V89" s="30"/>
    </row>
    <row r="90" spans="1:22" s="2" customFormat="1">
      <c r="A90" s="134"/>
      <c r="B90" s="10"/>
      <c r="C90" s="10"/>
      <c r="D90" s="141"/>
      <c r="E90" s="142"/>
      <c r="F90" s="143"/>
      <c r="G90" s="84"/>
      <c r="H90" s="84"/>
      <c r="I90" s="84"/>
      <c r="J90" s="84"/>
      <c r="K90" s="84"/>
      <c r="L90" s="84"/>
      <c r="M90" s="84"/>
      <c r="N90" s="84"/>
      <c r="O90" s="84"/>
      <c r="P90" s="84"/>
      <c r="Q90" s="84"/>
      <c r="R90" s="84"/>
      <c r="S90" s="84"/>
      <c r="T90" s="84"/>
      <c r="U90" s="84"/>
      <c r="V90" s="144"/>
    </row>
    <row r="91" spans="1:22" s="2" customFormat="1" ht="15.75" thickBot="1">
      <c r="A91" s="134"/>
      <c r="B91" s="10"/>
      <c r="C91" s="69" t="s">
        <v>89</v>
      </c>
      <c r="D91" s="145"/>
      <c r="E91" s="146"/>
      <c r="F91" s="147"/>
      <c r="G91" s="148">
        <f>G8+G16+G22+G26+G35+G39+G44+G48+G54+G59+G63+G67+G71+G75+G79+G83+G88</f>
        <v>21924758.799999982</v>
      </c>
      <c r="H91" s="148">
        <f t="shared" ref="H91:U91" si="41">H8+H16+H22+H26+H35+H39+H44+H48+H54+H59+H63+H67+H71+H75+H79+H83+H88</f>
        <v>22028573.36999999</v>
      </c>
      <c r="I91" s="148">
        <f t="shared" si="41"/>
        <v>22432866.13000001</v>
      </c>
      <c r="J91" s="148">
        <f t="shared" si="41"/>
        <v>22723237.030000001</v>
      </c>
      <c r="K91" s="148">
        <f t="shared" si="41"/>
        <v>22880034.450000003</v>
      </c>
      <c r="L91" s="148">
        <f t="shared" si="41"/>
        <v>23044998.760000005</v>
      </c>
      <c r="M91" s="148">
        <f t="shared" si="41"/>
        <v>23061088.799999997</v>
      </c>
      <c r="N91" s="148">
        <f t="shared" si="41"/>
        <v>23108953.970000014</v>
      </c>
      <c r="O91" s="148">
        <f t="shared" si="41"/>
        <v>23702850.489999995</v>
      </c>
      <c r="P91" s="148">
        <f t="shared" si="41"/>
        <v>23946539.730000004</v>
      </c>
      <c r="Q91" s="148">
        <f t="shared" si="41"/>
        <v>24438886.170000002</v>
      </c>
      <c r="R91" s="148">
        <f t="shared" si="41"/>
        <v>24647902.809999987</v>
      </c>
      <c r="S91" s="148">
        <f t="shared" si="41"/>
        <v>24748793.310000002</v>
      </c>
      <c r="T91" s="148">
        <f t="shared" si="41"/>
        <v>25066304.820000008</v>
      </c>
      <c r="U91" s="148">
        <f t="shared" si="41"/>
        <v>25062254.5</v>
      </c>
      <c r="V91" s="149">
        <f>V8+V16+V22+V26+V35+V39+V44+V48+V54+V59+V63+V67+V71+V75+V79+V83+V88</f>
        <v>-17625252.829999994</v>
      </c>
    </row>
    <row r="92" spans="1:22" s="50" customFormat="1" ht="12.75" thickTop="1" thickBot="1">
      <c r="A92" s="88"/>
      <c r="B92" s="89"/>
      <c r="C92" s="90"/>
      <c r="D92" s="91"/>
      <c r="E92" s="91"/>
      <c r="F92" s="91"/>
      <c r="G92" s="92"/>
      <c r="H92" s="91"/>
      <c r="I92" s="91"/>
      <c r="J92" s="92"/>
      <c r="K92" s="93"/>
      <c r="L92" s="93"/>
      <c r="M92" s="92"/>
      <c r="N92" s="93"/>
      <c r="O92" s="93"/>
      <c r="P92" s="92"/>
      <c r="Q92" s="93"/>
      <c r="R92" s="93"/>
      <c r="S92" s="92"/>
      <c r="T92" s="93"/>
      <c r="U92" s="93"/>
      <c r="V92" s="150"/>
    </row>
    <row r="93" spans="1:22">
      <c r="A93" s="151"/>
      <c r="B93" s="2"/>
      <c r="C93" s="2"/>
      <c r="F93" s="35"/>
      <c r="G93" s="35"/>
      <c r="H93" s="35"/>
      <c r="I93" s="35"/>
      <c r="U93" s="530"/>
      <c r="V93" s="531"/>
    </row>
    <row r="94" spans="1:22">
      <c r="B94" s="2"/>
      <c r="C94" s="2"/>
      <c r="F94" s="35"/>
      <c r="G94" s="35"/>
      <c r="H94" s="35"/>
      <c r="I94" s="35"/>
      <c r="V94" s="62"/>
    </row>
    <row r="95" spans="1:22">
      <c r="A95" s="151"/>
      <c r="B95" s="2"/>
      <c r="C95" s="2"/>
      <c r="F95" s="35"/>
      <c r="G95" s="35"/>
      <c r="H95" s="35"/>
      <c r="I95" s="35"/>
    </row>
    <row r="96" spans="1:22">
      <c r="A96" s="151"/>
      <c r="B96" s="2"/>
      <c r="C96" s="2"/>
      <c r="F96" s="35"/>
      <c r="G96" s="35"/>
      <c r="H96" s="35"/>
      <c r="I96" s="35"/>
    </row>
    <row r="97" spans="1:9">
      <c r="A97" s="151"/>
      <c r="B97" s="2"/>
      <c r="C97" s="2"/>
      <c r="F97" s="35"/>
      <c r="G97" s="35"/>
      <c r="H97" s="35"/>
      <c r="I97" s="35"/>
    </row>
    <row r="98" spans="1:9">
      <c r="A98" s="151"/>
      <c r="B98" s="2"/>
      <c r="C98" s="2"/>
      <c r="F98" s="35"/>
      <c r="G98" s="35"/>
      <c r="H98" s="35"/>
      <c r="I98" s="35"/>
    </row>
    <row r="99" spans="1:9">
      <c r="A99" s="151"/>
      <c r="B99" s="2"/>
      <c r="C99" s="2"/>
      <c r="F99" s="35"/>
      <c r="G99" s="35"/>
      <c r="H99" s="35"/>
      <c r="I99" s="35"/>
    </row>
    <row r="100" spans="1:9">
      <c r="A100" s="151"/>
      <c r="B100" s="2"/>
      <c r="C100" s="2"/>
      <c r="F100" s="35"/>
      <c r="G100" s="35"/>
      <c r="H100" s="35"/>
      <c r="I100" s="35"/>
    </row>
    <row r="101" spans="1:9">
      <c r="A101" s="151"/>
      <c r="B101" s="2"/>
      <c r="C101" s="2"/>
    </row>
    <row r="102" spans="1:9">
      <c r="A102" s="151"/>
      <c r="B102" s="2"/>
      <c r="C102" s="2"/>
    </row>
    <row r="103" spans="1:9">
      <c r="A103" s="151"/>
      <c r="B103" s="2"/>
      <c r="C103" s="2"/>
    </row>
    <row r="104" spans="1:9">
      <c r="A104" s="151"/>
      <c r="B104" s="2"/>
      <c r="C104" s="2"/>
    </row>
    <row r="105" spans="1:9">
      <c r="A105" s="151"/>
      <c r="B105" s="2"/>
      <c r="C105" s="2"/>
    </row>
    <row r="106" spans="1:9">
      <c r="A106" s="151"/>
      <c r="B106" s="2"/>
      <c r="C106" s="2"/>
    </row>
    <row r="107" spans="1:9">
      <c r="A107" s="151"/>
      <c r="B107" s="2"/>
      <c r="C107" s="2"/>
    </row>
    <row r="108" spans="1:9">
      <c r="A108" s="151"/>
      <c r="B108" s="2"/>
      <c r="C108" s="2"/>
    </row>
    <row r="109" spans="1:9">
      <c r="A109" s="151"/>
      <c r="B109" s="2"/>
      <c r="C109" s="2"/>
    </row>
    <row r="110" spans="1:9">
      <c r="A110" s="151"/>
      <c r="B110" s="2"/>
      <c r="C110" s="2"/>
    </row>
  </sheetData>
  <mergeCells count="26">
    <mergeCell ref="D56:D57"/>
    <mergeCell ref="E56:E57"/>
    <mergeCell ref="F56:F57"/>
    <mergeCell ref="D50:D51"/>
    <mergeCell ref="E50:E51"/>
    <mergeCell ref="F50:F51"/>
    <mergeCell ref="D52:D53"/>
    <mergeCell ref="E52:E53"/>
    <mergeCell ref="F52:F53"/>
    <mergeCell ref="D32:D34"/>
    <mergeCell ref="E32:E34"/>
    <mergeCell ref="F32:F34"/>
    <mergeCell ref="D41:D42"/>
    <mergeCell ref="E41:E42"/>
    <mergeCell ref="F41:F42"/>
    <mergeCell ref="D28:D31"/>
    <mergeCell ref="E28:E31"/>
    <mergeCell ref="F28:F31"/>
    <mergeCell ref="D10:D12"/>
    <mergeCell ref="E10:E12"/>
    <mergeCell ref="F10:F12"/>
    <mergeCell ref="D13:D15"/>
    <mergeCell ref="E13:E15"/>
    <mergeCell ref="F13:F15"/>
    <mergeCell ref="E18:E19"/>
    <mergeCell ref="F18:F19"/>
  </mergeCells>
  <printOptions horizontalCentered="1"/>
  <pageMargins left="0.2" right="0.2" top="0.5" bottom="0.5" header="0.3" footer="0.3"/>
  <pageSetup scale="3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17"/>
  <sheetViews>
    <sheetView workbookViewId="0">
      <selection activeCell="C11" sqref="C11"/>
    </sheetView>
  </sheetViews>
  <sheetFormatPr defaultRowHeight="15"/>
  <sheetData>
    <row r="1" spans="1:1">
      <c r="A1" s="554" t="s">
        <v>395</v>
      </c>
    </row>
    <row r="4" spans="1:1">
      <c r="A4" t="s">
        <v>397</v>
      </c>
    </row>
    <row r="5" spans="1:1">
      <c r="A5" t="s">
        <v>401</v>
      </c>
    </row>
    <row r="6" spans="1:1">
      <c r="A6" t="s">
        <v>402</v>
      </c>
    </row>
    <row r="7" spans="1:1">
      <c r="A7" t="s">
        <v>406</v>
      </c>
    </row>
    <row r="8" spans="1:1">
      <c r="A8" t="s">
        <v>405</v>
      </c>
    </row>
    <row r="9" spans="1:1">
      <c r="A9" t="s">
        <v>398</v>
      </c>
    </row>
    <row r="10" spans="1:1">
      <c r="A10" t="s">
        <v>252</v>
      </c>
    </row>
    <row r="13" spans="1:1">
      <c r="A13" t="s">
        <v>216</v>
      </c>
    </row>
    <row r="14" spans="1:1">
      <c r="A14" t="s">
        <v>217</v>
      </c>
    </row>
    <row r="15" spans="1:1">
      <c r="A15" t="s">
        <v>218</v>
      </c>
    </row>
    <row r="16" spans="1:1">
      <c r="A16" t="s">
        <v>219</v>
      </c>
    </row>
    <row r="17" spans="1:1">
      <c r="A17" t="s">
        <v>220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18D2FBB09848246B6FD4A5A815592E3" ma:contentTypeVersion="104" ma:contentTypeDescription="" ma:contentTypeScope="" ma:versionID="c5c772d1368efef941e1eb543e9ac6b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88f51cce7439777dbacc0aa8de4abac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2017-01-13T08:00:00+00:00</OpenedDate>
    <SignificantOrder xmlns="dc463f71-b30c-4ab2-9473-d307f9d35888">false</SignificantOrder>
    <Date1 xmlns="dc463f71-b30c-4ab2-9473-d307f9d35888">2018-04-30T07:00:00+00:00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170033</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A0474153-8FD4-4086-9B84-AF9CDABD509F}"/>
</file>

<file path=customXml/itemProps2.xml><?xml version="1.0" encoding="utf-8"?>
<ds:datastoreItem xmlns:ds="http://schemas.openxmlformats.org/officeDocument/2006/customXml" ds:itemID="{F011A183-5481-490F-BDE6-311E732C8CC0}">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6a7bd91e-004b-490a-8704-e368d63d59a0"/>
    <ds:schemaRef ds:uri="http://www.w3.org/XML/1998/namespace"/>
  </ds:schemaRefs>
</ds:datastoreItem>
</file>

<file path=customXml/itemProps3.xml><?xml version="1.0" encoding="utf-8"?>
<ds:datastoreItem xmlns:ds="http://schemas.openxmlformats.org/officeDocument/2006/customXml" ds:itemID="{9E5BBFED-15B6-498F-BFAF-22C47B39092F}">
  <ds:schemaRefs>
    <ds:schemaRef ds:uri="http://schemas.microsoft.com/sharepoint/v3/contenttype/forms"/>
  </ds:schemaRefs>
</ds:datastoreItem>
</file>

<file path=customXml/itemProps4.xml><?xml version="1.0" encoding="utf-8"?>
<ds:datastoreItem xmlns:ds="http://schemas.openxmlformats.org/officeDocument/2006/customXml" ds:itemID="{28FD04D3-94B4-453B-94E0-6FB235D49E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13</vt:i4>
      </vt:variant>
    </vt:vector>
  </HeadingPairs>
  <TitlesOfParts>
    <vt:vector size="29" baseType="lpstr">
      <vt:lpstr>One Time Request =&gt;</vt:lpstr>
      <vt:lpstr>2017 GRC Stlmt</vt:lpstr>
      <vt:lpstr>Electric</vt:lpstr>
      <vt:lpstr>Gas</vt:lpstr>
      <vt:lpstr>Future Costs Totals</vt:lpstr>
      <vt:lpstr>Deferred Bal =&gt;</vt:lpstr>
      <vt:lpstr>ELEC Actual Q4 2016 - 2017</vt:lpstr>
      <vt:lpstr>GAS Actual Q4 2016 -2017</vt:lpstr>
      <vt:lpstr>Deferred Activity=&gt;</vt:lpstr>
      <vt:lpstr>ELEC Activity Summary</vt:lpstr>
      <vt:lpstr>ELEC Activity Q4 16 - 2017</vt:lpstr>
      <vt:lpstr>GAS Activity Summary</vt:lpstr>
      <vt:lpstr>GAS Activity Q4 2016 -2017</vt:lpstr>
      <vt:lpstr>Def Transfers &amp; Amort=&gt;</vt:lpstr>
      <vt:lpstr>ELEC Amort </vt:lpstr>
      <vt:lpstr>GAS Amort</vt:lpstr>
      <vt:lpstr>'ELEC Activity Q4 16 - 2017'!Print_Area</vt:lpstr>
      <vt:lpstr>'ELEC Actual Q4 2016 - 2017'!Print_Area</vt:lpstr>
      <vt:lpstr>'ELEC Amort '!Print_Area</vt:lpstr>
      <vt:lpstr>'GAS Activity Q4 2016 -2017'!Print_Area</vt:lpstr>
      <vt:lpstr>'GAS Actual Q4 2016 -2017'!Print_Area</vt:lpstr>
      <vt:lpstr>'GAS Amort'!Print_Area</vt:lpstr>
      <vt:lpstr>'One Time Request =&gt;'!Print_Area</vt:lpstr>
      <vt:lpstr>'ELEC Activity Q4 16 - 2017'!Print_Titles</vt:lpstr>
      <vt:lpstr>'ELEC Actual Q4 2016 - 2017'!Print_Titles</vt:lpstr>
      <vt:lpstr>'ELEC Amort '!Print_Titles</vt:lpstr>
      <vt:lpstr>'GAS Activity Q4 2016 -2017'!Print_Titles</vt:lpstr>
      <vt:lpstr>'GAS Actual Q4 2016 -2017'!Print_Titles</vt:lpstr>
      <vt:lpstr>'GAS Amort'!Print_Titles</vt:lpstr>
    </vt:vector>
  </TitlesOfParts>
  <Company>Puget Sound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Puget Sound Energy</dc:creator>
  <cp:lastModifiedBy>Huey, Lorilyn (UTC)</cp:lastModifiedBy>
  <cp:lastPrinted>2018-04-25T15:15:10Z</cp:lastPrinted>
  <dcterms:created xsi:type="dcterms:W3CDTF">2018-02-20T17:14:21Z</dcterms:created>
  <dcterms:modified xsi:type="dcterms:W3CDTF">2018-04-30T21:54:55Z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0x0101006E56B4D1795A2E4DB2F0B01679ED314A00718D2FBB09848246B6FD4A5A815592E3</vt:lpwstr>
  </property>
  <property fmtid="{D5CDD505-2E9C-101B-9397-08002B2CF9AE}" pid="3" name="_docset_NoMedatataSyncRequired">
    <vt:lpwstr>False</vt:lpwstr>
  </property>
  <property fmtid="{D5CDD505-2E9C-101B-9397-08002B2CF9AE}" pid="4" name="IsEFSEC">
    <vt:bool>false</vt:bool>
  </property>
</Properties>
</file>