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11.bin" ContentType="application/vnd.openxmlformats-officedocument.spreadsheetml.customProperty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betty_erdahl_utc_wa_gov/Documents/DATA/PSE/2022 GRC 220066-220067/230393 Tacoma LNG/Bench Requests/"/>
    </mc:Choice>
  </mc:AlternateContent>
  <xr:revisionPtr revIDLastSave="3" documentId="8_{6C40F5FA-2B42-4912-A475-74453CDC9756}" xr6:coauthVersionLast="47" xr6:coauthVersionMax="47" xr10:uidLastSave="{6DF54244-9BE7-4B1B-BF35-4707706D64DC}"/>
  <bookViews>
    <workbookView xWindow="57480" yWindow="-120" windowWidth="29040" windowHeight="17640" tabRatio="837" activeTab="2" xr2:uid="{00000000-000D-0000-FFFF-FFFF00000000}"/>
  </bookViews>
  <sheets>
    <sheet name="Table of Contents" sheetId="139" r:id="rId1"/>
    <sheet name="Overall Rate Impacts--&gt;" sheetId="126" r:id="rId2"/>
    <sheet name="Rate Impacts_RY#1" sheetId="102" r:id="rId3"/>
    <sheet name="Rate Impacts_RY#2" sheetId="112" r:id="rId4"/>
    <sheet name="Rate Impacts_RY#3" sheetId="113" r:id="rId5"/>
    <sheet name="Res. Bill Impacts--&gt;" sheetId="127" r:id="rId6"/>
    <sheet name="Res Bill Summary" sheetId="134" r:id="rId7"/>
    <sheet name="Typical Res Bill Impacts--&gt;" sheetId="128" r:id="rId8"/>
    <sheet name="Typical Res Bill_RY#1 " sheetId="103" r:id="rId9"/>
    <sheet name="Typical Res Bill_RY#2" sheetId="117" r:id="rId10"/>
    <sheet name="Typical Res Bill_RY#3" sheetId="118" r:id="rId11"/>
    <sheet name="Avg Per Therm Impacts--&gt;" sheetId="129" r:id="rId12"/>
    <sheet name="Avg Per Therm_RY#1 " sheetId="104" r:id="rId13"/>
    <sheet name="Avg Per Therm_RY#2" sheetId="114" r:id="rId14"/>
    <sheet name="Avg Per Therm_RY#3" sheetId="115" r:id="rId15"/>
    <sheet name="Work Papers--&gt;" sheetId="51" r:id="rId16"/>
    <sheet name="Revenue Calculations--&gt;" sheetId="105" r:id="rId17"/>
    <sheet name="Revenue by Sch_RY#1" sheetId="111" r:id="rId18"/>
    <sheet name="Revenue by Sch_RY#2" sheetId="124" r:id="rId19"/>
    <sheet name="Revenue by Sch_RY#3" sheetId="130" r:id="rId20"/>
    <sheet name="Rider Revenue Calculation--&gt;" sheetId="28" r:id="rId21"/>
    <sheet name="Sch. 101" sheetId="60" r:id="rId22"/>
    <sheet name="Sch. 106" sheetId="24" r:id="rId23"/>
    <sheet name="Sch. 120" sheetId="25" r:id="rId24"/>
    <sheet name="Sch. 129" sheetId="11" r:id="rId25"/>
    <sheet name="Sch. 140" sheetId="21" r:id="rId26"/>
    <sheet name="Sch. 141D_2024" sheetId="140" r:id="rId27"/>
    <sheet name="Sch. 141N_2024" sheetId="135" r:id="rId28"/>
    <sheet name="Sch. 141N_2025" sheetId="137" r:id="rId29"/>
    <sheet name="Sch. 141R_2024" sheetId="136" r:id="rId30"/>
    <sheet name="Sch. 141R_2025" sheetId="138" r:id="rId31"/>
    <sheet name="Sch. 141X" sheetId="99" r:id="rId32"/>
    <sheet name="Sch. 141Z" sheetId="93" r:id="rId33"/>
    <sheet name="Sch. 142" sheetId="48" r:id="rId34"/>
    <sheet name="Sch. 149" sheetId="22" r:id="rId35"/>
    <sheet name="Data--&gt;" sheetId="36" r:id="rId36"/>
    <sheet name="Res Billing Data" sheetId="132" r:id="rId37"/>
    <sheet name="Therms_CY2023" sheetId="10" r:id="rId38"/>
    <sheet name="Therms_CY2024" sheetId="125" r:id="rId39"/>
    <sheet name="Therms_CY2025" sheetId="131" r:id="rId40"/>
    <sheet name="12ME Dec 2023 Therms by Block%" sheetId="13" r:id="rId41"/>
    <sheet name="12ME Dec 2023 Therms by Block" sheetId="123" r:id="rId42"/>
    <sheet name="12ME Dec 2023 Data" sheetId="15" r:id="rId43"/>
  </sheets>
  <externalReferences>
    <externalReference r:id="rId44"/>
    <externalReference r:id="rId45"/>
  </externalReferences>
  <definedNames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_xlnm.Print_Area" localSheetId="41">'12ME Dec 2023 Therms by Block'!$A$1:$N$56</definedName>
    <definedName name="_xlnm.Print_Area" localSheetId="40">'12ME Dec 2023 Therms by Block%'!$A$1:$N$56</definedName>
    <definedName name="_xlnm.Print_Area" localSheetId="12">'Avg Per Therm_RY#1 '!$B$1:$L$37</definedName>
    <definedName name="_xlnm.Print_Area" localSheetId="13">'Avg Per Therm_RY#2'!$B$1:$L$37</definedName>
    <definedName name="_xlnm.Print_Area" localSheetId="14">'Avg Per Therm_RY#3'!$B$1:$L$37</definedName>
    <definedName name="_xlnm.Print_Area" localSheetId="2">'Rate Impacts_RY#1'!$B$1:$AC$40</definedName>
    <definedName name="_xlnm.Print_Area" localSheetId="3">'Rate Impacts_RY#2'!$B$1:$Q$38</definedName>
    <definedName name="_xlnm.Print_Area" localSheetId="4">'Rate Impacts_RY#3'!$B$1:$N$37</definedName>
    <definedName name="_xlnm.Print_Area" localSheetId="6">'Res Bill Summary'!$B$1:$Q$40</definedName>
    <definedName name="_xlnm.Print_Area" localSheetId="17">'Revenue by Sch_RY#1'!$B$1:$O$37</definedName>
    <definedName name="_xlnm.Print_Area" localSheetId="18">'Revenue by Sch_RY#2'!$B$1:$P$38</definedName>
    <definedName name="_xlnm.Print_Area" localSheetId="19">'Revenue by Sch_RY#3'!$B$1:$O$37</definedName>
    <definedName name="_xlnm.Print_Area" localSheetId="21">'Sch. 101'!$A$1:$J$40</definedName>
    <definedName name="_xlnm.Print_Area" localSheetId="24">'Sch. 129'!$A$1:$I$50</definedName>
    <definedName name="_xlnm.Print_Area" localSheetId="25">'Sch. 140'!$A$1:$I$22</definedName>
    <definedName name="_xlnm.Print_Area" localSheetId="26">'Sch. 141D_2024'!$A$1:$I$40</definedName>
    <definedName name="_xlnm.Print_Area" localSheetId="27">'Sch. 141N_2024'!$A$1:$I$40</definedName>
    <definedName name="_xlnm.Print_Area" localSheetId="28">'Sch. 141N_2025'!$A$1:$I$22</definedName>
    <definedName name="_xlnm.Print_Area" localSheetId="29">'Sch. 141R_2024'!$A$1:$I$40</definedName>
    <definedName name="_xlnm.Print_Area" localSheetId="30">'Sch. 141R_2025'!$A$1:$I$22</definedName>
    <definedName name="_xlnm.Print_Area" localSheetId="31">'Sch. 141X'!$A$1:$I$22</definedName>
    <definedName name="_xlnm.Print_Area" localSheetId="32">'Sch. 141Z'!$A$1:$I$22</definedName>
    <definedName name="_xlnm.Print_Area" localSheetId="34">'Sch. 149'!$A$1:$I$22</definedName>
    <definedName name="_xlnm.Print_Area" localSheetId="8">'Typical Res Bill_RY#1 '!$B$1:$Z$39</definedName>
    <definedName name="_xlnm.Print_Area" localSheetId="9">'Typical Res Bill_RY#2'!$B$1:$Q$39</definedName>
    <definedName name="_xlnm.Print_Area" localSheetId="10">'Typical Res Bill_RY#3'!$B$1:$N$37</definedName>
    <definedName name="_xlnm.Print_Titles" localSheetId="41">'12ME Dec 2023 Therms by Block'!$3:$5</definedName>
    <definedName name="_xlnm.Print_Titles" localSheetId="40">'12ME Dec 2023 Therms by Block%'!$3:$5</definedName>
    <definedName name="_xlnm.Print_Titles" localSheetId="33">'Sch. 142'!$1:$8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8" i="103" l="1"/>
  <c r="D18" i="117" s="1"/>
  <c r="P18" i="103"/>
  <c r="P20" i="103"/>
  <c r="V18" i="103"/>
  <c r="S18" i="103"/>
  <c r="M18" i="103"/>
  <c r="J18" i="103"/>
  <c r="P19" i="103"/>
  <c r="P15" i="103"/>
  <c r="P11" i="103"/>
  <c r="Q11" i="103" s="1"/>
  <c r="Q12" i="103" s="1"/>
  <c r="G18" i="103"/>
  <c r="L34" i="112"/>
  <c r="M8" i="112"/>
  <c r="M7" i="112"/>
  <c r="K33" i="124"/>
  <c r="E22" i="140"/>
  <c r="E21" i="140"/>
  <c r="E20" i="140"/>
  <c r="E19" i="140"/>
  <c r="E18" i="140"/>
  <c r="E17" i="140"/>
  <c r="E14" i="140"/>
  <c r="E13" i="140"/>
  <c r="E12" i="140"/>
  <c r="E11" i="140"/>
  <c r="E10" i="140"/>
  <c r="E9" i="140"/>
  <c r="M18" i="117" s="1"/>
  <c r="D22" i="140"/>
  <c r="D21" i="140"/>
  <c r="D20" i="140"/>
  <c r="D19" i="140"/>
  <c r="D18" i="140"/>
  <c r="D17" i="140"/>
  <c r="D14" i="140"/>
  <c r="D13" i="140"/>
  <c r="D12" i="140"/>
  <c r="D11" i="140"/>
  <c r="D10" i="140"/>
  <c r="D9" i="140"/>
  <c r="C36" i="140"/>
  <c r="G36" i="140" s="1"/>
  <c r="C35" i="140"/>
  <c r="G35" i="140" s="1"/>
  <c r="C34" i="140"/>
  <c r="F34" i="140" s="1"/>
  <c r="C33" i="140"/>
  <c r="C32" i="140"/>
  <c r="G32" i="140" s="1"/>
  <c r="C31" i="140"/>
  <c r="G31" i="140" s="1"/>
  <c r="F22" i="140"/>
  <c r="C22" i="140"/>
  <c r="C21" i="140"/>
  <c r="C20" i="140"/>
  <c r="C19" i="140"/>
  <c r="C18" i="140"/>
  <c r="G18" i="140" s="1"/>
  <c r="C17" i="140"/>
  <c r="C36" i="136"/>
  <c r="C35" i="136"/>
  <c r="C34" i="136"/>
  <c r="C33" i="136"/>
  <c r="C32" i="136"/>
  <c r="C31" i="136"/>
  <c r="C22" i="136"/>
  <c r="C21" i="136"/>
  <c r="C20" i="136"/>
  <c r="C19" i="136"/>
  <c r="C18" i="136"/>
  <c r="C17" i="136"/>
  <c r="E36" i="136"/>
  <c r="E35" i="136"/>
  <c r="E34" i="136"/>
  <c r="E33" i="136"/>
  <c r="E32" i="136"/>
  <c r="E31" i="136"/>
  <c r="E28" i="136"/>
  <c r="E27" i="136"/>
  <c r="E26" i="136"/>
  <c r="E25" i="136"/>
  <c r="E22" i="136"/>
  <c r="E21" i="136"/>
  <c r="E20" i="136"/>
  <c r="E19" i="136"/>
  <c r="E18" i="136"/>
  <c r="E17" i="136"/>
  <c r="E14" i="136"/>
  <c r="E13" i="136"/>
  <c r="E12" i="136"/>
  <c r="E11" i="136"/>
  <c r="E10" i="136"/>
  <c r="E9" i="136"/>
  <c r="C36" i="135"/>
  <c r="C35" i="135"/>
  <c r="C34" i="135"/>
  <c r="C33" i="135"/>
  <c r="C32" i="135"/>
  <c r="C31" i="135"/>
  <c r="C22" i="135"/>
  <c r="C21" i="135"/>
  <c r="C20" i="135"/>
  <c r="C19" i="135"/>
  <c r="C18" i="135"/>
  <c r="C17" i="135"/>
  <c r="E36" i="135"/>
  <c r="E35" i="135"/>
  <c r="E34" i="135"/>
  <c r="E33" i="135"/>
  <c r="E32" i="135"/>
  <c r="E31" i="135"/>
  <c r="E28" i="135"/>
  <c r="E27" i="135"/>
  <c r="E26" i="135"/>
  <c r="E25" i="135"/>
  <c r="E22" i="135"/>
  <c r="E21" i="135"/>
  <c r="E20" i="135"/>
  <c r="E19" i="135"/>
  <c r="E18" i="135"/>
  <c r="E17" i="135"/>
  <c r="E14" i="135"/>
  <c r="E13" i="135"/>
  <c r="E12" i="135"/>
  <c r="E11" i="135"/>
  <c r="E10" i="135"/>
  <c r="E9" i="135"/>
  <c r="E23" i="124"/>
  <c r="E22" i="124"/>
  <c r="E21" i="124"/>
  <c r="E20" i="124"/>
  <c r="E19" i="124"/>
  <c r="E18" i="124"/>
  <c r="E17" i="124"/>
  <c r="E16" i="124"/>
  <c r="E15" i="124"/>
  <c r="E14" i="124"/>
  <c r="E13" i="124"/>
  <c r="E12" i="124"/>
  <c r="E11" i="124"/>
  <c r="G21" i="140" l="1"/>
  <c r="F20" i="140"/>
  <c r="G22" i="140"/>
  <c r="F32" i="140"/>
  <c r="H32" i="140" s="1"/>
  <c r="I32" i="140" s="1"/>
  <c r="F18" i="140"/>
  <c r="P12" i="103"/>
  <c r="G18" i="117"/>
  <c r="J18" i="117"/>
  <c r="P18" i="117"/>
  <c r="G19" i="140"/>
  <c r="C37" i="140"/>
  <c r="F35" i="140"/>
  <c r="H35" i="140" s="1"/>
  <c r="I35" i="140" s="1"/>
  <c r="F19" i="140"/>
  <c r="F31" i="140"/>
  <c r="H31" i="140" s="1"/>
  <c r="F33" i="140"/>
  <c r="H18" i="140"/>
  <c r="I18" i="140" s="1"/>
  <c r="G20" i="140"/>
  <c r="H20" i="140" s="1"/>
  <c r="I20" i="140" s="1"/>
  <c r="F36" i="140"/>
  <c r="H36" i="140" s="1"/>
  <c r="I36" i="140" s="1"/>
  <c r="H22" i="140"/>
  <c r="I22" i="140" s="1"/>
  <c r="F21" i="140"/>
  <c r="H21" i="140" s="1"/>
  <c r="I21" i="140" s="1"/>
  <c r="F17" i="140"/>
  <c r="C23" i="140"/>
  <c r="G17" i="140"/>
  <c r="G34" i="140"/>
  <c r="H34" i="140" s="1"/>
  <c r="I34" i="140" s="1"/>
  <c r="G33" i="140"/>
  <c r="F37" i="140" l="1"/>
  <c r="H33" i="140"/>
  <c r="I33" i="140" s="1"/>
  <c r="F23" i="140"/>
  <c r="K17" i="124" s="1"/>
  <c r="K32" i="124" s="1"/>
  <c r="H19" i="140"/>
  <c r="I19" i="140" s="1"/>
  <c r="G37" i="140"/>
  <c r="H17" i="140"/>
  <c r="G23" i="140"/>
  <c r="I31" i="140"/>
  <c r="H37" i="140" l="1"/>
  <c r="I37" i="140" s="1"/>
  <c r="I17" i="140"/>
  <c r="H23" i="140"/>
  <c r="I23" i="140" l="1"/>
  <c r="L17" i="112"/>
  <c r="L33" i="112" s="1"/>
  <c r="O35" i="102"/>
  <c r="O18" i="102"/>
  <c r="O34" i="102" s="1"/>
  <c r="O17" i="102"/>
  <c r="O33" i="102" s="1"/>
  <c r="O16" i="102"/>
  <c r="O15" i="102"/>
  <c r="O14" i="102"/>
  <c r="O30" i="102" s="1"/>
  <c r="O13" i="102"/>
  <c r="O12" i="102"/>
  <c r="O29" i="102" s="1"/>
  <c r="O25" i="102" l="1"/>
  <c r="O32" i="102"/>
  <c r="O31" i="102"/>
  <c r="O36" i="102" l="1"/>
  <c r="P9" i="102" l="1"/>
  <c r="P8" i="102"/>
  <c r="E11" i="118" l="1"/>
  <c r="J11" i="118" l="1"/>
  <c r="K11" i="118" s="1"/>
  <c r="M11" i="118"/>
  <c r="N11" i="118" s="1"/>
  <c r="G11" i="118"/>
  <c r="H11" i="118" s="1"/>
  <c r="F24" i="102"/>
  <c r="F23" i="102"/>
  <c r="F22" i="102"/>
  <c r="F21" i="102"/>
  <c r="F20" i="102"/>
  <c r="F19" i="102"/>
  <c r="F18" i="102"/>
  <c r="F17" i="102"/>
  <c r="F16" i="102"/>
  <c r="F15" i="102"/>
  <c r="F14" i="102"/>
  <c r="F13" i="102"/>
  <c r="F12" i="102"/>
  <c r="D32" i="136" l="1"/>
  <c r="D33" i="136"/>
  <c r="D34" i="136"/>
  <c r="D35" i="136"/>
  <c r="D36" i="136"/>
  <c r="D31" i="136"/>
  <c r="D18" i="136"/>
  <c r="D19" i="136"/>
  <c r="D20" i="136"/>
  <c r="D21" i="136"/>
  <c r="D22" i="136"/>
  <c r="D17" i="136"/>
  <c r="G32" i="135"/>
  <c r="G33" i="135"/>
  <c r="G31" i="135"/>
  <c r="G19" i="135"/>
  <c r="G17" i="135"/>
  <c r="G20" i="135" l="1"/>
  <c r="G34" i="135"/>
  <c r="F33" i="136"/>
  <c r="C37" i="136"/>
  <c r="F20" i="136"/>
  <c r="F32" i="136"/>
  <c r="F35" i="136"/>
  <c r="F31" i="136"/>
  <c r="F34" i="136"/>
  <c r="G36" i="135"/>
  <c r="C37" i="135"/>
  <c r="F36" i="136"/>
  <c r="G35" i="135"/>
  <c r="F21" i="136"/>
  <c r="F17" i="136"/>
  <c r="F19" i="136"/>
  <c r="F22" i="136"/>
  <c r="F18" i="136"/>
  <c r="C23" i="136"/>
  <c r="C23" i="135"/>
  <c r="G22" i="135"/>
  <c r="G18" i="135"/>
  <c r="G21" i="135"/>
  <c r="F37" i="136" l="1"/>
  <c r="F23" i="136"/>
  <c r="G37" i="135"/>
  <c r="G23" i="135"/>
  <c r="M37" i="15" l="1"/>
  <c r="L37" i="15"/>
  <c r="K37" i="15"/>
  <c r="J37" i="15"/>
  <c r="I37" i="15"/>
  <c r="H37" i="15"/>
  <c r="G37" i="15"/>
  <c r="F37" i="15"/>
  <c r="E37" i="15"/>
  <c r="D37" i="15"/>
  <c r="C37" i="15"/>
  <c r="B37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M55" i="123"/>
  <c r="L55" i="123"/>
  <c r="K55" i="123"/>
  <c r="J55" i="123"/>
  <c r="I55" i="123"/>
  <c r="H55" i="123"/>
  <c r="G55" i="123"/>
  <c r="F55" i="123"/>
  <c r="E55" i="123"/>
  <c r="D55" i="123"/>
  <c r="C55" i="123"/>
  <c r="B55" i="123"/>
  <c r="M54" i="123"/>
  <c r="L54" i="123"/>
  <c r="K54" i="123"/>
  <c r="J54" i="123"/>
  <c r="I54" i="123"/>
  <c r="H54" i="123"/>
  <c r="G54" i="123"/>
  <c r="F54" i="123"/>
  <c r="E54" i="123"/>
  <c r="D54" i="123"/>
  <c r="C54" i="123"/>
  <c r="B54" i="123"/>
  <c r="M53" i="123"/>
  <c r="L53" i="123"/>
  <c r="K53" i="123"/>
  <c r="J53" i="123"/>
  <c r="I53" i="123"/>
  <c r="H53" i="123"/>
  <c r="G53" i="123"/>
  <c r="F53" i="123"/>
  <c r="E53" i="123"/>
  <c r="D53" i="123"/>
  <c r="C53" i="123"/>
  <c r="B53" i="123"/>
  <c r="M52" i="123"/>
  <c r="L52" i="123"/>
  <c r="K52" i="123"/>
  <c r="J52" i="123"/>
  <c r="I52" i="123"/>
  <c r="H52" i="123"/>
  <c r="G52" i="123"/>
  <c r="F52" i="123"/>
  <c r="E52" i="123"/>
  <c r="D52" i="123"/>
  <c r="C52" i="123"/>
  <c r="B52" i="123"/>
  <c r="M51" i="123"/>
  <c r="L51" i="123"/>
  <c r="K51" i="123"/>
  <c r="J51" i="123"/>
  <c r="I51" i="123"/>
  <c r="H51" i="123"/>
  <c r="G51" i="123"/>
  <c r="F51" i="123"/>
  <c r="E51" i="123"/>
  <c r="D51" i="123"/>
  <c r="C51" i="123"/>
  <c r="B51" i="123"/>
  <c r="M50" i="123"/>
  <c r="L50" i="123"/>
  <c r="K50" i="123"/>
  <c r="J50" i="123"/>
  <c r="I50" i="123"/>
  <c r="H50" i="123"/>
  <c r="G50" i="123"/>
  <c r="F50" i="123"/>
  <c r="E50" i="123"/>
  <c r="D50" i="123"/>
  <c r="C50" i="123"/>
  <c r="B50" i="123"/>
  <c r="M46" i="123"/>
  <c r="L46" i="123"/>
  <c r="K46" i="123"/>
  <c r="J46" i="123"/>
  <c r="I46" i="123"/>
  <c r="H46" i="123"/>
  <c r="G46" i="123"/>
  <c r="F46" i="123"/>
  <c r="E46" i="123"/>
  <c r="D46" i="123"/>
  <c r="C46" i="123"/>
  <c r="B46" i="123"/>
  <c r="M45" i="123"/>
  <c r="L45" i="123"/>
  <c r="K45" i="123"/>
  <c r="J45" i="123"/>
  <c r="I45" i="123"/>
  <c r="H45" i="123"/>
  <c r="G45" i="123"/>
  <c r="F45" i="123"/>
  <c r="E45" i="123"/>
  <c r="D45" i="123"/>
  <c r="C45" i="123"/>
  <c r="B45" i="123"/>
  <c r="M44" i="123"/>
  <c r="L44" i="123"/>
  <c r="K44" i="123"/>
  <c r="J44" i="123"/>
  <c r="I44" i="123"/>
  <c r="H44" i="123"/>
  <c r="G44" i="123"/>
  <c r="F44" i="123"/>
  <c r="E44" i="123"/>
  <c r="D44" i="123"/>
  <c r="C44" i="123"/>
  <c r="B44" i="123"/>
  <c r="M43" i="123"/>
  <c r="L43" i="123"/>
  <c r="K43" i="123"/>
  <c r="J43" i="123"/>
  <c r="I43" i="123"/>
  <c r="H43" i="123"/>
  <c r="G43" i="123"/>
  <c r="F43" i="123"/>
  <c r="E43" i="123"/>
  <c r="D43" i="123"/>
  <c r="C43" i="123"/>
  <c r="B43" i="123"/>
  <c r="M42" i="123"/>
  <c r="L42" i="123"/>
  <c r="K42" i="123"/>
  <c r="J42" i="123"/>
  <c r="I42" i="123"/>
  <c r="H42" i="123"/>
  <c r="G42" i="123"/>
  <c r="F42" i="123"/>
  <c r="E42" i="123"/>
  <c r="D42" i="123"/>
  <c r="C42" i="123"/>
  <c r="B42" i="123"/>
  <c r="M41" i="123"/>
  <c r="L41" i="123"/>
  <c r="K41" i="123"/>
  <c r="J41" i="123"/>
  <c r="I41" i="123"/>
  <c r="H41" i="123"/>
  <c r="G41" i="123"/>
  <c r="F41" i="123"/>
  <c r="E41" i="123"/>
  <c r="D41" i="123"/>
  <c r="C41" i="123"/>
  <c r="B41" i="123"/>
  <c r="M37" i="123"/>
  <c r="L37" i="123"/>
  <c r="K37" i="123"/>
  <c r="J37" i="123"/>
  <c r="I37" i="123"/>
  <c r="H37" i="123"/>
  <c r="G37" i="123"/>
  <c r="F37" i="123"/>
  <c r="E37" i="123"/>
  <c r="D37" i="123"/>
  <c r="C37" i="123"/>
  <c r="B37" i="123"/>
  <c r="M36" i="123"/>
  <c r="L36" i="123"/>
  <c r="K36" i="123"/>
  <c r="J36" i="123"/>
  <c r="I36" i="123"/>
  <c r="H36" i="123"/>
  <c r="G36" i="123"/>
  <c r="F36" i="123"/>
  <c r="E36" i="123"/>
  <c r="D36" i="123"/>
  <c r="C36" i="123"/>
  <c r="B36" i="123"/>
  <c r="M32" i="123"/>
  <c r="L32" i="123"/>
  <c r="K32" i="123"/>
  <c r="J32" i="123"/>
  <c r="I32" i="123"/>
  <c r="H32" i="123"/>
  <c r="G32" i="123"/>
  <c r="F32" i="123"/>
  <c r="E32" i="123"/>
  <c r="D32" i="123"/>
  <c r="C32" i="123"/>
  <c r="B32" i="123"/>
  <c r="M31" i="123"/>
  <c r="L31" i="123"/>
  <c r="K31" i="123"/>
  <c r="J31" i="123"/>
  <c r="I31" i="123"/>
  <c r="H31" i="123"/>
  <c r="G31" i="123"/>
  <c r="F31" i="123"/>
  <c r="E31" i="123"/>
  <c r="D31" i="123"/>
  <c r="C31" i="123"/>
  <c r="B31" i="123"/>
  <c r="M27" i="123"/>
  <c r="L27" i="123"/>
  <c r="K27" i="123"/>
  <c r="J27" i="123"/>
  <c r="I27" i="123"/>
  <c r="H27" i="123"/>
  <c r="G27" i="123"/>
  <c r="F27" i="123"/>
  <c r="E27" i="123"/>
  <c r="D27" i="123"/>
  <c r="C27" i="123"/>
  <c r="B27" i="123"/>
  <c r="M26" i="123"/>
  <c r="L26" i="123"/>
  <c r="K26" i="123"/>
  <c r="J26" i="123"/>
  <c r="I26" i="123"/>
  <c r="H26" i="123"/>
  <c r="G26" i="123"/>
  <c r="F26" i="123"/>
  <c r="E26" i="123"/>
  <c r="D26" i="123"/>
  <c r="C26" i="123"/>
  <c r="B26" i="123"/>
  <c r="M25" i="123"/>
  <c r="L25" i="123"/>
  <c r="K25" i="123"/>
  <c r="J25" i="123"/>
  <c r="I25" i="123"/>
  <c r="H25" i="123"/>
  <c r="G25" i="123"/>
  <c r="F25" i="123"/>
  <c r="E25" i="123"/>
  <c r="D25" i="123"/>
  <c r="C25" i="123"/>
  <c r="B25" i="123"/>
  <c r="M21" i="123"/>
  <c r="L21" i="123"/>
  <c r="K21" i="123"/>
  <c r="J21" i="123"/>
  <c r="I21" i="123"/>
  <c r="H21" i="123"/>
  <c r="G21" i="123"/>
  <c r="F21" i="123"/>
  <c r="E21" i="123"/>
  <c r="D21" i="123"/>
  <c r="C21" i="123"/>
  <c r="B21" i="123"/>
  <c r="M20" i="123"/>
  <c r="L20" i="123"/>
  <c r="K20" i="123"/>
  <c r="J20" i="123"/>
  <c r="I20" i="123"/>
  <c r="H20" i="123"/>
  <c r="G20" i="123"/>
  <c r="F20" i="123"/>
  <c r="E20" i="123"/>
  <c r="D20" i="123"/>
  <c r="C20" i="123"/>
  <c r="B20" i="123"/>
  <c r="M19" i="123"/>
  <c r="L19" i="123"/>
  <c r="K19" i="123"/>
  <c r="J19" i="123"/>
  <c r="I19" i="123"/>
  <c r="H19" i="123"/>
  <c r="G19" i="123"/>
  <c r="F19" i="123"/>
  <c r="E19" i="123"/>
  <c r="D19" i="123"/>
  <c r="C19" i="123"/>
  <c r="B19" i="123"/>
  <c r="M15" i="123"/>
  <c r="L15" i="123"/>
  <c r="K15" i="123"/>
  <c r="J15" i="123"/>
  <c r="I15" i="123"/>
  <c r="H15" i="123"/>
  <c r="G15" i="123"/>
  <c r="F15" i="123"/>
  <c r="E15" i="123"/>
  <c r="D15" i="123"/>
  <c r="C15" i="123"/>
  <c r="B15" i="123"/>
  <c r="M14" i="123"/>
  <c r="L14" i="123"/>
  <c r="K14" i="123"/>
  <c r="J14" i="123"/>
  <c r="I14" i="123"/>
  <c r="H14" i="123"/>
  <c r="G14" i="123"/>
  <c r="F14" i="123"/>
  <c r="E14" i="123"/>
  <c r="D14" i="123"/>
  <c r="C14" i="123"/>
  <c r="B14" i="123"/>
  <c r="M13" i="123"/>
  <c r="L13" i="123"/>
  <c r="K13" i="123"/>
  <c r="J13" i="123"/>
  <c r="I13" i="123"/>
  <c r="H13" i="123"/>
  <c r="G13" i="123"/>
  <c r="F13" i="123"/>
  <c r="E13" i="123"/>
  <c r="D13" i="123"/>
  <c r="C13" i="123"/>
  <c r="B13" i="123"/>
  <c r="M9" i="123"/>
  <c r="L9" i="123"/>
  <c r="K9" i="123"/>
  <c r="J9" i="123"/>
  <c r="I9" i="123"/>
  <c r="H9" i="123"/>
  <c r="G9" i="123"/>
  <c r="F9" i="123"/>
  <c r="E9" i="123"/>
  <c r="D9" i="123"/>
  <c r="C9" i="123"/>
  <c r="B9" i="123"/>
  <c r="M8" i="123"/>
  <c r="L8" i="123"/>
  <c r="K8" i="123"/>
  <c r="J8" i="123"/>
  <c r="I8" i="123"/>
  <c r="H8" i="123"/>
  <c r="G8" i="123"/>
  <c r="F8" i="123"/>
  <c r="E8" i="123"/>
  <c r="D8" i="123"/>
  <c r="C8" i="123"/>
  <c r="B8" i="123"/>
  <c r="M7" i="123"/>
  <c r="L7" i="123"/>
  <c r="K7" i="123"/>
  <c r="J7" i="123"/>
  <c r="I7" i="123"/>
  <c r="H7" i="123"/>
  <c r="G7" i="123"/>
  <c r="F7" i="123"/>
  <c r="E7" i="123"/>
  <c r="D7" i="123"/>
  <c r="C7" i="123"/>
  <c r="B7" i="123"/>
  <c r="O22" i="131"/>
  <c r="N22" i="131"/>
  <c r="M22" i="131"/>
  <c r="L22" i="131"/>
  <c r="K22" i="131"/>
  <c r="J22" i="131"/>
  <c r="I22" i="131"/>
  <c r="H22" i="131"/>
  <c r="G22" i="131"/>
  <c r="F22" i="131"/>
  <c r="E22" i="131"/>
  <c r="D22" i="131"/>
  <c r="O21" i="131"/>
  <c r="N21" i="131"/>
  <c r="M21" i="131"/>
  <c r="L21" i="131"/>
  <c r="K21" i="131"/>
  <c r="J21" i="131"/>
  <c r="I21" i="131"/>
  <c r="H21" i="131"/>
  <c r="G21" i="131"/>
  <c r="F21" i="131"/>
  <c r="E21" i="131"/>
  <c r="D21" i="131"/>
  <c r="O20" i="131"/>
  <c r="N20" i="131"/>
  <c r="M20" i="131"/>
  <c r="L20" i="131"/>
  <c r="K20" i="131"/>
  <c r="J20" i="131"/>
  <c r="I20" i="131"/>
  <c r="H20" i="131"/>
  <c r="G20" i="131"/>
  <c r="F20" i="131"/>
  <c r="E20" i="131"/>
  <c r="D20" i="131"/>
  <c r="O19" i="131"/>
  <c r="N19" i="131"/>
  <c r="M19" i="131"/>
  <c r="L19" i="131"/>
  <c r="K19" i="131"/>
  <c r="J19" i="131"/>
  <c r="I19" i="131"/>
  <c r="H19" i="131"/>
  <c r="G19" i="131"/>
  <c r="F19" i="131"/>
  <c r="E19" i="131"/>
  <c r="D19" i="131"/>
  <c r="O18" i="131"/>
  <c r="N18" i="131"/>
  <c r="M18" i="131"/>
  <c r="L18" i="131"/>
  <c r="K18" i="131"/>
  <c r="J18" i="131"/>
  <c r="I18" i="131"/>
  <c r="H18" i="131"/>
  <c r="G18" i="131"/>
  <c r="F18" i="131"/>
  <c r="E18" i="131"/>
  <c r="D18" i="131"/>
  <c r="O17" i="131"/>
  <c r="N17" i="131"/>
  <c r="M17" i="131"/>
  <c r="L17" i="131"/>
  <c r="K17" i="131"/>
  <c r="J17" i="131"/>
  <c r="I17" i="131"/>
  <c r="H17" i="131"/>
  <c r="G17" i="131"/>
  <c r="F17" i="131"/>
  <c r="E17" i="131"/>
  <c r="D17" i="131"/>
  <c r="O16" i="131"/>
  <c r="N16" i="131"/>
  <c r="M16" i="131"/>
  <c r="L16" i="131"/>
  <c r="K16" i="131"/>
  <c r="J16" i="131"/>
  <c r="I16" i="131"/>
  <c r="H16" i="131"/>
  <c r="G16" i="131"/>
  <c r="F16" i="131"/>
  <c r="E16" i="131"/>
  <c r="D16" i="131"/>
  <c r="O15" i="131"/>
  <c r="N15" i="131"/>
  <c r="M15" i="131"/>
  <c r="L15" i="131"/>
  <c r="K15" i="131"/>
  <c r="J15" i="131"/>
  <c r="I15" i="131"/>
  <c r="H15" i="131"/>
  <c r="G15" i="131"/>
  <c r="F15" i="131"/>
  <c r="E15" i="131"/>
  <c r="D15" i="131"/>
  <c r="O14" i="131"/>
  <c r="N14" i="131"/>
  <c r="M14" i="131"/>
  <c r="L14" i="131"/>
  <c r="K14" i="131"/>
  <c r="J14" i="131"/>
  <c r="I14" i="131"/>
  <c r="H14" i="131"/>
  <c r="G14" i="131"/>
  <c r="F14" i="131"/>
  <c r="E14" i="131"/>
  <c r="D14" i="131"/>
  <c r="O13" i="131"/>
  <c r="N13" i="131"/>
  <c r="M13" i="131"/>
  <c r="L13" i="131"/>
  <c r="K13" i="131"/>
  <c r="J13" i="131"/>
  <c r="I13" i="131"/>
  <c r="H13" i="131"/>
  <c r="G13" i="131"/>
  <c r="F13" i="131"/>
  <c r="E13" i="131"/>
  <c r="D13" i="131"/>
  <c r="O12" i="131"/>
  <c r="N12" i="131"/>
  <c r="M12" i="131"/>
  <c r="L12" i="131"/>
  <c r="K12" i="131"/>
  <c r="J12" i="131"/>
  <c r="I12" i="131"/>
  <c r="H12" i="131"/>
  <c r="G12" i="131"/>
  <c r="F12" i="131"/>
  <c r="E12" i="131"/>
  <c r="D12" i="131"/>
  <c r="O11" i="131"/>
  <c r="N11" i="131"/>
  <c r="M11" i="131"/>
  <c r="L11" i="131"/>
  <c r="K11" i="131"/>
  <c r="J11" i="131"/>
  <c r="I11" i="131"/>
  <c r="H11" i="131"/>
  <c r="G11" i="131"/>
  <c r="F11" i="131"/>
  <c r="E11" i="131"/>
  <c r="D11" i="131"/>
  <c r="O10" i="131"/>
  <c r="N10" i="131"/>
  <c r="M10" i="131"/>
  <c r="L10" i="131"/>
  <c r="K10" i="131"/>
  <c r="J10" i="131"/>
  <c r="I10" i="131"/>
  <c r="H10" i="131"/>
  <c r="G10" i="131"/>
  <c r="F10" i="131"/>
  <c r="E10" i="131"/>
  <c r="D10" i="131"/>
  <c r="O9" i="131"/>
  <c r="N9" i="131"/>
  <c r="M9" i="131"/>
  <c r="L9" i="131"/>
  <c r="K9" i="131"/>
  <c r="J9" i="131"/>
  <c r="I9" i="131"/>
  <c r="H9" i="131"/>
  <c r="G9" i="131"/>
  <c r="F9" i="131"/>
  <c r="E9" i="131"/>
  <c r="D9" i="131"/>
  <c r="O22" i="125"/>
  <c r="N22" i="125"/>
  <c r="M22" i="125"/>
  <c r="L22" i="125"/>
  <c r="K22" i="125"/>
  <c r="J22" i="125"/>
  <c r="I22" i="125"/>
  <c r="H22" i="125"/>
  <c r="G22" i="125"/>
  <c r="F22" i="125"/>
  <c r="E22" i="125"/>
  <c r="D22" i="125"/>
  <c r="O21" i="125"/>
  <c r="N21" i="125"/>
  <c r="M21" i="125"/>
  <c r="L21" i="125"/>
  <c r="K21" i="125"/>
  <c r="J21" i="125"/>
  <c r="I21" i="125"/>
  <c r="H21" i="125"/>
  <c r="G21" i="125"/>
  <c r="F21" i="125"/>
  <c r="E21" i="125"/>
  <c r="D21" i="125"/>
  <c r="O20" i="125"/>
  <c r="N20" i="125"/>
  <c r="M20" i="125"/>
  <c r="L20" i="125"/>
  <c r="K20" i="125"/>
  <c r="J20" i="125"/>
  <c r="I20" i="125"/>
  <c r="H20" i="125"/>
  <c r="G20" i="125"/>
  <c r="F20" i="125"/>
  <c r="E20" i="125"/>
  <c r="D20" i="125"/>
  <c r="O19" i="125"/>
  <c r="N19" i="125"/>
  <c r="M19" i="125"/>
  <c r="L19" i="125"/>
  <c r="K19" i="125"/>
  <c r="J19" i="125"/>
  <c r="I19" i="125"/>
  <c r="H19" i="125"/>
  <c r="G19" i="125"/>
  <c r="F19" i="125"/>
  <c r="E19" i="125"/>
  <c r="D19" i="125"/>
  <c r="O18" i="125"/>
  <c r="N18" i="125"/>
  <c r="M18" i="125"/>
  <c r="L18" i="125"/>
  <c r="K18" i="125"/>
  <c r="J18" i="125"/>
  <c r="I18" i="125"/>
  <c r="H18" i="125"/>
  <c r="G18" i="125"/>
  <c r="F18" i="125"/>
  <c r="E18" i="125"/>
  <c r="D18" i="125"/>
  <c r="O17" i="125"/>
  <c r="N17" i="125"/>
  <c r="M17" i="125"/>
  <c r="L17" i="125"/>
  <c r="K17" i="125"/>
  <c r="J17" i="125"/>
  <c r="I17" i="125"/>
  <c r="H17" i="125"/>
  <c r="G17" i="125"/>
  <c r="F17" i="125"/>
  <c r="E17" i="125"/>
  <c r="D17" i="125"/>
  <c r="O16" i="125"/>
  <c r="N16" i="125"/>
  <c r="M16" i="125"/>
  <c r="L16" i="125"/>
  <c r="K16" i="125"/>
  <c r="J16" i="125"/>
  <c r="I16" i="125"/>
  <c r="H16" i="125"/>
  <c r="G16" i="125"/>
  <c r="F16" i="125"/>
  <c r="E16" i="125"/>
  <c r="D16" i="125"/>
  <c r="O15" i="125"/>
  <c r="N15" i="125"/>
  <c r="M15" i="125"/>
  <c r="L15" i="125"/>
  <c r="K15" i="125"/>
  <c r="J15" i="125"/>
  <c r="I15" i="125"/>
  <c r="H15" i="125"/>
  <c r="G15" i="125"/>
  <c r="F15" i="125"/>
  <c r="E15" i="125"/>
  <c r="D15" i="125"/>
  <c r="O14" i="125"/>
  <c r="N14" i="125"/>
  <c r="M14" i="125"/>
  <c r="L14" i="125"/>
  <c r="K14" i="125"/>
  <c r="J14" i="125"/>
  <c r="I14" i="125"/>
  <c r="H14" i="125"/>
  <c r="G14" i="125"/>
  <c r="F14" i="125"/>
  <c r="E14" i="125"/>
  <c r="D14" i="125"/>
  <c r="O13" i="125"/>
  <c r="N13" i="125"/>
  <c r="M13" i="125"/>
  <c r="L13" i="125"/>
  <c r="K13" i="125"/>
  <c r="J13" i="125"/>
  <c r="I13" i="125"/>
  <c r="H13" i="125"/>
  <c r="G13" i="125"/>
  <c r="F13" i="125"/>
  <c r="E13" i="125"/>
  <c r="D13" i="125"/>
  <c r="O12" i="125"/>
  <c r="N12" i="125"/>
  <c r="M12" i="125"/>
  <c r="L12" i="125"/>
  <c r="K12" i="125"/>
  <c r="J12" i="125"/>
  <c r="I12" i="125"/>
  <c r="H12" i="125"/>
  <c r="G12" i="125"/>
  <c r="F12" i="125"/>
  <c r="E12" i="125"/>
  <c r="D12" i="125"/>
  <c r="O11" i="125"/>
  <c r="N11" i="125"/>
  <c r="M11" i="125"/>
  <c r="L11" i="125"/>
  <c r="K11" i="125"/>
  <c r="J11" i="125"/>
  <c r="I11" i="125"/>
  <c r="H11" i="125"/>
  <c r="G11" i="125"/>
  <c r="F11" i="125"/>
  <c r="E11" i="125"/>
  <c r="D11" i="125"/>
  <c r="O10" i="125"/>
  <c r="N10" i="125"/>
  <c r="M10" i="125"/>
  <c r="L10" i="125"/>
  <c r="K10" i="125"/>
  <c r="J10" i="125"/>
  <c r="I10" i="125"/>
  <c r="H10" i="125"/>
  <c r="G10" i="125"/>
  <c r="F10" i="125"/>
  <c r="E10" i="125"/>
  <c r="D10" i="125"/>
  <c r="O9" i="125"/>
  <c r="N9" i="125"/>
  <c r="M9" i="125"/>
  <c r="L9" i="125"/>
  <c r="K9" i="125"/>
  <c r="J9" i="125"/>
  <c r="I9" i="125"/>
  <c r="H9" i="125"/>
  <c r="G9" i="125"/>
  <c r="F9" i="125"/>
  <c r="E9" i="125"/>
  <c r="D9" i="125"/>
  <c r="O22" i="10"/>
  <c r="N22" i="10"/>
  <c r="M22" i="10"/>
  <c r="L22" i="10"/>
  <c r="K22" i="10"/>
  <c r="J22" i="10"/>
  <c r="I22" i="10"/>
  <c r="H22" i="10"/>
  <c r="G22" i="10"/>
  <c r="F22" i="10"/>
  <c r="E22" i="10"/>
  <c r="D22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O9" i="10"/>
  <c r="N9" i="10"/>
  <c r="M9" i="10"/>
  <c r="L9" i="10"/>
  <c r="K9" i="10"/>
  <c r="J9" i="10"/>
  <c r="I9" i="10"/>
  <c r="H9" i="10"/>
  <c r="G9" i="10"/>
  <c r="F9" i="10"/>
  <c r="E9" i="10"/>
  <c r="D9" i="10"/>
  <c r="E23" i="111"/>
  <c r="E22" i="111"/>
  <c r="E21" i="111"/>
  <c r="E20" i="111"/>
  <c r="E19" i="111"/>
  <c r="E18" i="111"/>
  <c r="E17" i="111"/>
  <c r="E16" i="111"/>
  <c r="E15" i="111"/>
  <c r="E14" i="111"/>
  <c r="E13" i="111"/>
  <c r="E12" i="111"/>
  <c r="E11" i="111"/>
  <c r="C8" i="22" l="1"/>
  <c r="D8" i="48"/>
  <c r="C8" i="93"/>
  <c r="C8" i="99"/>
  <c r="C8" i="21"/>
  <c r="D8" i="11"/>
  <c r="C8" i="25"/>
  <c r="C9" i="24"/>
  <c r="Y24" i="103" l="1"/>
  <c r="D24" i="117" s="1"/>
  <c r="M24" i="117" s="1"/>
  <c r="Y21" i="103"/>
  <c r="D21" i="117" s="1"/>
  <c r="M21" i="117" s="1"/>
  <c r="V24" i="103"/>
  <c r="S21" i="103"/>
  <c r="C33" i="132" l="1"/>
  <c r="C32" i="132"/>
  <c r="C31" i="132"/>
  <c r="C30" i="132"/>
  <c r="C29" i="132"/>
  <c r="C28" i="132"/>
  <c r="C27" i="132"/>
  <c r="C26" i="132"/>
  <c r="C25" i="132"/>
  <c r="C24" i="132"/>
  <c r="C23" i="132"/>
  <c r="C22" i="132"/>
  <c r="C21" i="132"/>
  <c r="C20" i="132"/>
  <c r="C19" i="132"/>
  <c r="C18" i="132"/>
  <c r="C17" i="132"/>
  <c r="C16" i="132"/>
  <c r="C15" i="132"/>
  <c r="C14" i="132"/>
  <c r="C13" i="132"/>
  <c r="C12" i="132"/>
  <c r="C11" i="132"/>
  <c r="C10" i="132"/>
  <c r="C9" i="132"/>
  <c r="M34" i="132"/>
  <c r="I34" i="132"/>
  <c r="C8" i="132"/>
  <c r="O34" i="132"/>
  <c r="N34" i="132"/>
  <c r="L34" i="132"/>
  <c r="K34" i="132"/>
  <c r="J34" i="132"/>
  <c r="H34" i="132"/>
  <c r="G34" i="132"/>
  <c r="F34" i="132"/>
  <c r="D34" i="132"/>
  <c r="C7" i="132"/>
  <c r="E6" i="132"/>
  <c r="F6" i="132" s="1"/>
  <c r="G6" i="132" s="1"/>
  <c r="H6" i="132" s="1"/>
  <c r="I6" i="132" s="1"/>
  <c r="J6" i="132" s="1"/>
  <c r="K6" i="132" s="1"/>
  <c r="L6" i="132" s="1"/>
  <c r="M6" i="132" s="1"/>
  <c r="N6" i="132" s="1"/>
  <c r="O6" i="132" s="1"/>
  <c r="C34" i="132" l="1"/>
  <c r="B10" i="132" s="1"/>
  <c r="D13" i="134" s="1"/>
  <c r="B16" i="132"/>
  <c r="D19" i="134" s="1"/>
  <c r="E34" i="132"/>
  <c r="B7" i="132" l="1"/>
  <c r="D10" i="134" s="1"/>
  <c r="B17" i="132"/>
  <c r="D20" i="134" s="1"/>
  <c r="B25" i="132"/>
  <c r="D28" i="134" s="1"/>
  <c r="B30" i="132"/>
  <c r="D33" i="134" s="1"/>
  <c r="B9" i="132"/>
  <c r="D12" i="134" s="1"/>
  <c r="B11" i="132"/>
  <c r="D14" i="134" s="1"/>
  <c r="B27" i="132"/>
  <c r="D30" i="134" s="1"/>
  <c r="B8" i="132"/>
  <c r="B18" i="132"/>
  <c r="D21" i="134" s="1"/>
  <c r="B26" i="132"/>
  <c r="D29" i="134" s="1"/>
  <c r="B13" i="132"/>
  <c r="D16" i="134" s="1"/>
  <c r="B33" i="132"/>
  <c r="D36" i="134" s="1"/>
  <c r="B14" i="132"/>
  <c r="D17" i="134" s="1"/>
  <c r="B21" i="132"/>
  <c r="D24" i="134" s="1"/>
  <c r="B28" i="132"/>
  <c r="D31" i="134" s="1"/>
  <c r="B23" i="132"/>
  <c r="D26" i="134" s="1"/>
  <c r="B32" i="132"/>
  <c r="D35" i="134" s="1"/>
  <c r="B29" i="132"/>
  <c r="D32" i="134" s="1"/>
  <c r="B15" i="132"/>
  <c r="D18" i="134" s="1"/>
  <c r="B19" i="132"/>
  <c r="D22" i="134" s="1"/>
  <c r="B24" i="132"/>
  <c r="D27" i="134" s="1"/>
  <c r="B20" i="132"/>
  <c r="D23" i="134" s="1"/>
  <c r="B31" i="132"/>
  <c r="D34" i="134" s="1"/>
  <c r="B22" i="132"/>
  <c r="D25" i="134" s="1"/>
  <c r="B12" i="132"/>
  <c r="D15" i="134" s="1"/>
  <c r="B34" i="132" l="1"/>
  <c r="D11" i="134"/>
  <c r="K33" i="130"/>
  <c r="H25" i="131"/>
  <c r="L25" i="131"/>
  <c r="P10" i="131"/>
  <c r="G35" i="131"/>
  <c r="K25" i="131"/>
  <c r="O35" i="131"/>
  <c r="P13" i="131"/>
  <c r="L36" i="131"/>
  <c r="E26" i="131"/>
  <c r="I37" i="131"/>
  <c r="M37" i="131"/>
  <c r="F38" i="131"/>
  <c r="J38" i="131"/>
  <c r="N38" i="131"/>
  <c r="G39" i="131"/>
  <c r="K39" i="131"/>
  <c r="O39" i="131"/>
  <c r="H35" i="131"/>
  <c r="L35" i="131"/>
  <c r="E36" i="131"/>
  <c r="I29" i="131"/>
  <c r="M36" i="131"/>
  <c r="F37" i="131"/>
  <c r="J29" i="131"/>
  <c r="N37" i="131"/>
  <c r="G29" i="131"/>
  <c r="K29" i="131"/>
  <c r="H39" i="131"/>
  <c r="E40" i="131"/>
  <c r="M40" i="131"/>
  <c r="D35" i="131"/>
  <c r="P19" i="131"/>
  <c r="O40" i="131"/>
  <c r="N40" i="131"/>
  <c r="K40" i="131"/>
  <c r="J40" i="131"/>
  <c r="G40" i="131"/>
  <c r="F40" i="131"/>
  <c r="L39" i="131"/>
  <c r="M38" i="131"/>
  <c r="L38" i="131"/>
  <c r="I38" i="131"/>
  <c r="H38" i="131"/>
  <c r="E38" i="131"/>
  <c r="D38" i="131"/>
  <c r="J37" i="131"/>
  <c r="O36" i="131"/>
  <c r="N36" i="131"/>
  <c r="K36" i="131"/>
  <c r="J36" i="131"/>
  <c r="G36" i="131"/>
  <c r="F36" i="131"/>
  <c r="K35" i="131"/>
  <c r="I26" i="131"/>
  <c r="L40" i="131"/>
  <c r="I40" i="131"/>
  <c r="H40" i="131"/>
  <c r="D40" i="131"/>
  <c r="O29" i="131"/>
  <c r="M29" i="131"/>
  <c r="E29" i="131"/>
  <c r="M39" i="131"/>
  <c r="I39" i="131"/>
  <c r="E39" i="131"/>
  <c r="O38" i="131"/>
  <c r="G38" i="131"/>
  <c r="O37" i="131"/>
  <c r="K37" i="131"/>
  <c r="G37" i="131"/>
  <c r="H36" i="131"/>
  <c r="N35" i="131"/>
  <c r="J35" i="131"/>
  <c r="F35" i="131"/>
  <c r="G25" i="131"/>
  <c r="O34" i="131"/>
  <c r="K34" i="131"/>
  <c r="G34" i="131"/>
  <c r="E7" i="131"/>
  <c r="F7" i="131" s="1"/>
  <c r="G7" i="131" s="1"/>
  <c r="H7" i="131" s="1"/>
  <c r="I7" i="131" s="1"/>
  <c r="J7" i="131" s="1"/>
  <c r="K7" i="131" s="1"/>
  <c r="L7" i="131" s="1"/>
  <c r="M7" i="131" s="1"/>
  <c r="N7" i="131" s="1"/>
  <c r="O7" i="131" s="1"/>
  <c r="N33" i="130"/>
  <c r="L33" i="130"/>
  <c r="I33" i="130"/>
  <c r="H33" i="130"/>
  <c r="G33" i="130"/>
  <c r="F33" i="130"/>
  <c r="N32" i="130"/>
  <c r="N30" i="130"/>
  <c r="B2" i="130"/>
  <c r="C18" i="138" l="1"/>
  <c r="C18" i="137"/>
  <c r="C12" i="137"/>
  <c r="C12" i="138"/>
  <c r="P9" i="131"/>
  <c r="I36" i="131"/>
  <c r="F29" i="131"/>
  <c r="N29" i="131"/>
  <c r="M26" i="131"/>
  <c r="E37" i="131"/>
  <c r="O25" i="131"/>
  <c r="K38" i="131"/>
  <c r="P21" i="131"/>
  <c r="P20" i="131"/>
  <c r="D39" i="131"/>
  <c r="H23" i="131"/>
  <c r="H34" i="131"/>
  <c r="E25" i="131"/>
  <c r="E27" i="131" s="1"/>
  <c r="E30" i="131" s="1"/>
  <c r="E34" i="131"/>
  <c r="E23" i="131"/>
  <c r="I25" i="131"/>
  <c r="I27" i="131" s="1"/>
  <c r="I30" i="131" s="1"/>
  <c r="I23" i="131"/>
  <c r="I34" i="131"/>
  <c r="M25" i="131"/>
  <c r="M34" i="131"/>
  <c r="M23" i="131"/>
  <c r="P11" i="131"/>
  <c r="P12" i="131"/>
  <c r="D37" i="131"/>
  <c r="D26" i="131"/>
  <c r="H37" i="131"/>
  <c r="H26" i="131"/>
  <c r="H27" i="131" s="1"/>
  <c r="L37" i="131"/>
  <c r="L26" i="131"/>
  <c r="L27" i="131" s="1"/>
  <c r="P14" i="131"/>
  <c r="K23" i="131"/>
  <c r="N25" i="131"/>
  <c r="P22" i="131"/>
  <c r="F25" i="131"/>
  <c r="D23" i="131"/>
  <c r="D34" i="131"/>
  <c r="L34" i="131"/>
  <c r="L23" i="131"/>
  <c r="F39" i="131"/>
  <c r="F26" i="131"/>
  <c r="J39" i="131"/>
  <c r="J26" i="131"/>
  <c r="N39" i="131"/>
  <c r="N26" i="131"/>
  <c r="G23" i="131"/>
  <c r="J25" i="131"/>
  <c r="F23" i="131"/>
  <c r="J23" i="131"/>
  <c r="N23" i="131"/>
  <c r="E35" i="131"/>
  <c r="I35" i="131"/>
  <c r="M35" i="131"/>
  <c r="P15" i="131"/>
  <c r="P16" i="131"/>
  <c r="P17" i="131"/>
  <c r="D29" i="131"/>
  <c r="H29" i="131"/>
  <c r="L29" i="131"/>
  <c r="P18" i="131"/>
  <c r="O23" i="131"/>
  <c r="D25" i="131"/>
  <c r="G26" i="131"/>
  <c r="G27" i="131" s="1"/>
  <c r="G30" i="131" s="1"/>
  <c r="K26" i="131"/>
  <c r="K27" i="131" s="1"/>
  <c r="K30" i="131" s="1"/>
  <c r="O26" i="131"/>
  <c r="F34" i="131"/>
  <c r="J34" i="131"/>
  <c r="N34" i="131"/>
  <c r="D36" i="131"/>
  <c r="F27" i="131" l="1"/>
  <c r="F30" i="131" s="1"/>
  <c r="F31" i="131" s="1"/>
  <c r="C15" i="137"/>
  <c r="C15" i="138"/>
  <c r="C9" i="138"/>
  <c r="C14" i="138"/>
  <c r="C14" i="137"/>
  <c r="C19" i="138"/>
  <c r="C19" i="137"/>
  <c r="C9" i="137"/>
  <c r="C21" i="138"/>
  <c r="C21" i="137"/>
  <c r="C20" i="137"/>
  <c r="C20" i="138"/>
  <c r="C10" i="138"/>
  <c r="C10" i="137"/>
  <c r="C13" i="138"/>
  <c r="C13" i="137"/>
  <c r="C17" i="138"/>
  <c r="C17" i="137"/>
  <c r="C16" i="137"/>
  <c r="C16" i="138"/>
  <c r="C11" i="137"/>
  <c r="C11" i="138"/>
  <c r="O27" i="131"/>
  <c r="O30" i="131" s="1"/>
  <c r="O31" i="131" s="1"/>
  <c r="P38" i="131"/>
  <c r="P40" i="131"/>
  <c r="P37" i="131"/>
  <c r="P36" i="131"/>
  <c r="P39" i="131"/>
  <c r="H30" i="131"/>
  <c r="H31" i="131" s="1"/>
  <c r="M27" i="131"/>
  <c r="M30" i="131" s="1"/>
  <c r="M31" i="131" s="1"/>
  <c r="J27" i="131"/>
  <c r="J30" i="131" s="1"/>
  <c r="J31" i="131" s="1"/>
  <c r="L30" i="131"/>
  <c r="L31" i="131" s="1"/>
  <c r="P35" i="131"/>
  <c r="P23" i="131"/>
  <c r="E31" i="131"/>
  <c r="E41" i="131"/>
  <c r="G41" i="131"/>
  <c r="G31" i="131"/>
  <c r="P26" i="131"/>
  <c r="O41" i="131"/>
  <c r="P29" i="131"/>
  <c r="J41" i="131"/>
  <c r="L41" i="131"/>
  <c r="P34" i="131"/>
  <c r="N27" i="131"/>
  <c r="N30" i="131" s="1"/>
  <c r="N31" i="131" s="1"/>
  <c r="M41" i="131"/>
  <c r="I41" i="131"/>
  <c r="I31" i="131"/>
  <c r="P25" i="131"/>
  <c r="D27" i="131"/>
  <c r="D30" i="131" s="1"/>
  <c r="D31" i="131" s="1"/>
  <c r="N41" i="131"/>
  <c r="D41" i="131"/>
  <c r="H41" i="131"/>
  <c r="F41" i="131"/>
  <c r="K41" i="131"/>
  <c r="K31" i="131"/>
  <c r="D27" i="130" l="1"/>
  <c r="D28" i="130"/>
  <c r="G21" i="138"/>
  <c r="F21" i="138"/>
  <c r="C22" i="137"/>
  <c r="C22" i="138"/>
  <c r="G21" i="137"/>
  <c r="F21" i="137"/>
  <c r="D32" i="130"/>
  <c r="D30" i="130"/>
  <c r="D33" i="130"/>
  <c r="D24" i="130"/>
  <c r="D29" i="130"/>
  <c r="D31" i="130"/>
  <c r="P41" i="131"/>
  <c r="P27" i="131"/>
  <c r="P30" i="131" s="1"/>
  <c r="P31" i="131" s="1"/>
  <c r="H21" i="138" l="1"/>
  <c r="I21" i="138" s="1"/>
  <c r="H21" i="137"/>
  <c r="I21" i="137" s="1"/>
  <c r="D34" i="130"/>
  <c r="N39" i="125"/>
  <c r="K38" i="125"/>
  <c r="D37" i="125"/>
  <c r="N35" i="125"/>
  <c r="H26" i="125"/>
  <c r="O40" i="125"/>
  <c r="N40" i="125"/>
  <c r="M40" i="125"/>
  <c r="L40" i="125"/>
  <c r="K40" i="125"/>
  <c r="J40" i="125"/>
  <c r="I40" i="125"/>
  <c r="H40" i="125"/>
  <c r="G40" i="125"/>
  <c r="F40" i="125"/>
  <c r="E40" i="125"/>
  <c r="D40" i="125"/>
  <c r="O29" i="125"/>
  <c r="M29" i="125"/>
  <c r="L29" i="125"/>
  <c r="K29" i="125"/>
  <c r="I29" i="125"/>
  <c r="H29" i="125"/>
  <c r="G29" i="125"/>
  <c r="E29" i="125"/>
  <c r="O39" i="125"/>
  <c r="M39" i="125"/>
  <c r="L39" i="125"/>
  <c r="K39" i="125"/>
  <c r="J39" i="125"/>
  <c r="I39" i="125"/>
  <c r="H39" i="125"/>
  <c r="G39" i="125"/>
  <c r="F39" i="125"/>
  <c r="E39" i="125"/>
  <c r="O38" i="125"/>
  <c r="N38" i="125"/>
  <c r="M38" i="125"/>
  <c r="L38" i="125"/>
  <c r="J38" i="125"/>
  <c r="I38" i="125"/>
  <c r="H38" i="125"/>
  <c r="G38" i="125"/>
  <c r="F38" i="125"/>
  <c r="E38" i="125"/>
  <c r="O37" i="125"/>
  <c r="N37" i="125"/>
  <c r="M37" i="125"/>
  <c r="L37" i="125"/>
  <c r="K37" i="125"/>
  <c r="J37" i="125"/>
  <c r="I37" i="125"/>
  <c r="H37" i="125"/>
  <c r="G37" i="125"/>
  <c r="F37" i="125"/>
  <c r="E37" i="125"/>
  <c r="O36" i="125"/>
  <c r="N36" i="125"/>
  <c r="M36" i="125"/>
  <c r="L36" i="125"/>
  <c r="K36" i="125"/>
  <c r="J36" i="125"/>
  <c r="I36" i="125"/>
  <c r="H36" i="125"/>
  <c r="G36" i="125"/>
  <c r="F36" i="125"/>
  <c r="E36" i="125"/>
  <c r="D36" i="125"/>
  <c r="O35" i="125"/>
  <c r="M35" i="125"/>
  <c r="L35" i="125"/>
  <c r="K35" i="125"/>
  <c r="J35" i="125"/>
  <c r="I35" i="125"/>
  <c r="H35" i="125"/>
  <c r="G35" i="125"/>
  <c r="F35" i="125"/>
  <c r="E35" i="125"/>
  <c r="O25" i="125"/>
  <c r="N34" i="125"/>
  <c r="M23" i="125"/>
  <c r="L25" i="125"/>
  <c r="K25" i="125"/>
  <c r="J34" i="125"/>
  <c r="I23" i="125"/>
  <c r="H25" i="125"/>
  <c r="G25" i="125"/>
  <c r="F34" i="125"/>
  <c r="E23" i="125"/>
  <c r="D25" i="125"/>
  <c r="E7" i="125"/>
  <c r="F7" i="125" s="1"/>
  <c r="G7" i="125" s="1"/>
  <c r="H7" i="125" s="1"/>
  <c r="I7" i="125" s="1"/>
  <c r="J7" i="125" s="1"/>
  <c r="K7" i="125" s="1"/>
  <c r="L7" i="125" s="1"/>
  <c r="M7" i="125" s="1"/>
  <c r="N7" i="125" s="1"/>
  <c r="O7" i="125" s="1"/>
  <c r="F23" i="125" l="1"/>
  <c r="F41" i="125" s="1"/>
  <c r="J23" i="125"/>
  <c r="J41" i="125" s="1"/>
  <c r="N23" i="125"/>
  <c r="N41" i="125" s="1"/>
  <c r="F29" i="125"/>
  <c r="J29" i="125"/>
  <c r="N29" i="125"/>
  <c r="L26" i="125"/>
  <c r="L27" i="125" s="1"/>
  <c r="L30" i="125" s="1"/>
  <c r="G34" i="125"/>
  <c r="K34" i="125"/>
  <c r="O34" i="125"/>
  <c r="H27" i="125"/>
  <c r="H30" i="125" s="1"/>
  <c r="P10" i="125"/>
  <c r="C9" i="140" s="1"/>
  <c r="P11" i="125"/>
  <c r="P12" i="125"/>
  <c r="P14" i="125"/>
  <c r="C13" i="140" s="1"/>
  <c r="P15" i="125"/>
  <c r="P16" i="125"/>
  <c r="P17" i="125"/>
  <c r="P18" i="125"/>
  <c r="P19" i="125"/>
  <c r="P20" i="125"/>
  <c r="P21" i="125"/>
  <c r="D26" i="125"/>
  <c r="D27" i="125" s="1"/>
  <c r="E25" i="125"/>
  <c r="P22" i="125"/>
  <c r="C39" i="140" s="1"/>
  <c r="G23" i="125"/>
  <c r="K23" i="125"/>
  <c r="O23" i="125"/>
  <c r="F25" i="125"/>
  <c r="J25" i="125"/>
  <c r="N25" i="125"/>
  <c r="E26" i="125"/>
  <c r="I26" i="125"/>
  <c r="M26" i="125"/>
  <c r="D34" i="125"/>
  <c r="H34" i="125"/>
  <c r="L34" i="125"/>
  <c r="D38" i="125"/>
  <c r="I25" i="125"/>
  <c r="D23" i="125"/>
  <c r="H23" i="125"/>
  <c r="L23" i="125"/>
  <c r="F26" i="125"/>
  <c r="J26" i="125"/>
  <c r="N26" i="125"/>
  <c r="D29" i="125"/>
  <c r="E34" i="125"/>
  <c r="E41" i="125" s="1"/>
  <c r="I34" i="125"/>
  <c r="I41" i="125" s="1"/>
  <c r="M34" i="125"/>
  <c r="M41" i="125" s="1"/>
  <c r="D35" i="125"/>
  <c r="D39" i="125"/>
  <c r="P9" i="125"/>
  <c r="P13" i="125"/>
  <c r="M25" i="125"/>
  <c r="M27" i="125" s="1"/>
  <c r="M30" i="125" s="1"/>
  <c r="M31" i="125" s="1"/>
  <c r="G26" i="125"/>
  <c r="G27" i="125" s="1"/>
  <c r="G30" i="125" s="1"/>
  <c r="K26" i="125"/>
  <c r="K27" i="125" s="1"/>
  <c r="K30" i="125" s="1"/>
  <c r="O26" i="125"/>
  <c r="O27" i="125" s="1"/>
  <c r="O30" i="125" s="1"/>
  <c r="O33" i="124"/>
  <c r="I33" i="124"/>
  <c r="H33" i="124"/>
  <c r="G33" i="124"/>
  <c r="F33" i="124"/>
  <c r="O32" i="124"/>
  <c r="O30" i="124"/>
  <c r="B2" i="124"/>
  <c r="F9" i="140" l="1"/>
  <c r="G9" i="140"/>
  <c r="C26" i="136"/>
  <c r="C26" i="140"/>
  <c r="F13" i="140"/>
  <c r="K15" i="124" s="1"/>
  <c r="K30" i="124" s="1"/>
  <c r="G13" i="140"/>
  <c r="C27" i="136"/>
  <c r="C27" i="140"/>
  <c r="C25" i="136"/>
  <c r="C25" i="140"/>
  <c r="C11" i="136"/>
  <c r="C11" i="140"/>
  <c r="C10" i="136"/>
  <c r="C10" i="140"/>
  <c r="C14" i="136"/>
  <c r="C14" i="140"/>
  <c r="C12" i="136"/>
  <c r="C12" i="140"/>
  <c r="F39" i="140"/>
  <c r="G39" i="140"/>
  <c r="C28" i="136"/>
  <c r="C28" i="140"/>
  <c r="C13" i="135"/>
  <c r="C13" i="136"/>
  <c r="C39" i="135"/>
  <c r="G39" i="135" s="1"/>
  <c r="C39" i="136"/>
  <c r="C9" i="136"/>
  <c r="D12" i="124"/>
  <c r="D12" i="114" s="1"/>
  <c r="C10" i="135"/>
  <c r="D22" i="124"/>
  <c r="D22" i="114" s="1"/>
  <c r="D18" i="124"/>
  <c r="D18" i="114" s="1"/>
  <c r="C25" i="135"/>
  <c r="D13" i="124"/>
  <c r="D13" i="114" s="1"/>
  <c r="C11" i="135"/>
  <c r="D19" i="124"/>
  <c r="D19" i="114" s="1"/>
  <c r="C26" i="135"/>
  <c r="D21" i="124"/>
  <c r="D21" i="114" s="1"/>
  <c r="C28" i="135"/>
  <c r="D17" i="124"/>
  <c r="D17" i="114" s="1"/>
  <c r="D14" i="124"/>
  <c r="D14" i="114" s="1"/>
  <c r="C12" i="135"/>
  <c r="D20" i="124"/>
  <c r="D20" i="114" s="1"/>
  <c r="C27" i="135"/>
  <c r="D16" i="124"/>
  <c r="D16" i="114" s="1"/>
  <c r="C14" i="135"/>
  <c r="C9" i="135"/>
  <c r="P37" i="125"/>
  <c r="D15" i="124"/>
  <c r="P40" i="125"/>
  <c r="D23" i="124"/>
  <c r="D23" i="114" s="1"/>
  <c r="D11" i="124"/>
  <c r="P35" i="125"/>
  <c r="F27" i="125"/>
  <c r="F30" i="125" s="1"/>
  <c r="F31" i="125" s="1"/>
  <c r="P36" i="125"/>
  <c r="P39" i="125"/>
  <c r="P26" i="125"/>
  <c r="P29" i="125"/>
  <c r="P38" i="125"/>
  <c r="H41" i="125"/>
  <c r="H31" i="125"/>
  <c r="P23" i="125"/>
  <c r="P34" i="125"/>
  <c r="O41" i="125"/>
  <c r="O31" i="125"/>
  <c r="I27" i="125"/>
  <c r="I30" i="125" s="1"/>
  <c r="I31" i="125" s="1"/>
  <c r="N27" i="125"/>
  <c r="N30" i="125" s="1"/>
  <c r="N31" i="125" s="1"/>
  <c r="K41" i="125"/>
  <c r="K31" i="125"/>
  <c r="P25" i="125"/>
  <c r="D41" i="125"/>
  <c r="E27" i="125"/>
  <c r="E30" i="125" s="1"/>
  <c r="E31" i="125" s="1"/>
  <c r="L41" i="125"/>
  <c r="L31" i="125"/>
  <c r="J27" i="125"/>
  <c r="J30" i="125" s="1"/>
  <c r="J31" i="125" s="1"/>
  <c r="G41" i="125"/>
  <c r="G31" i="125"/>
  <c r="D30" i="125"/>
  <c r="D31" i="125" s="1"/>
  <c r="H13" i="140" l="1"/>
  <c r="I13" i="140" s="1"/>
  <c r="F28" i="140"/>
  <c r="G28" i="140"/>
  <c r="H28" i="140" s="1"/>
  <c r="I28" i="140" s="1"/>
  <c r="G12" i="140"/>
  <c r="F12" i="140"/>
  <c r="K14" i="124" s="1"/>
  <c r="K29" i="124" s="1"/>
  <c r="G10" i="140"/>
  <c r="F10" i="140"/>
  <c r="K12" i="124" s="1"/>
  <c r="G25" i="140"/>
  <c r="F25" i="140"/>
  <c r="H9" i="140"/>
  <c r="C40" i="140"/>
  <c r="H39" i="140"/>
  <c r="I39" i="140" s="1"/>
  <c r="F14" i="140"/>
  <c r="K16" i="124" s="1"/>
  <c r="K31" i="124" s="1"/>
  <c r="G14" i="140"/>
  <c r="F11" i="140"/>
  <c r="K13" i="124" s="1"/>
  <c r="K28" i="124" s="1"/>
  <c r="G11" i="140"/>
  <c r="G27" i="140"/>
  <c r="F27" i="140"/>
  <c r="G26" i="140"/>
  <c r="F26" i="140"/>
  <c r="K11" i="124"/>
  <c r="C40" i="136"/>
  <c r="C40" i="135"/>
  <c r="F39" i="135"/>
  <c r="L23" i="124" s="1"/>
  <c r="L33" i="124" s="1"/>
  <c r="F39" i="136"/>
  <c r="M23" i="124" s="1"/>
  <c r="G39" i="136"/>
  <c r="D15" i="114"/>
  <c r="D11" i="114"/>
  <c r="P27" i="125"/>
  <c r="P30" i="125" s="1"/>
  <c r="P31" i="125" s="1"/>
  <c r="P41" i="125"/>
  <c r="L15" i="112" l="1"/>
  <c r="H14" i="140"/>
  <c r="F40" i="140"/>
  <c r="H11" i="140"/>
  <c r="G40" i="140"/>
  <c r="I14" i="140"/>
  <c r="L16" i="112"/>
  <c r="K27" i="124"/>
  <c r="K34" i="124" s="1"/>
  <c r="K24" i="124"/>
  <c r="L11" i="112"/>
  <c r="I9" i="140"/>
  <c r="H25" i="140"/>
  <c r="I25" i="140" s="1"/>
  <c r="H12" i="140"/>
  <c r="I11" i="140"/>
  <c r="L13" i="112"/>
  <c r="L31" i="112"/>
  <c r="H27" i="140"/>
  <c r="I27" i="140" s="1"/>
  <c r="H26" i="140"/>
  <c r="I26" i="140" s="1"/>
  <c r="H10" i="140"/>
  <c r="H39" i="136"/>
  <c r="I39" i="136" s="1"/>
  <c r="H39" i="135"/>
  <c r="I39" i="135" s="1"/>
  <c r="B28" i="123"/>
  <c r="B27" i="13" s="1"/>
  <c r="E33" i="123"/>
  <c r="E32" i="13" s="1"/>
  <c r="N55" i="123"/>
  <c r="N50" i="123"/>
  <c r="N37" i="123"/>
  <c r="F33" i="123"/>
  <c r="F32" i="13" s="1"/>
  <c r="N25" i="123"/>
  <c r="D28" i="123"/>
  <c r="D26" i="13" s="1"/>
  <c r="N21" i="123"/>
  <c r="N19" i="123"/>
  <c r="J16" i="123"/>
  <c r="C16" i="123"/>
  <c r="N13" i="123"/>
  <c r="N9" i="123"/>
  <c r="G56" i="123"/>
  <c r="E56" i="123"/>
  <c r="B47" i="123"/>
  <c r="I38" i="123"/>
  <c r="B38" i="123"/>
  <c r="B36" i="13" s="1"/>
  <c r="L38" i="123"/>
  <c r="L36" i="13" s="1"/>
  <c r="D38" i="123"/>
  <c r="L33" i="123"/>
  <c r="H33" i="123"/>
  <c r="D33" i="123"/>
  <c r="M33" i="123"/>
  <c r="I33" i="123"/>
  <c r="I31" i="13" s="1"/>
  <c r="B33" i="123"/>
  <c r="M28" i="123"/>
  <c r="G22" i="123"/>
  <c r="H22" i="123"/>
  <c r="E22" i="123"/>
  <c r="E20" i="13" s="1"/>
  <c r="M16" i="123"/>
  <c r="I16" i="123"/>
  <c r="E16" i="123"/>
  <c r="D10" i="123"/>
  <c r="C5" i="123"/>
  <c r="D5" i="123" s="1"/>
  <c r="E5" i="123" s="1"/>
  <c r="F5" i="123" s="1"/>
  <c r="G5" i="123" s="1"/>
  <c r="H5" i="123" s="1"/>
  <c r="I5" i="123" s="1"/>
  <c r="J5" i="123" s="1"/>
  <c r="K5" i="123" s="1"/>
  <c r="L5" i="123" s="1"/>
  <c r="M5" i="123" s="1"/>
  <c r="I10" i="140" l="1"/>
  <c r="L12" i="112"/>
  <c r="L29" i="112"/>
  <c r="H40" i="140"/>
  <c r="I40" i="140" s="1"/>
  <c r="L32" i="112"/>
  <c r="I12" i="140"/>
  <c r="L14" i="112"/>
  <c r="L28" i="112"/>
  <c r="B26" i="13"/>
  <c r="E19" i="13"/>
  <c r="L16" i="123"/>
  <c r="L15" i="13" s="1"/>
  <c r="K16" i="123"/>
  <c r="K15" i="13" s="1"/>
  <c r="G16" i="123"/>
  <c r="G15" i="13" s="1"/>
  <c r="D36" i="13"/>
  <c r="N45" i="123"/>
  <c r="B45" i="13"/>
  <c r="K47" i="123"/>
  <c r="K43" i="13" s="1"/>
  <c r="J47" i="123"/>
  <c r="J44" i="13" s="1"/>
  <c r="M47" i="123"/>
  <c r="M42" i="13" s="1"/>
  <c r="E47" i="123"/>
  <c r="E46" i="13" s="1"/>
  <c r="M31" i="13"/>
  <c r="J13" i="13"/>
  <c r="H16" i="123"/>
  <c r="B22" i="123"/>
  <c r="G21" i="13"/>
  <c r="F22" i="123"/>
  <c r="F20" i="13" s="1"/>
  <c r="M22" i="123"/>
  <c r="M19" i="13" s="1"/>
  <c r="I22" i="123"/>
  <c r="I19" i="13" s="1"/>
  <c r="I36" i="13"/>
  <c r="F38" i="123"/>
  <c r="F37" i="13" s="1"/>
  <c r="J38" i="123"/>
  <c r="J37" i="13" s="1"/>
  <c r="N36" i="123"/>
  <c r="D16" i="123"/>
  <c r="D14" i="13" s="1"/>
  <c r="C14" i="13"/>
  <c r="F16" i="123"/>
  <c r="F14" i="13" s="1"/>
  <c r="L10" i="123"/>
  <c r="L8" i="13" s="1"/>
  <c r="H10" i="123"/>
  <c r="H9" i="13" s="1"/>
  <c r="D8" i="13"/>
  <c r="K10" i="123"/>
  <c r="G10" i="123"/>
  <c r="C10" i="123"/>
  <c r="C7" i="13" s="1"/>
  <c r="E38" i="123"/>
  <c r="E36" i="13" s="1"/>
  <c r="N42" i="123"/>
  <c r="N53" i="123"/>
  <c r="D56" i="123"/>
  <c r="D50" i="13" s="1"/>
  <c r="G54" i="13"/>
  <c r="G50" i="13"/>
  <c r="D9" i="13"/>
  <c r="C8" i="13"/>
  <c r="N7" i="123"/>
  <c r="C15" i="13"/>
  <c r="J14" i="13"/>
  <c r="M13" i="13"/>
  <c r="I13" i="13"/>
  <c r="E13" i="13"/>
  <c r="N15" i="123"/>
  <c r="H19" i="13"/>
  <c r="N20" i="123"/>
  <c r="N22" i="123" s="1"/>
  <c r="N19" i="13" s="1"/>
  <c r="C38" i="123"/>
  <c r="K38" i="123"/>
  <c r="K37" i="13" s="1"/>
  <c r="B44" i="13"/>
  <c r="N52" i="123"/>
  <c r="G55" i="13"/>
  <c r="G51" i="13"/>
  <c r="M32" i="13"/>
  <c r="I32" i="13"/>
  <c r="D25" i="13"/>
  <c r="B16" i="123"/>
  <c r="B15" i="13" s="1"/>
  <c r="J15" i="13"/>
  <c r="M14" i="13"/>
  <c r="I14" i="13"/>
  <c r="E14" i="13"/>
  <c r="N14" i="123"/>
  <c r="E21" i="13"/>
  <c r="H20" i="13"/>
  <c r="G19" i="13"/>
  <c r="B37" i="13"/>
  <c r="D37" i="13"/>
  <c r="L37" i="13"/>
  <c r="B41" i="13"/>
  <c r="N41" i="123"/>
  <c r="B43" i="13"/>
  <c r="N43" i="123"/>
  <c r="L47" i="123"/>
  <c r="L42" i="13" s="1"/>
  <c r="H47" i="123"/>
  <c r="H42" i="13" s="1"/>
  <c r="D47" i="123"/>
  <c r="D45" i="13" s="1"/>
  <c r="G47" i="123"/>
  <c r="C47" i="123"/>
  <c r="C46" i="13" s="1"/>
  <c r="N46" i="123"/>
  <c r="E54" i="13"/>
  <c r="G52" i="13"/>
  <c r="E50" i="13"/>
  <c r="N51" i="123"/>
  <c r="L32" i="13"/>
  <c r="H32" i="13"/>
  <c r="D32" i="13"/>
  <c r="M27" i="13"/>
  <c r="D7" i="13"/>
  <c r="N8" i="123"/>
  <c r="M15" i="13"/>
  <c r="I15" i="13"/>
  <c r="E15" i="13"/>
  <c r="C13" i="13"/>
  <c r="L22" i="123"/>
  <c r="L19" i="13" s="1"/>
  <c r="H21" i="13"/>
  <c r="D22" i="123"/>
  <c r="D21" i="13" s="1"/>
  <c r="K22" i="123"/>
  <c r="G20" i="13"/>
  <c r="C22" i="123"/>
  <c r="C21" i="13" s="1"/>
  <c r="J22" i="123"/>
  <c r="J19" i="13" s="1"/>
  <c r="G38" i="123"/>
  <c r="G36" i="13" s="1"/>
  <c r="H38" i="123"/>
  <c r="H37" i="13" s="1"/>
  <c r="I37" i="13"/>
  <c r="M38" i="123"/>
  <c r="M36" i="13" s="1"/>
  <c r="B46" i="13"/>
  <c r="B42" i="13"/>
  <c r="I47" i="123"/>
  <c r="I46" i="13" s="1"/>
  <c r="N44" i="123"/>
  <c r="G53" i="13"/>
  <c r="D27" i="13"/>
  <c r="F47" i="123"/>
  <c r="F45" i="13" s="1"/>
  <c r="E55" i="13"/>
  <c r="E51" i="13"/>
  <c r="N54" i="123"/>
  <c r="B31" i="13"/>
  <c r="K33" i="123"/>
  <c r="K31" i="13" s="1"/>
  <c r="G33" i="123"/>
  <c r="G32" i="13" s="1"/>
  <c r="N32" i="123"/>
  <c r="J33" i="123"/>
  <c r="N31" i="123"/>
  <c r="B25" i="13"/>
  <c r="L28" i="123"/>
  <c r="L26" i="13" s="1"/>
  <c r="K28" i="123"/>
  <c r="K26" i="13" s="1"/>
  <c r="G28" i="123"/>
  <c r="G27" i="13" s="1"/>
  <c r="C28" i="123"/>
  <c r="C27" i="13" s="1"/>
  <c r="J28" i="123"/>
  <c r="J25" i="13" s="1"/>
  <c r="F28" i="123"/>
  <c r="F27" i="13" s="1"/>
  <c r="E52" i="13"/>
  <c r="B32" i="13"/>
  <c r="M25" i="13"/>
  <c r="I28" i="123"/>
  <c r="I26" i="13" s="1"/>
  <c r="E28" i="123"/>
  <c r="E26" i="13" s="1"/>
  <c r="F31" i="13"/>
  <c r="M56" i="123"/>
  <c r="M50" i="13" s="1"/>
  <c r="I56" i="123"/>
  <c r="I55" i="13" s="1"/>
  <c r="E53" i="13"/>
  <c r="L56" i="123"/>
  <c r="H56" i="123"/>
  <c r="H53" i="13" s="1"/>
  <c r="K56" i="123"/>
  <c r="K54" i="13" s="1"/>
  <c r="C56" i="123"/>
  <c r="C50" i="13" s="1"/>
  <c r="L31" i="13"/>
  <c r="H31" i="13"/>
  <c r="D31" i="13"/>
  <c r="M26" i="13"/>
  <c r="H28" i="123"/>
  <c r="H26" i="13" s="1"/>
  <c r="E31" i="13"/>
  <c r="N26" i="123"/>
  <c r="N27" i="123"/>
  <c r="C33" i="123"/>
  <c r="C31" i="13" s="1"/>
  <c r="B10" i="123"/>
  <c r="B9" i="13" s="1"/>
  <c r="F10" i="123"/>
  <c r="J10" i="123"/>
  <c r="E10" i="123"/>
  <c r="E9" i="13" s="1"/>
  <c r="I10" i="123"/>
  <c r="M10" i="123"/>
  <c r="M8" i="13" s="1"/>
  <c r="B56" i="123"/>
  <c r="B50" i="13" s="1"/>
  <c r="F56" i="123"/>
  <c r="F53" i="13" s="1"/>
  <c r="J56" i="123"/>
  <c r="J54" i="13" s="1"/>
  <c r="L30" i="112" l="1"/>
  <c r="L24" i="112"/>
  <c r="G13" i="13"/>
  <c r="K13" i="13"/>
  <c r="L44" i="13"/>
  <c r="F26" i="13"/>
  <c r="M41" i="13"/>
  <c r="F25" i="13"/>
  <c r="I53" i="13"/>
  <c r="L13" i="13"/>
  <c r="L14" i="13"/>
  <c r="E41" i="13"/>
  <c r="E45" i="13"/>
  <c r="N16" i="123"/>
  <c r="N13" i="13" s="1"/>
  <c r="E44" i="13"/>
  <c r="E43" i="13"/>
  <c r="G26" i="13"/>
  <c r="I21" i="13"/>
  <c r="F21" i="13"/>
  <c r="J42" i="13"/>
  <c r="E37" i="13"/>
  <c r="D52" i="13"/>
  <c r="F36" i="13"/>
  <c r="M37" i="13"/>
  <c r="H36" i="13"/>
  <c r="D54" i="13"/>
  <c r="L21" i="13"/>
  <c r="M21" i="13"/>
  <c r="D55" i="13"/>
  <c r="F13" i="13"/>
  <c r="G14" i="13"/>
  <c r="M20" i="13"/>
  <c r="F54" i="13"/>
  <c r="I52" i="13"/>
  <c r="C43" i="13"/>
  <c r="F15" i="13"/>
  <c r="I45" i="13"/>
  <c r="I54" i="13"/>
  <c r="D13" i="13"/>
  <c r="M53" i="13"/>
  <c r="I41" i="13"/>
  <c r="H46" i="13"/>
  <c r="D41" i="13"/>
  <c r="I51" i="13"/>
  <c r="F19" i="13"/>
  <c r="H43" i="13"/>
  <c r="M44" i="13"/>
  <c r="H7" i="13"/>
  <c r="D20" i="13"/>
  <c r="D19" i="13"/>
  <c r="E25" i="13"/>
  <c r="C26" i="13"/>
  <c r="D44" i="13"/>
  <c r="M45" i="13"/>
  <c r="C20" i="13"/>
  <c r="L9" i="13"/>
  <c r="E42" i="13"/>
  <c r="J21" i="13"/>
  <c r="F52" i="13"/>
  <c r="L7" i="13"/>
  <c r="G31" i="13"/>
  <c r="J55" i="13"/>
  <c r="I44" i="13"/>
  <c r="N56" i="123"/>
  <c r="N55" i="13" s="1"/>
  <c r="I43" i="13"/>
  <c r="L46" i="13"/>
  <c r="J36" i="13"/>
  <c r="I42" i="13"/>
  <c r="L45" i="13"/>
  <c r="K53" i="13"/>
  <c r="J50" i="13"/>
  <c r="B52" i="13"/>
  <c r="E8" i="13"/>
  <c r="B51" i="13"/>
  <c r="D43" i="13"/>
  <c r="L43" i="13"/>
  <c r="C19" i="13"/>
  <c r="L20" i="13"/>
  <c r="D42" i="13"/>
  <c r="F44" i="13"/>
  <c r="L41" i="13"/>
  <c r="C9" i="13"/>
  <c r="J20" i="13"/>
  <c r="J58" i="123"/>
  <c r="J59" i="123" s="1"/>
  <c r="F41" i="13"/>
  <c r="K32" i="13"/>
  <c r="B54" i="13"/>
  <c r="I50" i="13"/>
  <c r="D46" i="13"/>
  <c r="B53" i="13"/>
  <c r="M46" i="13"/>
  <c r="N21" i="13"/>
  <c r="K14" i="13"/>
  <c r="L51" i="13"/>
  <c r="L53" i="13"/>
  <c r="L54" i="13"/>
  <c r="L55" i="13"/>
  <c r="J31" i="13"/>
  <c r="J32" i="13"/>
  <c r="L52" i="13"/>
  <c r="B20" i="13"/>
  <c r="B19" i="13"/>
  <c r="J8" i="13"/>
  <c r="F58" i="123"/>
  <c r="F59" i="123" s="1"/>
  <c r="F8" i="13"/>
  <c r="F7" i="13"/>
  <c r="F9" i="13"/>
  <c r="C54" i="13"/>
  <c r="C53" i="13"/>
  <c r="M54" i="13"/>
  <c r="M51" i="13"/>
  <c r="M52" i="13"/>
  <c r="J26" i="13"/>
  <c r="J27" i="13"/>
  <c r="M55" i="13"/>
  <c r="J9" i="13"/>
  <c r="J51" i="13"/>
  <c r="G42" i="13"/>
  <c r="G43" i="13"/>
  <c r="G46" i="13"/>
  <c r="K36" i="13"/>
  <c r="C51" i="13"/>
  <c r="C55" i="13"/>
  <c r="C45" i="13"/>
  <c r="G37" i="13"/>
  <c r="N38" i="123"/>
  <c r="N37" i="13" s="1"/>
  <c r="B21" i="13"/>
  <c r="F43" i="13"/>
  <c r="H45" i="13"/>
  <c r="K21" i="13"/>
  <c r="K19" i="13"/>
  <c r="K25" i="13"/>
  <c r="K27" i="13"/>
  <c r="K45" i="13"/>
  <c r="K44" i="13"/>
  <c r="N28" i="123"/>
  <c r="N25" i="13" s="1"/>
  <c r="C32" i="13"/>
  <c r="B58" i="123"/>
  <c r="B59" i="123" s="1"/>
  <c r="B7" i="13"/>
  <c r="I27" i="13"/>
  <c r="I25" i="13"/>
  <c r="L50" i="13"/>
  <c r="B8" i="13"/>
  <c r="E27" i="13"/>
  <c r="C52" i="13"/>
  <c r="K42" i="13"/>
  <c r="K46" i="13"/>
  <c r="L25" i="13"/>
  <c r="G41" i="13"/>
  <c r="G45" i="13"/>
  <c r="C37" i="13"/>
  <c r="C36" i="13"/>
  <c r="G58" i="123"/>
  <c r="G59" i="123" s="1"/>
  <c r="G9" i="13"/>
  <c r="G8" i="13"/>
  <c r="H58" i="123"/>
  <c r="H59" i="123" s="1"/>
  <c r="H8" i="13"/>
  <c r="F42" i="13"/>
  <c r="H15" i="13"/>
  <c r="H13" i="13"/>
  <c r="H14" i="13"/>
  <c r="J45" i="13"/>
  <c r="J43" i="13"/>
  <c r="J41" i="13"/>
  <c r="J46" i="13"/>
  <c r="C44" i="13"/>
  <c r="C41" i="13"/>
  <c r="M58" i="123"/>
  <c r="M59" i="123" s="1"/>
  <c r="M7" i="13"/>
  <c r="M9" i="13"/>
  <c r="H27" i="13"/>
  <c r="H25" i="13"/>
  <c r="I58" i="123"/>
  <c r="I59" i="123" s="1"/>
  <c r="I7" i="13"/>
  <c r="I9" i="13"/>
  <c r="K51" i="13"/>
  <c r="K52" i="13"/>
  <c r="K50" i="13"/>
  <c r="F51" i="13"/>
  <c r="F50" i="13"/>
  <c r="E58" i="123"/>
  <c r="E59" i="123" s="1"/>
  <c r="N33" i="123"/>
  <c r="N31" i="13" s="1"/>
  <c r="L27" i="13"/>
  <c r="J52" i="13"/>
  <c r="H44" i="13"/>
  <c r="K20" i="13"/>
  <c r="I8" i="13"/>
  <c r="C25" i="13"/>
  <c r="F55" i="13"/>
  <c r="C42" i="13"/>
  <c r="B13" i="13"/>
  <c r="B14" i="13"/>
  <c r="K55" i="13"/>
  <c r="K41" i="13"/>
  <c r="J7" i="13"/>
  <c r="J53" i="13"/>
  <c r="G7" i="13"/>
  <c r="F46" i="13"/>
  <c r="D15" i="13"/>
  <c r="D58" i="123"/>
  <c r="D59" i="123" s="1"/>
  <c r="H41" i="13"/>
  <c r="G44" i="13"/>
  <c r="E7" i="13"/>
  <c r="D51" i="13"/>
  <c r="D53" i="13"/>
  <c r="K58" i="123"/>
  <c r="K59" i="123" s="1"/>
  <c r="N47" i="123"/>
  <c r="N46" i="13" s="1"/>
  <c r="K9" i="13"/>
  <c r="N10" i="123"/>
  <c r="H54" i="13"/>
  <c r="H52" i="13"/>
  <c r="H50" i="13"/>
  <c r="G25" i="13"/>
  <c r="B55" i="13"/>
  <c r="M43" i="13"/>
  <c r="N20" i="13"/>
  <c r="I20" i="13"/>
  <c r="K8" i="13"/>
  <c r="H51" i="13"/>
  <c r="H55" i="13"/>
  <c r="K7" i="13"/>
  <c r="L58" i="123"/>
  <c r="L59" i="123" s="1"/>
  <c r="C58" i="123"/>
  <c r="C59" i="123" s="1"/>
  <c r="L35" i="112" l="1"/>
  <c r="N14" i="13"/>
  <c r="N43" i="13"/>
  <c r="N15" i="13"/>
  <c r="N51" i="13"/>
  <c r="N54" i="13"/>
  <c r="N53" i="13"/>
  <c r="N52" i="13"/>
  <c r="N44" i="13"/>
  <c r="N36" i="13"/>
  <c r="N50" i="13"/>
  <c r="N42" i="13"/>
  <c r="N32" i="13"/>
  <c r="N45" i="13"/>
  <c r="N41" i="13"/>
  <c r="N58" i="123"/>
  <c r="N59" i="123" s="1"/>
  <c r="N9" i="13"/>
  <c r="N7" i="13"/>
  <c r="N26" i="13"/>
  <c r="N8" i="13"/>
  <c r="N27" i="13"/>
  <c r="M29" i="118" l="1"/>
  <c r="J29" i="118"/>
  <c r="G29" i="118"/>
  <c r="M28" i="118"/>
  <c r="M30" i="118" s="1"/>
  <c r="N30" i="118" s="1"/>
  <c r="J28" i="118"/>
  <c r="G28" i="118"/>
  <c r="M26" i="118"/>
  <c r="N26" i="118" s="1"/>
  <c r="G26" i="118"/>
  <c r="H26" i="118" s="1"/>
  <c r="E26" i="118"/>
  <c r="M23" i="118"/>
  <c r="J23" i="118"/>
  <c r="G23" i="118"/>
  <c r="M22" i="118"/>
  <c r="J22" i="118"/>
  <c r="G22" i="118"/>
  <c r="M21" i="118"/>
  <c r="J21" i="118"/>
  <c r="G21" i="118"/>
  <c r="M20" i="118"/>
  <c r="J20" i="118"/>
  <c r="G20" i="118"/>
  <c r="J24" i="117"/>
  <c r="D21" i="103"/>
  <c r="M19" i="103"/>
  <c r="M15" i="103"/>
  <c r="V19" i="103"/>
  <c r="V15" i="103"/>
  <c r="J15" i="103"/>
  <c r="S15" i="103"/>
  <c r="M21" i="103" l="1"/>
  <c r="P21" i="103"/>
  <c r="J30" i="118"/>
  <c r="K30" i="118" s="1"/>
  <c r="G30" i="118"/>
  <c r="H30" i="118" s="1"/>
  <c r="J26" i="118"/>
  <c r="K26" i="118" s="1"/>
  <c r="D30" i="118"/>
  <c r="E30" i="118" s="1"/>
  <c r="G21" i="117"/>
  <c r="P21" i="117"/>
  <c r="J21" i="117"/>
  <c r="G24" i="117"/>
  <c r="P24" i="117"/>
  <c r="J21" i="103"/>
  <c r="V21" i="103"/>
  <c r="S19" i="103"/>
  <c r="I9" i="115"/>
  <c r="H9" i="115"/>
  <c r="E9" i="115"/>
  <c r="I9" i="114" l="1"/>
  <c r="H9" i="114"/>
  <c r="E9" i="114"/>
  <c r="I34" i="113" l="1"/>
  <c r="F34" i="113"/>
  <c r="J8" i="113"/>
  <c r="G8" i="113"/>
  <c r="J7" i="113"/>
  <c r="G7" i="113"/>
  <c r="L6" i="113"/>
  <c r="G7" i="112"/>
  <c r="I34" i="112"/>
  <c r="F34" i="112"/>
  <c r="J8" i="112"/>
  <c r="G8" i="112"/>
  <c r="J7" i="112"/>
  <c r="O6" i="112"/>
  <c r="M33" i="111"/>
  <c r="I33" i="111"/>
  <c r="H33" i="111"/>
  <c r="G33" i="111"/>
  <c r="F33" i="111"/>
  <c r="M32" i="111"/>
  <c r="M30" i="111"/>
  <c r="E33" i="111"/>
  <c r="E29" i="111"/>
  <c r="E28" i="111"/>
  <c r="B2" i="111"/>
  <c r="S8" i="102"/>
  <c r="Y8" i="102"/>
  <c r="E27" i="111" l="1"/>
  <c r="E30" i="111"/>
  <c r="E24" i="111"/>
  <c r="E31" i="111"/>
  <c r="E32" i="111"/>
  <c r="I35" i="102"/>
  <c r="E34" i="111" l="1"/>
  <c r="H22" i="115" l="1"/>
  <c r="H22" i="114"/>
  <c r="H18" i="115"/>
  <c r="H18" i="114"/>
  <c r="H19" i="115"/>
  <c r="H19" i="114"/>
  <c r="H21" i="115"/>
  <c r="H21" i="114"/>
  <c r="H12" i="115"/>
  <c r="H12" i="114"/>
  <c r="H20" i="115"/>
  <c r="H20" i="114"/>
  <c r="H16" i="115" l="1"/>
  <c r="H32" i="115" s="1"/>
  <c r="D32" i="115"/>
  <c r="H13" i="114"/>
  <c r="H29" i="114" s="1"/>
  <c r="D29" i="114"/>
  <c r="H23" i="115"/>
  <c r="H34" i="115" s="1"/>
  <c r="D34" i="115"/>
  <c r="H11" i="114"/>
  <c r="D28" i="114"/>
  <c r="D24" i="114"/>
  <c r="H17" i="114"/>
  <c r="H33" i="114" s="1"/>
  <c r="D33" i="114"/>
  <c r="H15" i="115"/>
  <c r="H31" i="115" s="1"/>
  <c r="D31" i="115"/>
  <c r="H14" i="115"/>
  <c r="H30" i="115" s="1"/>
  <c r="D30" i="115"/>
  <c r="H16" i="114"/>
  <c r="H32" i="114" s="1"/>
  <c r="D32" i="114"/>
  <c r="H23" i="114"/>
  <c r="H34" i="114" s="1"/>
  <c r="D34" i="114"/>
  <c r="H13" i="115"/>
  <c r="H29" i="115" s="1"/>
  <c r="D29" i="115"/>
  <c r="H15" i="114"/>
  <c r="H31" i="114" s="1"/>
  <c r="D31" i="114"/>
  <c r="H11" i="115"/>
  <c r="D24" i="115"/>
  <c r="D28" i="115"/>
  <c r="H14" i="114"/>
  <c r="H30" i="114" s="1"/>
  <c r="D30" i="114"/>
  <c r="H17" i="115"/>
  <c r="H33" i="115" s="1"/>
  <c r="D33" i="115"/>
  <c r="H24" i="115" l="1"/>
  <c r="H28" i="115"/>
  <c r="H35" i="115" s="1"/>
  <c r="D35" i="114"/>
  <c r="H28" i="114"/>
  <c r="H35" i="114" s="1"/>
  <c r="H24" i="114"/>
  <c r="D35" i="115"/>
  <c r="P10" i="10"/>
  <c r="D29" i="103" l="1"/>
  <c r="P29" i="103" s="1"/>
  <c r="D27" i="103"/>
  <c r="P27" i="103" s="1"/>
  <c r="Q27" i="103" s="1"/>
  <c r="D24" i="103"/>
  <c r="P24" i="103" s="1"/>
  <c r="D23" i="103"/>
  <c r="P23" i="103" s="1"/>
  <c r="D22" i="103"/>
  <c r="P22" i="103" s="1"/>
  <c r="D17" i="103"/>
  <c r="P17" i="103" s="1"/>
  <c r="D16" i="103"/>
  <c r="P16" i="103" s="1"/>
  <c r="P25" i="103" s="1"/>
  <c r="I9" i="104"/>
  <c r="H9" i="104"/>
  <c r="E9" i="104"/>
  <c r="E27" i="103"/>
  <c r="G19" i="103"/>
  <c r="M9" i="102"/>
  <c r="J9" i="102"/>
  <c r="G9" i="102"/>
  <c r="M8" i="102"/>
  <c r="J8" i="102"/>
  <c r="AA7" i="102"/>
  <c r="Q25" i="103" l="1"/>
  <c r="J23" i="103"/>
  <c r="S23" i="103"/>
  <c r="V23" i="103"/>
  <c r="M23" i="103"/>
  <c r="M17" i="103"/>
  <c r="J17" i="103"/>
  <c r="V17" i="103"/>
  <c r="S17" i="103"/>
  <c r="M24" i="103"/>
  <c r="J24" i="103"/>
  <c r="S24" i="103"/>
  <c r="J20" i="103"/>
  <c r="V20" i="103"/>
  <c r="S20" i="103"/>
  <c r="S27" i="103"/>
  <c r="T27" i="103" s="1"/>
  <c r="V27" i="103"/>
  <c r="W27" i="103" s="1"/>
  <c r="J27" i="103"/>
  <c r="K27" i="103" s="1"/>
  <c r="M27" i="103"/>
  <c r="N27" i="103" s="1"/>
  <c r="S11" i="103"/>
  <c r="V11" i="103"/>
  <c r="M11" i="103"/>
  <c r="J11" i="103"/>
  <c r="V22" i="103"/>
  <c r="S22" i="103"/>
  <c r="M22" i="103"/>
  <c r="J22" i="103"/>
  <c r="V29" i="103"/>
  <c r="G29" i="103"/>
  <c r="J29" i="103"/>
  <c r="M29" i="103"/>
  <c r="Y29" i="103"/>
  <c r="D29" i="117" s="1"/>
  <c r="M29" i="117" s="1"/>
  <c r="S29" i="103"/>
  <c r="J16" i="103"/>
  <c r="V16" i="103"/>
  <c r="S16" i="103"/>
  <c r="M16" i="103"/>
  <c r="G16" i="103"/>
  <c r="G24" i="103"/>
  <c r="Y27" i="103"/>
  <c r="G27" i="103"/>
  <c r="H27" i="103" s="1"/>
  <c r="G21" i="103"/>
  <c r="E11" i="103"/>
  <c r="E12" i="103"/>
  <c r="Y23" i="103"/>
  <c r="D23" i="117" s="1"/>
  <c r="M23" i="117" s="1"/>
  <c r="G23" i="103"/>
  <c r="Y16" i="103"/>
  <c r="D16" i="117" s="1"/>
  <c r="M16" i="117" s="1"/>
  <c r="D12" i="103"/>
  <c r="D25" i="103"/>
  <c r="G17" i="103"/>
  <c r="G20" i="103"/>
  <c r="G22" i="103"/>
  <c r="Y17" i="103"/>
  <c r="D17" i="117" s="1"/>
  <c r="M17" i="117" s="1"/>
  <c r="Y22" i="103"/>
  <c r="D22" i="117" s="1"/>
  <c r="M22" i="117" s="1"/>
  <c r="Z27" i="103" l="1"/>
  <c r="D27" i="117"/>
  <c r="M27" i="117" s="1"/>
  <c r="N27" i="117" s="1"/>
  <c r="J29" i="117"/>
  <c r="G29" i="117"/>
  <c r="P29" i="117"/>
  <c r="P23" i="117"/>
  <c r="J23" i="117"/>
  <c r="G23" i="117"/>
  <c r="P22" i="117"/>
  <c r="G22" i="117"/>
  <c r="J22" i="117"/>
  <c r="J17" i="117"/>
  <c r="P17" i="117"/>
  <c r="G17" i="117"/>
  <c r="G16" i="117"/>
  <c r="J16" i="117"/>
  <c r="P16" i="117"/>
  <c r="V12" i="103"/>
  <c r="W11" i="103"/>
  <c r="W12" i="103" s="1"/>
  <c r="N11" i="103"/>
  <c r="N12" i="103" s="1"/>
  <c r="M12" i="103"/>
  <c r="S25" i="103"/>
  <c r="T25" i="103" s="1"/>
  <c r="T11" i="103"/>
  <c r="T12" i="103" s="1"/>
  <c r="S12" i="103"/>
  <c r="V25" i="103"/>
  <c r="W25" i="103" s="1"/>
  <c r="K11" i="103"/>
  <c r="K12" i="103" s="1"/>
  <c r="J12" i="103"/>
  <c r="E25" i="103"/>
  <c r="G27" i="117" l="1"/>
  <c r="H27" i="117" s="1"/>
  <c r="E27" i="117"/>
  <c r="J27" i="117"/>
  <c r="K27" i="117" s="1"/>
  <c r="P27" i="117"/>
  <c r="Q27" i="117" s="1"/>
  <c r="M17" i="118"/>
  <c r="G17" i="118"/>
  <c r="J17" i="118"/>
  <c r="M16" i="118" l="1"/>
  <c r="G16" i="118"/>
  <c r="J16" i="118"/>
  <c r="G14" i="24"/>
  <c r="G11" i="24"/>
  <c r="G13" i="24"/>
  <c r="G15" i="24"/>
  <c r="G10" i="24"/>
  <c r="G12" i="24"/>
  <c r="G16" i="24"/>
  <c r="D30" i="103" l="1"/>
  <c r="P30" i="103" s="1"/>
  <c r="P31" i="103" s="1"/>
  <c r="Q31" i="103" l="1"/>
  <c r="Q32" i="103" s="1"/>
  <c r="Q34" i="103" s="1"/>
  <c r="P32" i="103"/>
  <c r="V30" i="103"/>
  <c r="V31" i="103" s="1"/>
  <c r="J30" i="103"/>
  <c r="J31" i="103" s="1"/>
  <c r="Y30" i="103"/>
  <c r="D30" i="117" s="1"/>
  <c r="M30" i="117" s="1"/>
  <c r="M31" i="117" s="1"/>
  <c r="N31" i="117" s="1"/>
  <c r="S30" i="103"/>
  <c r="S31" i="103" s="1"/>
  <c r="M30" i="103"/>
  <c r="M31" i="103" s="1"/>
  <c r="D31" i="103"/>
  <c r="G30" i="103"/>
  <c r="J30" i="117" l="1"/>
  <c r="J31" i="117" s="1"/>
  <c r="K31" i="117" s="1"/>
  <c r="P30" i="117"/>
  <c r="P31" i="117" s="1"/>
  <c r="Q31" i="117" s="1"/>
  <c r="G30" i="117"/>
  <c r="G31" i="117" s="1"/>
  <c r="H31" i="117" s="1"/>
  <c r="D31" i="117"/>
  <c r="E31" i="117" s="1"/>
  <c r="T31" i="103"/>
  <c r="T32" i="103" s="1"/>
  <c r="T34" i="103" s="1"/>
  <c r="S32" i="103"/>
  <c r="K31" i="103"/>
  <c r="N31" i="103"/>
  <c r="W31" i="103"/>
  <c r="W32" i="103" s="1"/>
  <c r="W34" i="103" s="1"/>
  <c r="V32" i="103"/>
  <c r="E31" i="103"/>
  <c r="E32" i="103" s="1"/>
  <c r="E34" i="103" s="1"/>
  <c r="Q35" i="103" s="1"/>
  <c r="Q36" i="103" s="1"/>
  <c r="D32" i="103"/>
  <c r="F16" i="134" l="1"/>
  <c r="F15" i="134"/>
  <c r="F13" i="134"/>
  <c r="F11" i="134"/>
  <c r="F29" i="134"/>
  <c r="F25" i="134"/>
  <c r="F23" i="134"/>
  <c r="F19" i="134"/>
  <c r="F17" i="134"/>
  <c r="F12" i="134"/>
  <c r="F10" i="134"/>
  <c r="F32" i="134"/>
  <c r="F30" i="134"/>
  <c r="F26" i="134"/>
  <c r="F20" i="134"/>
  <c r="F35" i="134"/>
  <c r="F33" i="134"/>
  <c r="F31" i="134"/>
  <c r="F27" i="134"/>
  <c r="F21" i="134"/>
  <c r="F14" i="134"/>
  <c r="F34" i="134"/>
  <c r="F28" i="134"/>
  <c r="F22" i="134"/>
  <c r="F18" i="134"/>
  <c r="F24" i="134"/>
  <c r="T35" i="103"/>
  <c r="T36" i="103" s="1"/>
  <c r="W35" i="103"/>
  <c r="W36" i="103" s="1"/>
  <c r="C6" i="15" l="1"/>
  <c r="D6" i="15" s="1"/>
  <c r="E6" i="15" s="1"/>
  <c r="F6" i="15" s="1"/>
  <c r="G6" i="15" s="1"/>
  <c r="H6" i="15" s="1"/>
  <c r="I6" i="15" s="1"/>
  <c r="J6" i="15" s="1"/>
  <c r="K6" i="15" s="1"/>
  <c r="L6" i="15" s="1"/>
  <c r="M6" i="15" s="1"/>
  <c r="C38" i="15"/>
  <c r="D38" i="15"/>
  <c r="E38" i="15"/>
  <c r="F38" i="15"/>
  <c r="G38" i="15"/>
  <c r="H38" i="15"/>
  <c r="I38" i="15"/>
  <c r="J38" i="15"/>
  <c r="K38" i="15"/>
  <c r="L38" i="15"/>
  <c r="M38" i="15"/>
  <c r="B38" i="15"/>
  <c r="N25" i="15"/>
  <c r="C20" i="15"/>
  <c r="D20" i="15"/>
  <c r="E20" i="15"/>
  <c r="F20" i="15"/>
  <c r="G20" i="15"/>
  <c r="H20" i="15"/>
  <c r="I20" i="15"/>
  <c r="J20" i="15"/>
  <c r="K20" i="15"/>
  <c r="L20" i="15"/>
  <c r="M20" i="15"/>
  <c r="B20" i="15"/>
  <c r="N38" i="13" l="1"/>
  <c r="C56" i="13"/>
  <c r="D56" i="13"/>
  <c r="E56" i="13"/>
  <c r="F56" i="13"/>
  <c r="G56" i="13"/>
  <c r="H56" i="13"/>
  <c r="I56" i="13"/>
  <c r="J56" i="13"/>
  <c r="K56" i="13"/>
  <c r="L56" i="13"/>
  <c r="M56" i="13"/>
  <c r="N56" i="13"/>
  <c r="B56" i="13"/>
  <c r="E7" i="10" l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C5" i="13" l="1"/>
  <c r="D5" i="13" s="1"/>
  <c r="E5" i="13" s="1"/>
  <c r="F5" i="13" s="1"/>
  <c r="G5" i="13" s="1"/>
  <c r="H5" i="13" s="1"/>
  <c r="I5" i="13" s="1"/>
  <c r="J5" i="13" s="1"/>
  <c r="K5" i="13" s="1"/>
  <c r="L5" i="13" s="1"/>
  <c r="M5" i="13" s="1"/>
  <c r="N37" i="15"/>
  <c r="N36" i="15"/>
  <c r="N35" i="15"/>
  <c r="N34" i="15"/>
  <c r="N33" i="15"/>
  <c r="N32" i="15"/>
  <c r="N29" i="15"/>
  <c r="N31" i="15"/>
  <c r="N30" i="15"/>
  <c r="N28" i="15"/>
  <c r="N27" i="15"/>
  <c r="N26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N19" i="15"/>
  <c r="N18" i="15"/>
  <c r="N17" i="15"/>
  <c r="N16" i="15"/>
  <c r="N15" i="15"/>
  <c r="N14" i="15"/>
  <c r="N11" i="15"/>
  <c r="N12" i="15"/>
  <c r="N10" i="15"/>
  <c r="N9" i="15"/>
  <c r="N8" i="15"/>
  <c r="N7" i="15"/>
  <c r="D46" i="48" l="1"/>
  <c r="D21" i="48"/>
  <c r="D20" i="60"/>
  <c r="H20" i="60" s="1"/>
  <c r="D25" i="60"/>
  <c r="H25" i="60" s="1"/>
  <c r="D35" i="60"/>
  <c r="H35" i="60" s="1"/>
  <c r="D38" i="48"/>
  <c r="D30" i="60"/>
  <c r="H30" i="60" s="1"/>
  <c r="N38" i="15"/>
  <c r="N13" i="15"/>
  <c r="G38" i="48" l="1"/>
  <c r="G25" i="60"/>
  <c r="I25" i="60" s="1"/>
  <c r="J25" i="60" s="1"/>
  <c r="G35" i="60"/>
  <c r="I35" i="60" s="1"/>
  <c r="J35" i="60" s="1"/>
  <c r="G20" i="60"/>
  <c r="I20" i="60" s="1"/>
  <c r="J20" i="60" s="1"/>
  <c r="G30" i="60"/>
  <c r="I30" i="60" s="1"/>
  <c r="J30" i="60" s="1"/>
  <c r="G21" i="48"/>
  <c r="G46" i="48"/>
  <c r="D40" i="60"/>
  <c r="N20" i="15"/>
  <c r="D30" i="48"/>
  <c r="D54" i="48" l="1"/>
  <c r="G30" i="48"/>
  <c r="P9" i="10" l="1"/>
  <c r="D12" i="111" l="1"/>
  <c r="C10" i="99"/>
  <c r="G10" i="99" s="1"/>
  <c r="C10" i="93"/>
  <c r="D13" i="60"/>
  <c r="C10" i="25"/>
  <c r="C11" i="24"/>
  <c r="C10" i="21"/>
  <c r="G10" i="21" s="1"/>
  <c r="C10" i="22"/>
  <c r="G10" i="22" s="1"/>
  <c r="F10" i="99" l="1"/>
  <c r="K12" i="111" s="1"/>
  <c r="D12" i="104"/>
  <c r="H12" i="104" s="1"/>
  <c r="I12" i="124"/>
  <c r="H10" i="99"/>
  <c r="G10" i="93"/>
  <c r="F10" i="93"/>
  <c r="G10" i="25"/>
  <c r="F10" i="25"/>
  <c r="L11" i="24"/>
  <c r="G13" i="60"/>
  <c r="F10" i="22"/>
  <c r="F10" i="21"/>
  <c r="J12" i="111" l="1"/>
  <c r="F12" i="111"/>
  <c r="H12" i="111"/>
  <c r="I10" i="99"/>
  <c r="X13" i="102"/>
  <c r="N12" i="111"/>
  <c r="L12" i="111"/>
  <c r="G12" i="111"/>
  <c r="H10" i="21"/>
  <c r="H10" i="93"/>
  <c r="I10" i="93" s="1"/>
  <c r="H10" i="22"/>
  <c r="R13" i="102" s="1"/>
  <c r="H10" i="25"/>
  <c r="F12" i="124" l="1"/>
  <c r="G12" i="124"/>
  <c r="J12" i="124"/>
  <c r="N12" i="124"/>
  <c r="H12" i="124"/>
  <c r="O12" i="111"/>
  <c r="I10" i="22"/>
  <c r="I10" i="25"/>
  <c r="I10" i="21"/>
  <c r="E12" i="104" l="1"/>
  <c r="F12" i="104" s="1"/>
  <c r="D13" i="102"/>
  <c r="P13" i="102" s="1"/>
  <c r="H33" i="13"/>
  <c r="D33" i="13"/>
  <c r="L38" i="13"/>
  <c r="K38" i="13"/>
  <c r="J38" i="13"/>
  <c r="I38" i="13"/>
  <c r="F38" i="13"/>
  <c r="D38" i="13"/>
  <c r="C38" i="13"/>
  <c r="L28" i="13"/>
  <c r="I28" i="13"/>
  <c r="H28" i="13"/>
  <c r="G28" i="13"/>
  <c r="D28" i="13"/>
  <c r="Y13" i="102" l="1"/>
  <c r="S13" i="102"/>
  <c r="D47" i="13"/>
  <c r="H38" i="13"/>
  <c r="F16" i="13"/>
  <c r="M38" i="13"/>
  <c r="F10" i="13"/>
  <c r="J16" i="13"/>
  <c r="J10" i="13"/>
  <c r="H16" i="13"/>
  <c r="E16" i="13"/>
  <c r="K10" i="13"/>
  <c r="D22" i="13"/>
  <c r="H22" i="13"/>
  <c r="L22" i="13"/>
  <c r="E22" i="13"/>
  <c r="G33" i="13"/>
  <c r="I16" i="13"/>
  <c r="M16" i="13"/>
  <c r="E28" i="13"/>
  <c r="M28" i="13"/>
  <c r="C10" i="13"/>
  <c r="G10" i="13"/>
  <c r="L33" i="13"/>
  <c r="D16" i="13"/>
  <c r="L16" i="13"/>
  <c r="C16" i="13"/>
  <c r="G16" i="13"/>
  <c r="K16" i="13"/>
  <c r="D10" i="13"/>
  <c r="H10" i="13"/>
  <c r="L10" i="13"/>
  <c r="E10" i="13"/>
  <c r="I10" i="13"/>
  <c r="M10" i="13"/>
  <c r="I22" i="13"/>
  <c r="M22" i="13"/>
  <c r="F22" i="13"/>
  <c r="J22" i="13"/>
  <c r="E33" i="13"/>
  <c r="I33" i="13"/>
  <c r="M33" i="13"/>
  <c r="C47" i="13"/>
  <c r="G47" i="13"/>
  <c r="B10" i="13"/>
  <c r="H47" i="13" l="1"/>
  <c r="B22" i="13"/>
  <c r="C33" i="13"/>
  <c r="J33" i="13"/>
  <c r="E38" i="13"/>
  <c r="J28" i="13"/>
  <c r="G38" i="13"/>
  <c r="N22" i="13"/>
  <c r="F33" i="13"/>
  <c r="K28" i="13"/>
  <c r="F28" i="13"/>
  <c r="M47" i="13"/>
  <c r="K33" i="13"/>
  <c r="K22" i="13"/>
  <c r="C28" i="13"/>
  <c r="J47" i="13"/>
  <c r="I47" i="13"/>
  <c r="B47" i="13"/>
  <c r="B38" i="13"/>
  <c r="G22" i="13"/>
  <c r="F47" i="13"/>
  <c r="N16" i="13"/>
  <c r="B28" i="13"/>
  <c r="E47" i="13"/>
  <c r="N28" i="13"/>
  <c r="L47" i="13"/>
  <c r="C22" i="13"/>
  <c r="N33" i="13"/>
  <c r="B33" i="13"/>
  <c r="B16" i="13"/>
  <c r="K47" i="13"/>
  <c r="N47" i="13" l="1"/>
  <c r="N10" i="13"/>
  <c r="O40" i="10" l="1"/>
  <c r="N40" i="10"/>
  <c r="M40" i="10"/>
  <c r="L40" i="10"/>
  <c r="K40" i="10"/>
  <c r="J40" i="10"/>
  <c r="I40" i="10"/>
  <c r="H40" i="10"/>
  <c r="G40" i="10"/>
  <c r="F40" i="10"/>
  <c r="E40" i="10"/>
  <c r="D40" i="10"/>
  <c r="O29" i="10"/>
  <c r="N29" i="10"/>
  <c r="M29" i="10"/>
  <c r="L29" i="10"/>
  <c r="K29" i="10"/>
  <c r="J29" i="10"/>
  <c r="I29" i="10"/>
  <c r="H29" i="10"/>
  <c r="G29" i="10"/>
  <c r="D2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N37" i="10"/>
  <c r="L37" i="10"/>
  <c r="J37" i="10"/>
  <c r="H37" i="10"/>
  <c r="F37" i="10"/>
  <c r="D37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H25" i="10" l="1"/>
  <c r="H34" i="10"/>
  <c r="E23" i="10"/>
  <c r="E34" i="10"/>
  <c r="M23" i="10"/>
  <c r="M34" i="10"/>
  <c r="E26" i="10"/>
  <c r="E37" i="10"/>
  <c r="M26" i="10"/>
  <c r="M37" i="10"/>
  <c r="F25" i="10"/>
  <c r="F34" i="10"/>
  <c r="J25" i="10"/>
  <c r="J34" i="10"/>
  <c r="N25" i="10"/>
  <c r="N34" i="10"/>
  <c r="D25" i="10"/>
  <c r="D34" i="10"/>
  <c r="L25" i="10"/>
  <c r="L34" i="10"/>
  <c r="I23" i="10"/>
  <c r="I34" i="10"/>
  <c r="I26" i="10"/>
  <c r="I37" i="10"/>
  <c r="G25" i="10"/>
  <c r="G34" i="10"/>
  <c r="K25" i="10"/>
  <c r="K34" i="10"/>
  <c r="O25" i="10"/>
  <c r="O34" i="10"/>
  <c r="G26" i="10"/>
  <c r="G37" i="10"/>
  <c r="K26" i="10"/>
  <c r="K37" i="10"/>
  <c r="O26" i="10"/>
  <c r="O37" i="10"/>
  <c r="F29" i="10"/>
  <c r="E29" i="10"/>
  <c r="D23" i="10"/>
  <c r="H23" i="10"/>
  <c r="L23" i="10"/>
  <c r="P12" i="10"/>
  <c r="P13" i="10"/>
  <c r="P14" i="10"/>
  <c r="P15" i="10"/>
  <c r="H26" i="10"/>
  <c r="L26" i="10"/>
  <c r="P16" i="10"/>
  <c r="P18" i="10"/>
  <c r="P19" i="10"/>
  <c r="P20" i="10"/>
  <c r="P21" i="10"/>
  <c r="P22" i="10"/>
  <c r="F23" i="10"/>
  <c r="J23" i="10"/>
  <c r="N23" i="10"/>
  <c r="F26" i="10"/>
  <c r="J26" i="10"/>
  <c r="N26" i="10"/>
  <c r="P17" i="10"/>
  <c r="E25" i="10"/>
  <c r="I25" i="10"/>
  <c r="M25" i="10"/>
  <c r="D26" i="10"/>
  <c r="G23" i="10"/>
  <c r="K23" i="10"/>
  <c r="O23" i="10"/>
  <c r="P11" i="10"/>
  <c r="N27" i="10" l="1"/>
  <c r="N30" i="10" s="1"/>
  <c r="D18" i="111"/>
  <c r="D18" i="104" s="1"/>
  <c r="H18" i="104" s="1"/>
  <c r="D22" i="111"/>
  <c r="D22" i="104" s="1"/>
  <c r="H22" i="104" s="1"/>
  <c r="D15" i="111"/>
  <c r="D21" i="111"/>
  <c r="D21" i="104" s="1"/>
  <c r="H21" i="104" s="1"/>
  <c r="D20" i="111"/>
  <c r="D20" i="104" s="1"/>
  <c r="H20" i="104" s="1"/>
  <c r="D11" i="111"/>
  <c r="D17" i="111"/>
  <c r="D29" i="124"/>
  <c r="D14" i="111"/>
  <c r="D28" i="124"/>
  <c r="D13" i="111"/>
  <c r="D33" i="124"/>
  <c r="D23" i="111"/>
  <c r="D19" i="111"/>
  <c r="D19" i="104" s="1"/>
  <c r="H19" i="104" s="1"/>
  <c r="D16" i="111"/>
  <c r="C15" i="99"/>
  <c r="G15" i="99" s="1"/>
  <c r="C12" i="99"/>
  <c r="G12" i="99" s="1"/>
  <c r="C13" i="99"/>
  <c r="F13" i="99" s="1"/>
  <c r="C11" i="99"/>
  <c r="F11" i="99" s="1"/>
  <c r="C14" i="99"/>
  <c r="G14" i="99" s="1"/>
  <c r="L27" i="10"/>
  <c r="L30" i="10" s="1"/>
  <c r="L31" i="10" s="1"/>
  <c r="C16" i="99"/>
  <c r="F16" i="99" s="1"/>
  <c r="C16" i="25"/>
  <c r="C20" i="99"/>
  <c r="G20" i="99" s="1"/>
  <c r="C20" i="25"/>
  <c r="C19" i="99"/>
  <c r="G19" i="99" s="1"/>
  <c r="C19" i="25"/>
  <c r="C18" i="99"/>
  <c r="F18" i="99" s="1"/>
  <c r="C18" i="25"/>
  <c r="C21" i="99"/>
  <c r="F21" i="99" s="1"/>
  <c r="C21" i="25"/>
  <c r="C17" i="99"/>
  <c r="F17" i="99" s="1"/>
  <c r="C17" i="25"/>
  <c r="C9" i="99"/>
  <c r="C20" i="93"/>
  <c r="C19" i="93"/>
  <c r="C13" i="93"/>
  <c r="D24" i="48"/>
  <c r="G24" i="48" s="1"/>
  <c r="C12" i="93"/>
  <c r="C18" i="93"/>
  <c r="C11" i="93"/>
  <c r="C16" i="93"/>
  <c r="C15" i="93"/>
  <c r="C21" i="93"/>
  <c r="D32" i="48"/>
  <c r="H32" i="48" s="1"/>
  <c r="C17" i="93"/>
  <c r="C14" i="93"/>
  <c r="C9" i="93"/>
  <c r="D29" i="60"/>
  <c r="D34" i="60"/>
  <c r="D24" i="60"/>
  <c r="D19" i="60"/>
  <c r="D16" i="60"/>
  <c r="D10" i="60"/>
  <c r="D18" i="48"/>
  <c r="I27" i="10"/>
  <c r="I30" i="10" s="1"/>
  <c r="I31" i="10" s="1"/>
  <c r="P40" i="10"/>
  <c r="D34" i="48"/>
  <c r="D33" i="48"/>
  <c r="D49" i="48"/>
  <c r="D48" i="48"/>
  <c r="D42" i="48"/>
  <c r="D41" i="48"/>
  <c r="D39" i="48"/>
  <c r="D14" i="48"/>
  <c r="D13" i="48"/>
  <c r="D26" i="48"/>
  <c r="D25" i="48"/>
  <c r="D22" i="48"/>
  <c r="D10" i="48"/>
  <c r="D41" i="10"/>
  <c r="M27" i="10"/>
  <c r="M30" i="10" s="1"/>
  <c r="M31" i="10" s="1"/>
  <c r="G41" i="10"/>
  <c r="K27" i="10"/>
  <c r="K30" i="10" s="1"/>
  <c r="K31" i="10" s="1"/>
  <c r="J27" i="10"/>
  <c r="J30" i="10" s="1"/>
  <c r="J31" i="10" s="1"/>
  <c r="H27" i="10"/>
  <c r="H30" i="10" s="1"/>
  <c r="H31" i="10" s="1"/>
  <c r="E41" i="10"/>
  <c r="P35" i="10"/>
  <c r="P29" i="10"/>
  <c r="D9" i="11"/>
  <c r="C9" i="21"/>
  <c r="G9" i="21" s="1"/>
  <c r="C10" i="24"/>
  <c r="C9" i="25"/>
  <c r="P34" i="10"/>
  <c r="E27" i="10"/>
  <c r="E30" i="10" s="1"/>
  <c r="E31" i="10" s="1"/>
  <c r="O41" i="10"/>
  <c r="K41" i="10"/>
  <c r="P39" i="10"/>
  <c r="P37" i="10"/>
  <c r="P36" i="10"/>
  <c r="F27" i="10"/>
  <c r="F30" i="10" s="1"/>
  <c r="F31" i="10" s="1"/>
  <c r="P38" i="10"/>
  <c r="O27" i="10"/>
  <c r="O30" i="10" s="1"/>
  <c r="O31" i="10" s="1"/>
  <c r="G27" i="10"/>
  <c r="G30" i="10" s="1"/>
  <c r="G31" i="10" s="1"/>
  <c r="I41" i="10"/>
  <c r="M41" i="10"/>
  <c r="F41" i="10"/>
  <c r="N41" i="10"/>
  <c r="L41" i="10"/>
  <c r="J41" i="10"/>
  <c r="H41" i="10"/>
  <c r="C9" i="22"/>
  <c r="G9" i="22" s="1"/>
  <c r="P26" i="10"/>
  <c r="N31" i="10"/>
  <c r="C16" i="22"/>
  <c r="G16" i="22" s="1"/>
  <c r="C16" i="21"/>
  <c r="G16" i="21" s="1"/>
  <c r="D12" i="11"/>
  <c r="C20" i="22"/>
  <c r="C20" i="21"/>
  <c r="G20" i="21" s="1"/>
  <c r="D45" i="11"/>
  <c r="D44" i="11"/>
  <c r="D47" i="11"/>
  <c r="D43" i="11"/>
  <c r="D46" i="11"/>
  <c r="D42" i="11"/>
  <c r="C14" i="21"/>
  <c r="G14" i="21" s="1"/>
  <c r="C14" i="25"/>
  <c r="C15" i="24"/>
  <c r="C14" i="22"/>
  <c r="G14" i="22" s="1"/>
  <c r="D23" i="11"/>
  <c r="C19" i="21"/>
  <c r="G19" i="21" s="1"/>
  <c r="C19" i="22"/>
  <c r="G19" i="22" s="1"/>
  <c r="D24" i="11"/>
  <c r="C15" i="21"/>
  <c r="G15" i="21" s="1"/>
  <c r="C15" i="25"/>
  <c r="C16" i="24"/>
  <c r="C15" i="22"/>
  <c r="G15" i="22" s="1"/>
  <c r="D31" i="11"/>
  <c r="D27" i="11"/>
  <c r="D30" i="11"/>
  <c r="D29" i="11"/>
  <c r="D32" i="11"/>
  <c r="D28" i="11"/>
  <c r="C13" i="25"/>
  <c r="C13" i="21"/>
  <c r="G13" i="21" s="1"/>
  <c r="C14" i="24"/>
  <c r="C13" i="22"/>
  <c r="G13" i="22" s="1"/>
  <c r="D20" i="11"/>
  <c r="D19" i="11"/>
  <c r="D18" i="11"/>
  <c r="C18" i="22"/>
  <c r="G18" i="22" s="1"/>
  <c r="C18" i="21"/>
  <c r="G18" i="21" s="1"/>
  <c r="D38" i="11"/>
  <c r="D37" i="11"/>
  <c r="D36" i="11"/>
  <c r="C13" i="24"/>
  <c r="C12" i="22"/>
  <c r="G12" i="22" s="1"/>
  <c r="C12" i="21"/>
  <c r="G12" i="21" s="1"/>
  <c r="C12" i="25"/>
  <c r="D14" i="11"/>
  <c r="C21" i="21"/>
  <c r="C21" i="22"/>
  <c r="G21" i="22" s="1"/>
  <c r="C17" i="22"/>
  <c r="G17" i="22" s="1"/>
  <c r="C17" i="21"/>
  <c r="G17" i="21" s="1"/>
  <c r="D15" i="11"/>
  <c r="C11" i="25"/>
  <c r="C11" i="21"/>
  <c r="G11" i="21" s="1"/>
  <c r="C12" i="24"/>
  <c r="C11" i="22"/>
  <c r="G11" i="22" s="1"/>
  <c r="D11" i="11"/>
  <c r="P23" i="10"/>
  <c r="D27" i="10"/>
  <c r="D30" i="10" s="1"/>
  <c r="D31" i="10" s="1"/>
  <c r="P25" i="10"/>
  <c r="F12" i="99" l="1"/>
  <c r="F15" i="99"/>
  <c r="H24" i="48"/>
  <c r="K13" i="111"/>
  <c r="D23" i="104"/>
  <c r="H23" i="104" s="1"/>
  <c r="H34" i="104" s="1"/>
  <c r="D33" i="111"/>
  <c r="K23" i="111"/>
  <c r="K33" i="111" s="1"/>
  <c r="M33" i="124"/>
  <c r="K18" i="111"/>
  <c r="K15" i="111"/>
  <c r="D27" i="124"/>
  <c r="D24" i="124"/>
  <c r="D31" i="124"/>
  <c r="D13" i="104"/>
  <c r="H13" i="104" s="1"/>
  <c r="D28" i="111"/>
  <c r="D17" i="104"/>
  <c r="H17" i="104" s="1"/>
  <c r="D32" i="111"/>
  <c r="D15" i="104"/>
  <c r="H15" i="104" s="1"/>
  <c r="D30" i="111"/>
  <c r="K14" i="111"/>
  <c r="D16" i="104"/>
  <c r="H16" i="104" s="1"/>
  <c r="H32" i="104" s="1"/>
  <c r="D31" i="111"/>
  <c r="D14" i="104"/>
  <c r="H14" i="104" s="1"/>
  <c r="D29" i="111"/>
  <c r="D11" i="104"/>
  <c r="D27" i="111"/>
  <c r="D24" i="111"/>
  <c r="K17" i="111"/>
  <c r="K19" i="111"/>
  <c r="K20" i="111"/>
  <c r="D32" i="124"/>
  <c r="D30" i="124"/>
  <c r="G32" i="48"/>
  <c r="I32" i="48" s="1"/>
  <c r="G21" i="99"/>
  <c r="H21" i="99" s="1"/>
  <c r="G16" i="99"/>
  <c r="H16" i="99" s="1"/>
  <c r="F14" i="99"/>
  <c r="F19" i="99"/>
  <c r="G11" i="99"/>
  <c r="H11" i="99" s="1"/>
  <c r="H30" i="104"/>
  <c r="G13" i="99"/>
  <c r="H13" i="99" s="1"/>
  <c r="H15" i="99"/>
  <c r="G17" i="99"/>
  <c r="H17" i="99" s="1"/>
  <c r="G18" i="99"/>
  <c r="H18" i="99" s="1"/>
  <c r="G17" i="25"/>
  <c r="F17" i="25"/>
  <c r="G18" i="25"/>
  <c r="F18" i="25"/>
  <c r="F20" i="25"/>
  <c r="G20" i="25"/>
  <c r="C22" i="25"/>
  <c r="F20" i="99"/>
  <c r="F21" i="25"/>
  <c r="G21" i="25"/>
  <c r="G19" i="25"/>
  <c r="F19" i="25"/>
  <c r="F16" i="25"/>
  <c r="G16" i="25"/>
  <c r="H12" i="99"/>
  <c r="C22" i="99"/>
  <c r="G9" i="99"/>
  <c r="F9" i="99"/>
  <c r="G16" i="93"/>
  <c r="F16" i="93"/>
  <c r="G19" i="93"/>
  <c r="F19" i="93"/>
  <c r="G15" i="93"/>
  <c r="F15" i="93"/>
  <c r="F12" i="93"/>
  <c r="G12" i="93"/>
  <c r="F13" i="93"/>
  <c r="G13" i="93"/>
  <c r="F17" i="93"/>
  <c r="G17" i="93"/>
  <c r="F21" i="93"/>
  <c r="G21" i="93"/>
  <c r="G18" i="93"/>
  <c r="F18" i="93"/>
  <c r="G14" i="93"/>
  <c r="F14" i="93"/>
  <c r="G11" i="93"/>
  <c r="F11" i="93"/>
  <c r="G20" i="93"/>
  <c r="F20" i="93"/>
  <c r="G9" i="93"/>
  <c r="F9" i="93"/>
  <c r="C22" i="93"/>
  <c r="I24" i="48"/>
  <c r="G20" i="22"/>
  <c r="D53" i="48"/>
  <c r="F21" i="21"/>
  <c r="G21" i="21"/>
  <c r="H20" i="11"/>
  <c r="G20" i="11"/>
  <c r="H43" i="11"/>
  <c r="G43" i="11"/>
  <c r="H23" i="11"/>
  <c r="G23" i="11"/>
  <c r="H36" i="11"/>
  <c r="G36" i="11"/>
  <c r="H18" i="11"/>
  <c r="G18" i="11"/>
  <c r="G28" i="11"/>
  <c r="H28" i="11"/>
  <c r="H27" i="11"/>
  <c r="G27" i="11"/>
  <c r="G42" i="11"/>
  <c r="H42" i="11"/>
  <c r="H44" i="11"/>
  <c r="G44" i="11"/>
  <c r="H38" i="11"/>
  <c r="G38" i="11"/>
  <c r="H29" i="11"/>
  <c r="G29" i="11"/>
  <c r="H30" i="11"/>
  <c r="G30" i="11"/>
  <c r="H47" i="11"/>
  <c r="G47" i="11"/>
  <c r="H37" i="11"/>
  <c r="G37" i="11"/>
  <c r="G19" i="11"/>
  <c r="H19" i="11"/>
  <c r="H32" i="11"/>
  <c r="G32" i="11"/>
  <c r="G31" i="11"/>
  <c r="H31" i="11"/>
  <c r="H24" i="11"/>
  <c r="G24" i="11"/>
  <c r="H46" i="11"/>
  <c r="G46" i="11"/>
  <c r="G45" i="11"/>
  <c r="H45" i="11"/>
  <c r="G13" i="25"/>
  <c r="F13" i="25"/>
  <c r="F9" i="25"/>
  <c r="G9" i="25"/>
  <c r="F15" i="25"/>
  <c r="G15" i="25"/>
  <c r="G12" i="25"/>
  <c r="F12" i="25"/>
  <c r="F11" i="25"/>
  <c r="G11" i="25"/>
  <c r="F14" i="25"/>
  <c r="G14" i="25"/>
  <c r="L12" i="24"/>
  <c r="L13" i="24"/>
  <c r="L14" i="24"/>
  <c r="L15" i="24"/>
  <c r="L16" i="24"/>
  <c r="G18" i="48"/>
  <c r="G29" i="60"/>
  <c r="G31" i="60" s="1"/>
  <c r="G19" i="60"/>
  <c r="G21" i="60" s="1"/>
  <c r="G34" i="60"/>
  <c r="G36" i="60" s="1"/>
  <c r="G24" i="60"/>
  <c r="G26" i="60" s="1"/>
  <c r="L10" i="24"/>
  <c r="G16" i="60"/>
  <c r="G10" i="60"/>
  <c r="D39" i="60"/>
  <c r="G10" i="48"/>
  <c r="G33" i="48"/>
  <c r="G48" i="48"/>
  <c r="G34" i="48"/>
  <c r="G49" i="48"/>
  <c r="G41" i="48"/>
  <c r="G39" i="48"/>
  <c r="G42" i="48"/>
  <c r="G25" i="48"/>
  <c r="G14" i="48"/>
  <c r="G22" i="48"/>
  <c r="G13" i="48"/>
  <c r="G26" i="48"/>
  <c r="P41" i="10"/>
  <c r="P27" i="10"/>
  <c r="P30" i="10" s="1"/>
  <c r="P31" i="10" s="1"/>
  <c r="F17" i="22"/>
  <c r="H14" i="11"/>
  <c r="G14" i="11"/>
  <c r="F18" i="21"/>
  <c r="D21" i="11"/>
  <c r="F19" i="22"/>
  <c r="F20" i="22"/>
  <c r="F11" i="22"/>
  <c r="F11" i="21"/>
  <c r="F21" i="22"/>
  <c r="C22" i="22"/>
  <c r="F9" i="22"/>
  <c r="F18" i="22"/>
  <c r="D33" i="11"/>
  <c r="F15" i="22"/>
  <c r="D48" i="11"/>
  <c r="F9" i="21"/>
  <c r="C22" i="21"/>
  <c r="G15" i="11"/>
  <c r="H15" i="11"/>
  <c r="C17" i="24"/>
  <c r="F12" i="21"/>
  <c r="F13" i="21"/>
  <c r="F15" i="21"/>
  <c r="F19" i="21"/>
  <c r="F14" i="22"/>
  <c r="F16" i="21"/>
  <c r="H11" i="11"/>
  <c r="G11" i="11"/>
  <c r="F17" i="21"/>
  <c r="H9" i="11"/>
  <c r="G9" i="11"/>
  <c r="F12" i="22"/>
  <c r="D39" i="11"/>
  <c r="F13" i="22"/>
  <c r="F14" i="21"/>
  <c r="F20" i="21"/>
  <c r="H12" i="11"/>
  <c r="G12" i="11"/>
  <c r="F16" i="22"/>
  <c r="K30" i="111" l="1"/>
  <c r="D32" i="104"/>
  <c r="K29" i="111"/>
  <c r="N21" i="111"/>
  <c r="M11" i="111"/>
  <c r="M27" i="111" s="1"/>
  <c r="G11" i="111"/>
  <c r="H16" i="111"/>
  <c r="H11" i="111"/>
  <c r="H27" i="111" s="1"/>
  <c r="L16" i="111"/>
  <c r="L17" i="111"/>
  <c r="K16" i="111"/>
  <c r="J22" i="111"/>
  <c r="N14" i="111"/>
  <c r="I13" i="111"/>
  <c r="J21" i="111"/>
  <c r="J11" i="111"/>
  <c r="N20" i="111"/>
  <c r="J13" i="111"/>
  <c r="N19" i="111"/>
  <c r="F15" i="111"/>
  <c r="M18" i="111"/>
  <c r="G14" i="111"/>
  <c r="H15" i="111"/>
  <c r="I16" i="111"/>
  <c r="L11" i="111"/>
  <c r="L23" i="111"/>
  <c r="L15" i="111"/>
  <c r="I13" i="99"/>
  <c r="X16" i="102"/>
  <c r="I11" i="99"/>
  <c r="X14" i="102"/>
  <c r="I16" i="99"/>
  <c r="X19" i="102"/>
  <c r="D34" i="111"/>
  <c r="D34" i="124"/>
  <c r="N16" i="111"/>
  <c r="J14" i="111"/>
  <c r="N23" i="111"/>
  <c r="N33" i="111" s="1"/>
  <c r="F16" i="111"/>
  <c r="J23" i="111"/>
  <c r="J33" i="111" s="1"/>
  <c r="L22" i="111"/>
  <c r="L18" i="111"/>
  <c r="K11" i="111"/>
  <c r="K27" i="111" s="1"/>
  <c r="I17" i="99"/>
  <c r="X20" i="102"/>
  <c r="N18" i="111"/>
  <c r="J16" i="111"/>
  <c r="I11" i="111"/>
  <c r="I27" i="111" s="1"/>
  <c r="J17" i="111"/>
  <c r="N11" i="111"/>
  <c r="N27" i="111" s="1"/>
  <c r="N13" i="111"/>
  <c r="J20" i="111"/>
  <c r="F11" i="111"/>
  <c r="F27" i="111" s="1"/>
  <c r="F17" i="111"/>
  <c r="G17" i="111"/>
  <c r="G13" i="111"/>
  <c r="H13" i="111"/>
  <c r="H17" i="111"/>
  <c r="L13" i="111"/>
  <c r="L20" i="111"/>
  <c r="L21" i="111"/>
  <c r="K22" i="111"/>
  <c r="K32" i="111" s="1"/>
  <c r="I21" i="99"/>
  <c r="X24" i="102"/>
  <c r="X35" i="102" s="1"/>
  <c r="I15" i="99"/>
  <c r="X18" i="102"/>
  <c r="K21" i="111"/>
  <c r="H11" i="104"/>
  <c r="H28" i="104" s="1"/>
  <c r="D28" i="104"/>
  <c r="J19" i="111"/>
  <c r="G15" i="111"/>
  <c r="I18" i="111"/>
  <c r="N15" i="111"/>
  <c r="J18" i="111"/>
  <c r="J15" i="111"/>
  <c r="I19" i="111"/>
  <c r="N17" i="111"/>
  <c r="N22" i="111"/>
  <c r="I14" i="111"/>
  <c r="F13" i="111"/>
  <c r="F14" i="111"/>
  <c r="G16" i="111"/>
  <c r="H14" i="111"/>
  <c r="I21" i="111"/>
  <c r="L19" i="111"/>
  <c r="L14" i="111"/>
  <c r="I12" i="99"/>
  <c r="X15" i="102"/>
  <c r="I18" i="99"/>
  <c r="X21" i="102"/>
  <c r="D34" i="104"/>
  <c r="K28" i="111"/>
  <c r="H14" i="99"/>
  <c r="H19" i="99"/>
  <c r="D29" i="104"/>
  <c r="D24" i="104"/>
  <c r="H20" i="99"/>
  <c r="H29" i="104"/>
  <c r="D30" i="104"/>
  <c r="D31" i="104"/>
  <c r="H33" i="104"/>
  <c r="H31" i="104"/>
  <c r="D33" i="104"/>
  <c r="H20" i="25"/>
  <c r="I20" i="25" s="1"/>
  <c r="H19" i="25"/>
  <c r="I19" i="25" s="1"/>
  <c r="H16" i="25"/>
  <c r="I16" i="25" s="1"/>
  <c r="H21" i="25"/>
  <c r="I21" i="25" s="1"/>
  <c r="H18" i="25"/>
  <c r="H17" i="25"/>
  <c r="F22" i="25"/>
  <c r="G22" i="25"/>
  <c r="F22" i="99"/>
  <c r="G22" i="99"/>
  <c r="H9" i="99"/>
  <c r="X12" i="102" s="1"/>
  <c r="H21" i="93"/>
  <c r="I21" i="93" s="1"/>
  <c r="H14" i="93"/>
  <c r="I14" i="93" s="1"/>
  <c r="H20" i="21"/>
  <c r="H14" i="21"/>
  <c r="H16" i="21"/>
  <c r="I16" i="21" s="1"/>
  <c r="H19" i="93"/>
  <c r="I19" i="93" s="1"/>
  <c r="H19" i="21"/>
  <c r="I19" i="21" s="1"/>
  <c r="H12" i="21"/>
  <c r="H20" i="93"/>
  <c r="I20" i="93" s="1"/>
  <c r="H11" i="93"/>
  <c r="I11" i="93" s="1"/>
  <c r="H13" i="93"/>
  <c r="I13" i="93" s="1"/>
  <c r="H15" i="93"/>
  <c r="I15" i="93" s="1"/>
  <c r="H17" i="21"/>
  <c r="I17" i="21" s="1"/>
  <c r="H11" i="21"/>
  <c r="H15" i="21"/>
  <c r="I15" i="21" s="1"/>
  <c r="H13" i="21"/>
  <c r="H18" i="21"/>
  <c r="H18" i="93"/>
  <c r="I18" i="93" s="1"/>
  <c r="H17" i="93"/>
  <c r="I17" i="93" s="1"/>
  <c r="H12" i="93"/>
  <c r="I12" i="93" s="1"/>
  <c r="H16" i="93"/>
  <c r="I16" i="93" s="1"/>
  <c r="H9" i="21"/>
  <c r="F22" i="93"/>
  <c r="G22" i="93"/>
  <c r="H9" i="93"/>
  <c r="H21" i="22"/>
  <c r="R24" i="102" s="1"/>
  <c r="U24" i="102" s="1"/>
  <c r="H19" i="22"/>
  <c r="R22" i="102" s="1"/>
  <c r="H18" i="22"/>
  <c r="R21" i="102" s="1"/>
  <c r="H17" i="22"/>
  <c r="R20" i="102" s="1"/>
  <c r="H16" i="22"/>
  <c r="R19" i="102" s="1"/>
  <c r="H15" i="22"/>
  <c r="R18" i="102" s="1"/>
  <c r="H14" i="22"/>
  <c r="R17" i="102" s="1"/>
  <c r="H13" i="22"/>
  <c r="R16" i="102" s="1"/>
  <c r="H12" i="22"/>
  <c r="R15" i="102" s="1"/>
  <c r="H11" i="22"/>
  <c r="R14" i="102" s="1"/>
  <c r="H9" i="22"/>
  <c r="R12" i="102" s="1"/>
  <c r="H14" i="25"/>
  <c r="I45" i="11"/>
  <c r="J45" i="11" s="1"/>
  <c r="I28" i="11"/>
  <c r="J28" i="11" s="1"/>
  <c r="I31" i="11"/>
  <c r="J31" i="11" s="1"/>
  <c r="I19" i="11"/>
  <c r="J19" i="11" s="1"/>
  <c r="G21" i="11"/>
  <c r="H11" i="25"/>
  <c r="H15" i="25"/>
  <c r="H21" i="21"/>
  <c r="G22" i="21"/>
  <c r="H20" i="22"/>
  <c r="R23" i="102" s="1"/>
  <c r="G22" i="22"/>
  <c r="I32" i="11"/>
  <c r="J32" i="11" s="1"/>
  <c r="I37" i="11"/>
  <c r="J37" i="11" s="1"/>
  <c r="I30" i="11"/>
  <c r="J30" i="11" s="1"/>
  <c r="H39" i="11"/>
  <c r="I36" i="11"/>
  <c r="I43" i="11"/>
  <c r="J43" i="11" s="1"/>
  <c r="H48" i="11"/>
  <c r="I42" i="11"/>
  <c r="G39" i="11"/>
  <c r="G48" i="11"/>
  <c r="G33" i="11"/>
  <c r="I24" i="11"/>
  <c r="I38" i="11"/>
  <c r="J38" i="11" s="1"/>
  <c r="I46" i="11"/>
  <c r="J46" i="11" s="1"/>
  <c r="I47" i="11"/>
  <c r="J47" i="11" s="1"/>
  <c r="I29" i="11"/>
  <c r="J29" i="11" s="1"/>
  <c r="I44" i="11"/>
  <c r="J44" i="11" s="1"/>
  <c r="I27" i="11"/>
  <c r="H33" i="11"/>
  <c r="I18" i="11"/>
  <c r="H21" i="11"/>
  <c r="I23" i="11"/>
  <c r="I20" i="11"/>
  <c r="J20" i="11" s="1"/>
  <c r="H12" i="25"/>
  <c r="H9" i="25"/>
  <c r="H13" i="25"/>
  <c r="G38" i="60"/>
  <c r="G15" i="48"/>
  <c r="D50" i="11"/>
  <c r="G43" i="48"/>
  <c r="G50" i="48"/>
  <c r="G35" i="48"/>
  <c r="G27" i="48"/>
  <c r="I9" i="11"/>
  <c r="I14" i="11"/>
  <c r="I11" i="11"/>
  <c r="F22" i="22"/>
  <c r="I12" i="11"/>
  <c r="F22" i="21"/>
  <c r="L17" i="24"/>
  <c r="I15" i="11"/>
  <c r="R35" i="102" l="1"/>
  <c r="X31" i="102"/>
  <c r="N30" i="111"/>
  <c r="K31" i="111"/>
  <c r="K34" i="111" s="1"/>
  <c r="L28" i="111"/>
  <c r="N28" i="111"/>
  <c r="J24" i="111"/>
  <c r="L30" i="111"/>
  <c r="O11" i="111"/>
  <c r="D12" i="102" s="1"/>
  <c r="R33" i="102"/>
  <c r="N24" i="111"/>
  <c r="N31" i="111"/>
  <c r="L31" i="111"/>
  <c r="G31" i="111"/>
  <c r="G31" i="130"/>
  <c r="G16" i="124"/>
  <c r="G31" i="124" s="1"/>
  <c r="J28" i="111"/>
  <c r="J18" i="124"/>
  <c r="N21" i="124"/>
  <c r="G28" i="111"/>
  <c r="G28" i="130"/>
  <c r="G13" i="124"/>
  <c r="G28" i="124" s="1"/>
  <c r="J17" i="124"/>
  <c r="N22" i="124"/>
  <c r="L33" i="111"/>
  <c r="M33" i="130"/>
  <c r="N23" i="124"/>
  <c r="N33" i="124" s="1"/>
  <c r="F30" i="111"/>
  <c r="F15" i="124"/>
  <c r="F30" i="124" s="1"/>
  <c r="J22" i="124"/>
  <c r="G11" i="124"/>
  <c r="G27" i="124" s="1"/>
  <c r="J19" i="124"/>
  <c r="N11" i="124"/>
  <c r="N27" i="124" s="1"/>
  <c r="J21" i="124"/>
  <c r="H11" i="124"/>
  <c r="H27" i="124" s="1"/>
  <c r="G27" i="111"/>
  <c r="L32" i="111"/>
  <c r="L29" i="111"/>
  <c r="N14" i="124"/>
  <c r="H29" i="111"/>
  <c r="H29" i="130"/>
  <c r="H14" i="124"/>
  <c r="H29" i="124" s="1"/>
  <c r="F28" i="111"/>
  <c r="F13" i="124"/>
  <c r="F28" i="124" s="1"/>
  <c r="I19" i="124"/>
  <c r="I28" i="111"/>
  <c r="I18" i="124"/>
  <c r="N13" i="124"/>
  <c r="H28" i="111"/>
  <c r="H13" i="124"/>
  <c r="H28" i="124" s="1"/>
  <c r="H28" i="130"/>
  <c r="G32" i="111"/>
  <c r="G17" i="124"/>
  <c r="G32" i="124" s="1"/>
  <c r="G32" i="130"/>
  <c r="J31" i="130"/>
  <c r="J16" i="124"/>
  <c r="F31" i="111"/>
  <c r="F16" i="124"/>
  <c r="F31" i="124" s="1"/>
  <c r="X30" i="102"/>
  <c r="N15" i="124"/>
  <c r="I16" i="124"/>
  <c r="G29" i="111"/>
  <c r="G14" i="124"/>
  <c r="G29" i="124" s="1"/>
  <c r="G29" i="130"/>
  <c r="J13" i="124"/>
  <c r="I13" i="124"/>
  <c r="I31" i="111"/>
  <c r="I21" i="124"/>
  <c r="G30" i="111"/>
  <c r="G30" i="130"/>
  <c r="G15" i="124"/>
  <c r="G30" i="124" s="1"/>
  <c r="H32" i="111"/>
  <c r="H32" i="130"/>
  <c r="H17" i="124"/>
  <c r="H32" i="124" s="1"/>
  <c r="F11" i="124"/>
  <c r="F27" i="124" s="1"/>
  <c r="J14" i="124"/>
  <c r="H30" i="111"/>
  <c r="H30" i="130"/>
  <c r="H15" i="124"/>
  <c r="H30" i="124" s="1"/>
  <c r="J11" i="124"/>
  <c r="J27" i="124" s="1"/>
  <c r="N16" i="124"/>
  <c r="J27" i="111"/>
  <c r="O18" i="111"/>
  <c r="E18" i="104" s="1"/>
  <c r="J29" i="111"/>
  <c r="F29" i="111"/>
  <c r="F14" i="124"/>
  <c r="N20" i="124"/>
  <c r="J30" i="111"/>
  <c r="J20" i="124"/>
  <c r="I11" i="124"/>
  <c r="I27" i="124" s="1"/>
  <c r="J23" i="124"/>
  <c r="J33" i="124" s="1"/>
  <c r="O11" i="124"/>
  <c r="O27" i="124" s="1"/>
  <c r="R31" i="102"/>
  <c r="I29" i="111"/>
  <c r="L27" i="111"/>
  <c r="H24" i="111"/>
  <c r="G24" i="111"/>
  <c r="J32" i="111"/>
  <c r="O23" i="111"/>
  <c r="O33" i="111" s="1"/>
  <c r="J31" i="111"/>
  <c r="N19" i="124"/>
  <c r="I14" i="124"/>
  <c r="J15" i="124"/>
  <c r="J30" i="124" s="1"/>
  <c r="F32" i="111"/>
  <c r="F17" i="124"/>
  <c r="F32" i="124" s="1"/>
  <c r="N18" i="124"/>
  <c r="O18" i="124"/>
  <c r="N17" i="124"/>
  <c r="H31" i="111"/>
  <c r="H31" i="130"/>
  <c r="H16" i="124"/>
  <c r="H31" i="124" s="1"/>
  <c r="M13" i="111"/>
  <c r="I19" i="99"/>
  <c r="X22" i="102"/>
  <c r="N29" i="111"/>
  <c r="I14" i="99"/>
  <c r="X17" i="102"/>
  <c r="I17" i="111"/>
  <c r="M16" i="111"/>
  <c r="O16" i="111" s="1"/>
  <c r="I22" i="111"/>
  <c r="I15" i="111"/>
  <c r="O15" i="111" s="1"/>
  <c r="X29" i="102"/>
  <c r="H24" i="104"/>
  <c r="F24" i="111"/>
  <c r="L24" i="111"/>
  <c r="K24" i="111"/>
  <c r="N32" i="111"/>
  <c r="X32" i="102"/>
  <c r="M19" i="111"/>
  <c r="I20" i="99"/>
  <c r="X23" i="102"/>
  <c r="X34" i="102" s="1"/>
  <c r="M21" i="111"/>
  <c r="R25" i="102"/>
  <c r="R29" i="102"/>
  <c r="M14" i="111"/>
  <c r="I20" i="111"/>
  <c r="R30" i="102"/>
  <c r="R32" i="102"/>
  <c r="R34" i="102"/>
  <c r="D35" i="104"/>
  <c r="H35" i="104"/>
  <c r="I18" i="25"/>
  <c r="I17" i="25"/>
  <c r="H22" i="25"/>
  <c r="I22" i="25" s="1"/>
  <c r="H22" i="99"/>
  <c r="I22" i="99" s="1"/>
  <c r="I9" i="99"/>
  <c r="I13" i="21"/>
  <c r="I9" i="21"/>
  <c r="I11" i="21"/>
  <c r="I21" i="21"/>
  <c r="I15" i="25"/>
  <c r="I14" i="25"/>
  <c r="I11" i="25"/>
  <c r="H22" i="21"/>
  <c r="I22" i="21" s="1"/>
  <c r="I14" i="21"/>
  <c r="I18" i="21"/>
  <c r="I20" i="21"/>
  <c r="I12" i="21"/>
  <c r="I21" i="22"/>
  <c r="I9" i="93"/>
  <c r="H22" i="93"/>
  <c r="I17" i="22"/>
  <c r="I19" i="22"/>
  <c r="I15" i="22"/>
  <c r="I11" i="22"/>
  <c r="I18" i="22"/>
  <c r="I9" i="22"/>
  <c r="I14" i="22"/>
  <c r="I16" i="22"/>
  <c r="I13" i="22"/>
  <c r="I12" i="22"/>
  <c r="J12" i="11"/>
  <c r="J23" i="11"/>
  <c r="J24" i="11"/>
  <c r="J11" i="11"/>
  <c r="J15" i="11"/>
  <c r="J14" i="11"/>
  <c r="J9" i="11"/>
  <c r="I20" i="22"/>
  <c r="H50" i="11"/>
  <c r="H22" i="22"/>
  <c r="I22" i="22" s="1"/>
  <c r="I13" i="25"/>
  <c r="G52" i="48"/>
  <c r="I12" i="25"/>
  <c r="I9" i="25"/>
  <c r="J42" i="11"/>
  <c r="I48" i="11"/>
  <c r="J27" i="11"/>
  <c r="I33" i="11"/>
  <c r="G50" i="11"/>
  <c r="J18" i="11"/>
  <c r="I21" i="11"/>
  <c r="J36" i="11"/>
  <c r="I39" i="11"/>
  <c r="P12" i="102" l="1"/>
  <c r="N29" i="124"/>
  <c r="N32" i="124"/>
  <c r="I29" i="124"/>
  <c r="J29" i="130"/>
  <c r="I31" i="124"/>
  <c r="D19" i="102"/>
  <c r="O27" i="111"/>
  <c r="E11" i="104"/>
  <c r="I28" i="130"/>
  <c r="N30" i="124"/>
  <c r="F24" i="124"/>
  <c r="J28" i="130"/>
  <c r="I31" i="130"/>
  <c r="J32" i="124"/>
  <c r="I29" i="130"/>
  <c r="I28" i="124"/>
  <c r="J24" i="124"/>
  <c r="G34" i="111"/>
  <c r="N28" i="124"/>
  <c r="L34" i="111"/>
  <c r="J29" i="124"/>
  <c r="J31" i="124"/>
  <c r="M24" i="111"/>
  <c r="H24" i="124"/>
  <c r="N31" i="124"/>
  <c r="F34" i="111"/>
  <c r="M29" i="130"/>
  <c r="J28" i="124"/>
  <c r="J34" i="111"/>
  <c r="I24" i="111"/>
  <c r="D24" i="102"/>
  <c r="P24" i="102" s="1"/>
  <c r="F29" i="124"/>
  <c r="F34" i="124" s="1"/>
  <c r="H34" i="111"/>
  <c r="O14" i="124"/>
  <c r="O21" i="111"/>
  <c r="E21" i="104" s="1"/>
  <c r="O21" i="124"/>
  <c r="I17" i="124"/>
  <c r="F32" i="130"/>
  <c r="N27" i="130"/>
  <c r="F28" i="130"/>
  <c r="O13" i="111"/>
  <c r="D14" i="102" s="1"/>
  <c r="P14" i="102" s="1"/>
  <c r="N24" i="124"/>
  <c r="O19" i="111"/>
  <c r="E19" i="104" s="1"/>
  <c r="F19" i="104" s="1"/>
  <c r="O19" i="124"/>
  <c r="I27" i="130"/>
  <c r="M28" i="130"/>
  <c r="I32" i="111"/>
  <c r="M29" i="111"/>
  <c r="G24" i="124"/>
  <c r="E23" i="104"/>
  <c r="O22" i="111"/>
  <c r="D23" i="102" s="1"/>
  <c r="P23" i="102" s="1"/>
  <c r="I22" i="124"/>
  <c r="N34" i="111"/>
  <c r="J33" i="130"/>
  <c r="M30" i="130"/>
  <c r="F31" i="130"/>
  <c r="H24" i="130"/>
  <c r="H27" i="130"/>
  <c r="H34" i="130" s="1"/>
  <c r="J32" i="130"/>
  <c r="I15" i="124"/>
  <c r="M28" i="111"/>
  <c r="O13" i="124"/>
  <c r="O28" i="124" s="1"/>
  <c r="N28" i="130"/>
  <c r="J24" i="130"/>
  <c r="J27" i="130"/>
  <c r="O17" i="111"/>
  <c r="E17" i="104" s="1"/>
  <c r="M31" i="111"/>
  <c r="H34" i="124"/>
  <c r="M32" i="130"/>
  <c r="I30" i="111"/>
  <c r="O14" i="111"/>
  <c r="D15" i="102" s="1"/>
  <c r="P15" i="102" s="1"/>
  <c r="O20" i="111"/>
  <c r="O30" i="111" s="1"/>
  <c r="I20" i="124"/>
  <c r="G34" i="124"/>
  <c r="O16" i="124"/>
  <c r="N31" i="130"/>
  <c r="J30" i="130"/>
  <c r="F29" i="130"/>
  <c r="F24" i="130"/>
  <c r="F27" i="130"/>
  <c r="M27" i="130"/>
  <c r="M24" i="130"/>
  <c r="G24" i="130"/>
  <c r="G27" i="130"/>
  <c r="G34" i="130" s="1"/>
  <c r="F30" i="130"/>
  <c r="M31" i="130"/>
  <c r="D20" i="102"/>
  <c r="P20" i="102" s="1"/>
  <c r="D17" i="102"/>
  <c r="P17" i="102" s="1"/>
  <c r="E16" i="104"/>
  <c r="R36" i="102"/>
  <c r="X33" i="102"/>
  <c r="X36" i="102" s="1"/>
  <c r="D16" i="102"/>
  <c r="P16" i="102" s="1"/>
  <c r="E15" i="104"/>
  <c r="X25" i="102"/>
  <c r="F18" i="104"/>
  <c r="L35" i="102"/>
  <c r="I22" i="93"/>
  <c r="J39" i="11"/>
  <c r="J33" i="11"/>
  <c r="J21" i="11"/>
  <c r="J48" i="11"/>
  <c r="I50" i="11"/>
  <c r="J50" i="11" s="1"/>
  <c r="P19" i="102" l="1"/>
  <c r="J34" i="124"/>
  <c r="E22" i="104"/>
  <c r="O29" i="124"/>
  <c r="E13" i="104"/>
  <c r="N34" i="124"/>
  <c r="O29" i="111"/>
  <c r="E14" i="104"/>
  <c r="E30" i="104" s="1"/>
  <c r="F30" i="104" s="1"/>
  <c r="I34" i="111"/>
  <c r="D18" i="102"/>
  <c r="P18" i="102" s="1"/>
  <c r="I32" i="124"/>
  <c r="O32" i="111"/>
  <c r="O31" i="124"/>
  <c r="I24" i="124"/>
  <c r="M34" i="111"/>
  <c r="O31" i="111"/>
  <c r="E20" i="104"/>
  <c r="E31" i="104" s="1"/>
  <c r="F31" i="104" s="1"/>
  <c r="O24" i="111"/>
  <c r="D21" i="102"/>
  <c r="P21" i="102" s="1"/>
  <c r="N24" i="130"/>
  <c r="I30" i="130"/>
  <c r="O28" i="111"/>
  <c r="D22" i="102"/>
  <c r="P22" i="102" s="1"/>
  <c r="F34" i="130"/>
  <c r="I32" i="130"/>
  <c r="I30" i="124"/>
  <c r="I24" i="130"/>
  <c r="N29" i="130"/>
  <c r="N34" i="130" s="1"/>
  <c r="M34" i="130"/>
  <c r="O24" i="124"/>
  <c r="J34" i="130"/>
  <c r="J24" i="102"/>
  <c r="S24" i="102"/>
  <c r="Y24" i="102"/>
  <c r="F22" i="104"/>
  <c r="F21" i="104"/>
  <c r="F16" i="104"/>
  <c r="S20" i="102"/>
  <c r="Y20" i="102"/>
  <c r="D31" i="102"/>
  <c r="P31" i="102" s="1"/>
  <c r="S19" i="102"/>
  <c r="Y19" i="102"/>
  <c r="S12" i="102"/>
  <c r="Y12" i="102"/>
  <c r="D35" i="102"/>
  <c r="M24" i="102"/>
  <c r="E34" i="104"/>
  <c r="F34" i="104" s="1"/>
  <c r="F23" i="104"/>
  <c r="D29" i="102"/>
  <c r="P29" i="102" s="1"/>
  <c r="E28" i="104"/>
  <c r="F11" i="104"/>
  <c r="M35" i="102" l="1"/>
  <c r="P35" i="102"/>
  <c r="D33" i="102"/>
  <c r="P33" i="102" s="1"/>
  <c r="O34" i="124"/>
  <c r="I34" i="130"/>
  <c r="I34" i="124"/>
  <c r="O34" i="111"/>
  <c r="F20" i="104"/>
  <c r="E33" i="104"/>
  <c r="F33" i="104" s="1"/>
  <c r="Y35" i="102"/>
  <c r="J35" i="102"/>
  <c r="S35" i="102"/>
  <c r="D32" i="102"/>
  <c r="P32" i="102" s="1"/>
  <c r="S23" i="102"/>
  <c r="Y23" i="102"/>
  <c r="Y21" i="102"/>
  <c r="S21" i="102"/>
  <c r="F17" i="104"/>
  <c r="Y18" i="102"/>
  <c r="S18" i="102"/>
  <c r="D34" i="102"/>
  <c r="P34" i="102" s="1"/>
  <c r="S22" i="102"/>
  <c r="Y22" i="102"/>
  <c r="E32" i="104"/>
  <c r="F32" i="104" s="1"/>
  <c r="S17" i="102"/>
  <c r="Y17" i="102"/>
  <c r="D25" i="102"/>
  <c r="P25" i="102" s="1"/>
  <c r="F15" i="104"/>
  <c r="E24" i="104"/>
  <c r="F24" i="104" s="1"/>
  <c r="S16" i="102"/>
  <c r="Y16" i="102"/>
  <c r="S31" i="102"/>
  <c r="F14" i="104"/>
  <c r="S15" i="102"/>
  <c r="Y15" i="102"/>
  <c r="S14" i="102"/>
  <c r="Y14" i="102"/>
  <c r="Y29" i="102"/>
  <c r="S29" i="102"/>
  <c r="Y31" i="102"/>
  <c r="D30" i="102"/>
  <c r="P30" i="102" s="1"/>
  <c r="E29" i="104"/>
  <c r="F29" i="104" s="1"/>
  <c r="F13" i="104"/>
  <c r="F28" i="104"/>
  <c r="S33" i="102" l="1"/>
  <c r="Y33" i="102"/>
  <c r="S25" i="102"/>
  <c r="Y32" i="102"/>
  <c r="S32" i="102"/>
  <c r="Y34" i="102"/>
  <c r="S34" i="102"/>
  <c r="Y25" i="102"/>
  <c r="S30" i="102"/>
  <c r="E35" i="104"/>
  <c r="F35" i="104" s="1"/>
  <c r="Y30" i="102"/>
  <c r="D36" i="102"/>
  <c r="P36" i="102" s="1"/>
  <c r="H38" i="48"/>
  <c r="H39" i="48"/>
  <c r="I39" i="48" s="1"/>
  <c r="J39" i="48" s="1"/>
  <c r="H46" i="48"/>
  <c r="H34" i="48"/>
  <c r="I34" i="48" s="1"/>
  <c r="J34" i="48" s="1"/>
  <c r="H42" i="48"/>
  <c r="I42" i="48" s="1"/>
  <c r="J42" i="48" s="1"/>
  <c r="H26" i="48"/>
  <c r="I26" i="48" s="1"/>
  <c r="J26" i="48" s="1"/>
  <c r="H48" i="48"/>
  <c r="I48" i="48" s="1"/>
  <c r="J48" i="48" s="1"/>
  <c r="H49" i="48"/>
  <c r="I49" i="48" s="1"/>
  <c r="J49" i="48" s="1"/>
  <c r="H22" i="48"/>
  <c r="I22" i="48" s="1"/>
  <c r="J22" i="48" s="1"/>
  <c r="H21" i="48"/>
  <c r="H41" i="48"/>
  <c r="I41" i="48" s="1"/>
  <c r="J41" i="48" s="1"/>
  <c r="H25" i="48"/>
  <c r="I25" i="48" s="1"/>
  <c r="J25" i="48" s="1"/>
  <c r="H33" i="48"/>
  <c r="I33" i="48" s="1"/>
  <c r="J33" i="48" s="1"/>
  <c r="H30" i="48"/>
  <c r="S36" i="102" l="1"/>
  <c r="Y36" i="102"/>
  <c r="I21" i="48"/>
  <c r="H27" i="48"/>
  <c r="I46" i="48"/>
  <c r="H50" i="48"/>
  <c r="I38" i="48"/>
  <c r="H43" i="48"/>
  <c r="I30" i="48"/>
  <c r="H35" i="48"/>
  <c r="J46" i="48" l="1"/>
  <c r="I50" i="48"/>
  <c r="J30" i="48"/>
  <c r="I35" i="48"/>
  <c r="J38" i="48"/>
  <c r="I43" i="48"/>
  <c r="J21" i="48"/>
  <c r="I27" i="48"/>
  <c r="J43" i="48" l="1"/>
  <c r="J50" i="48"/>
  <c r="J27" i="48"/>
  <c r="J35" i="48"/>
  <c r="H18" i="48" l="1"/>
  <c r="I18" i="48" s="1"/>
  <c r="H13" i="48"/>
  <c r="H14" i="48"/>
  <c r="I14" i="48" s="1"/>
  <c r="J14" i="48" s="1"/>
  <c r="H15" i="48" l="1"/>
  <c r="I13" i="48"/>
  <c r="J18" i="48"/>
  <c r="I15" i="48" l="1"/>
  <c r="J13" i="48"/>
  <c r="J15" i="48" l="1"/>
  <c r="H10" i="48" l="1"/>
  <c r="H52" i="48" l="1"/>
  <c r="I10" i="48"/>
  <c r="J10" i="48" l="1"/>
  <c r="I52" i="48"/>
  <c r="J52" i="48" l="1"/>
  <c r="H34" i="60" l="1"/>
  <c r="H19" i="60"/>
  <c r="H29" i="60"/>
  <c r="H16" i="60"/>
  <c r="I16" i="60" s="1"/>
  <c r="H13" i="60"/>
  <c r="I13" i="60" s="1"/>
  <c r="H24" i="60"/>
  <c r="G31" i="103" l="1"/>
  <c r="H10" i="60"/>
  <c r="J16" i="60"/>
  <c r="H36" i="60"/>
  <c r="I34" i="60"/>
  <c r="H26" i="60"/>
  <c r="I24" i="60"/>
  <c r="J13" i="60"/>
  <c r="H31" i="60"/>
  <c r="I29" i="60"/>
  <c r="I19" i="60"/>
  <c r="H21" i="60"/>
  <c r="I26" i="60" l="1"/>
  <c r="J24" i="60"/>
  <c r="J19" i="60"/>
  <c r="I21" i="60"/>
  <c r="I36" i="60"/>
  <c r="J34" i="60"/>
  <c r="J29" i="60"/>
  <c r="I31" i="60"/>
  <c r="I10" i="60"/>
  <c r="H38" i="60"/>
  <c r="H31" i="103"/>
  <c r="I38" i="60" l="1"/>
  <c r="J38" i="60" s="1"/>
  <c r="J10" i="60"/>
  <c r="J36" i="60"/>
  <c r="J31" i="60"/>
  <c r="J21" i="60"/>
  <c r="J26" i="60"/>
  <c r="K15" i="24" l="1"/>
  <c r="M15" i="24" s="1"/>
  <c r="N15" i="24" s="1"/>
  <c r="K12" i="24"/>
  <c r="M12" i="24" s="1"/>
  <c r="N12" i="24" s="1"/>
  <c r="K16" i="24"/>
  <c r="M16" i="24" s="1"/>
  <c r="N16" i="24" s="1"/>
  <c r="K13" i="24"/>
  <c r="M13" i="24" s="1"/>
  <c r="N13" i="24" s="1"/>
  <c r="K14" i="24"/>
  <c r="M14" i="24" s="1"/>
  <c r="N14" i="24" s="1"/>
  <c r="O14" i="24" l="1"/>
  <c r="O13" i="24"/>
  <c r="O12" i="24"/>
  <c r="O16" i="24"/>
  <c r="O15" i="24"/>
  <c r="K11" i="24"/>
  <c r="M11" i="24" s="1"/>
  <c r="N11" i="24" s="1"/>
  <c r="O11" i="24" l="1"/>
  <c r="K10" i="24"/>
  <c r="M10" i="24" l="1"/>
  <c r="Y31" i="103"/>
  <c r="Z31" i="103" l="1"/>
  <c r="M17" i="24"/>
  <c r="N10" i="24"/>
  <c r="N17" i="24" l="1"/>
  <c r="O17" i="24" s="1"/>
  <c r="O10" i="24"/>
  <c r="E31" i="124" l="1"/>
  <c r="E31" i="130"/>
  <c r="G17" i="102"/>
  <c r="F33" i="102"/>
  <c r="G33" i="102" l="1"/>
  <c r="G22" i="102"/>
  <c r="E28" i="130" l="1"/>
  <c r="E29" i="130"/>
  <c r="F30" i="102"/>
  <c r="E28" i="124"/>
  <c r="G15" i="102"/>
  <c r="G14" i="102"/>
  <c r="E29" i="124"/>
  <c r="G20" i="102" l="1"/>
  <c r="F31" i="102"/>
  <c r="G30" i="102"/>
  <c r="G19" i="102"/>
  <c r="E32" i="130"/>
  <c r="G31" i="102" l="1"/>
  <c r="E32" i="124"/>
  <c r="G18" i="102"/>
  <c r="G16" i="102" l="1"/>
  <c r="G23" i="102"/>
  <c r="E30" i="124"/>
  <c r="F32" i="102"/>
  <c r="F34" i="102"/>
  <c r="E30" i="130"/>
  <c r="G32" i="102" l="1"/>
  <c r="G34" i="102"/>
  <c r="G21" i="102"/>
  <c r="G11" i="103" l="1"/>
  <c r="Y11" i="103"/>
  <c r="Y12" i="103" l="1"/>
  <c r="Z11" i="103"/>
  <c r="Z12" i="103" s="1"/>
  <c r="D11" i="117"/>
  <c r="M11" i="117" s="1"/>
  <c r="H11" i="103"/>
  <c r="H12" i="103" s="1"/>
  <c r="G12" i="103"/>
  <c r="N11" i="117" l="1"/>
  <c r="N12" i="117" s="1"/>
  <c r="M12" i="117"/>
  <c r="Y15" i="103"/>
  <c r="G15" i="103"/>
  <c r="G25" i="103" s="1"/>
  <c r="E11" i="117"/>
  <c r="E12" i="117" s="1"/>
  <c r="D12" i="117"/>
  <c r="G11" i="117"/>
  <c r="P11" i="117"/>
  <c r="J11" i="117"/>
  <c r="G13" i="102"/>
  <c r="E15" i="138" l="1"/>
  <c r="G15" i="138" s="1"/>
  <c r="E20" i="138"/>
  <c r="G20" i="138" s="1"/>
  <c r="D12" i="136"/>
  <c r="F12" i="136" s="1"/>
  <c r="M14" i="124" s="1"/>
  <c r="D26" i="136"/>
  <c r="F26" i="136" s="1"/>
  <c r="M19" i="124" s="1"/>
  <c r="E27" i="130"/>
  <c r="D11" i="136"/>
  <c r="F11" i="136" s="1"/>
  <c r="M13" i="124" s="1"/>
  <c r="D25" i="136"/>
  <c r="F25" i="136" s="1"/>
  <c r="M18" i="124" s="1"/>
  <c r="E18" i="138"/>
  <c r="G18" i="138" s="1"/>
  <c r="E13" i="138"/>
  <c r="G13" i="138" s="1"/>
  <c r="K11" i="117"/>
  <c r="K12" i="117" s="1"/>
  <c r="J12" i="117"/>
  <c r="D13" i="136"/>
  <c r="F13" i="136" s="1"/>
  <c r="M15" i="124" s="1"/>
  <c r="D27" i="136"/>
  <c r="F27" i="136" s="1"/>
  <c r="M20" i="124" s="1"/>
  <c r="D9" i="136"/>
  <c r="F9" i="136" s="1"/>
  <c r="Y20" i="103"/>
  <c r="D20" i="117" s="1"/>
  <c r="D10" i="136"/>
  <c r="F10" i="136" s="1"/>
  <c r="M12" i="124" s="1"/>
  <c r="M20" i="103"/>
  <c r="M25" i="103" s="1"/>
  <c r="P12" i="117"/>
  <c r="Q11" i="117"/>
  <c r="Q12" i="117" s="1"/>
  <c r="G32" i="103"/>
  <c r="H25" i="103"/>
  <c r="H32" i="103" s="1"/>
  <c r="H34" i="103" s="1"/>
  <c r="H35" i="103" s="1"/>
  <c r="H36" i="103" s="1"/>
  <c r="D14" i="136"/>
  <c r="F14" i="136" s="1"/>
  <c r="M16" i="124" s="1"/>
  <c r="D28" i="136"/>
  <c r="F28" i="136" s="1"/>
  <c r="M21" i="124" s="1"/>
  <c r="E14" i="138"/>
  <c r="G14" i="138" s="1"/>
  <c r="E19" i="138"/>
  <c r="G19" i="138" s="1"/>
  <c r="E12" i="138"/>
  <c r="G12" i="138" s="1"/>
  <c r="E17" i="138"/>
  <c r="G17" i="138" s="1"/>
  <c r="M17" i="124"/>
  <c r="M22" i="124"/>
  <c r="E10" i="138"/>
  <c r="G10" i="138" s="1"/>
  <c r="E9" i="138"/>
  <c r="E16" i="138"/>
  <c r="G16" i="138" s="1"/>
  <c r="E11" i="138"/>
  <c r="G11" i="138" s="1"/>
  <c r="H11" i="117"/>
  <c r="H12" i="117" s="1"/>
  <c r="G12" i="117"/>
  <c r="D15" i="117"/>
  <c r="M15" i="117" s="1"/>
  <c r="L21" i="102"/>
  <c r="M21" i="102" s="1"/>
  <c r="L13" i="102"/>
  <c r="M13" i="102" s="1"/>
  <c r="L23" i="102"/>
  <c r="M23" i="102" s="1"/>
  <c r="G20" i="117" l="1"/>
  <c r="M20" i="117"/>
  <c r="F40" i="136"/>
  <c r="L30" i="130"/>
  <c r="L17" i="102"/>
  <c r="M17" i="102" s="1"/>
  <c r="L12" i="102"/>
  <c r="L29" i="102" s="1"/>
  <c r="L19" i="102"/>
  <c r="M19" i="102" s="1"/>
  <c r="L20" i="102"/>
  <c r="M20" i="102" s="1"/>
  <c r="L22" i="102"/>
  <c r="M22" i="102" s="1"/>
  <c r="L29" i="130"/>
  <c r="L32" i="130"/>
  <c r="L14" i="102"/>
  <c r="M28" i="124"/>
  <c r="L31" i="130"/>
  <c r="L16" i="102"/>
  <c r="J15" i="117"/>
  <c r="G15" i="117"/>
  <c r="P15" i="117"/>
  <c r="E27" i="124"/>
  <c r="M32" i="103"/>
  <c r="N25" i="103"/>
  <c r="N32" i="103" s="1"/>
  <c r="N34" i="103" s="1"/>
  <c r="N35" i="103" s="1"/>
  <c r="N36" i="103" s="1"/>
  <c r="M29" i="124"/>
  <c r="L15" i="102"/>
  <c r="G9" i="138"/>
  <c r="J19" i="118"/>
  <c r="M19" i="118"/>
  <c r="D12" i="118"/>
  <c r="E12" i="118"/>
  <c r="M30" i="124"/>
  <c r="L18" i="102"/>
  <c r="L28" i="130"/>
  <c r="M32" i="124"/>
  <c r="M31" i="124"/>
  <c r="F29" i="102"/>
  <c r="G12" i="102"/>
  <c r="M11" i="124"/>
  <c r="M12" i="102" l="1"/>
  <c r="L33" i="102"/>
  <c r="M33" i="102" s="1"/>
  <c r="L25" i="102"/>
  <c r="M25" i="102" s="1"/>
  <c r="L30" i="102"/>
  <c r="M30" i="102" s="1"/>
  <c r="M14" i="102"/>
  <c r="I29" i="113"/>
  <c r="I33" i="113"/>
  <c r="K12" i="118"/>
  <c r="J12" i="118"/>
  <c r="I30" i="113"/>
  <c r="M24" i="124"/>
  <c r="M27" i="124"/>
  <c r="M34" i="124" s="1"/>
  <c r="M29" i="102"/>
  <c r="M18" i="102"/>
  <c r="L34" i="102"/>
  <c r="M34" i="102" s="1"/>
  <c r="M15" i="102"/>
  <c r="L31" i="102"/>
  <c r="M31" i="102" s="1"/>
  <c r="G29" i="102"/>
  <c r="L24" i="130"/>
  <c r="L27" i="130"/>
  <c r="L34" i="130" s="1"/>
  <c r="M12" i="118"/>
  <c r="N12" i="118"/>
  <c r="I32" i="113"/>
  <c r="H12" i="118"/>
  <c r="G12" i="118"/>
  <c r="G22" i="138"/>
  <c r="L32" i="102"/>
  <c r="M32" i="102" s="1"/>
  <c r="M16" i="102"/>
  <c r="I31" i="113" l="1"/>
  <c r="L36" i="102"/>
  <c r="M36" i="102" s="1"/>
  <c r="M15" i="118"/>
  <c r="J15" i="118"/>
  <c r="G15" i="118"/>
  <c r="I24" i="113" l="1"/>
  <c r="I28" i="113"/>
  <c r="G10" i="135" l="1"/>
  <c r="D10" i="137"/>
  <c r="F10" i="137" s="1"/>
  <c r="O12" i="130" s="1"/>
  <c r="D9" i="137"/>
  <c r="F9" i="137" s="1"/>
  <c r="E16" i="137"/>
  <c r="G16" i="137" s="1"/>
  <c r="E11" i="137"/>
  <c r="G11" i="137" s="1"/>
  <c r="I35" i="113"/>
  <c r="G26" i="135"/>
  <c r="D12" i="137"/>
  <c r="F12" i="137" s="1"/>
  <c r="D17" i="137"/>
  <c r="F17" i="137" s="1"/>
  <c r="O19" i="130" s="1"/>
  <c r="G12" i="135"/>
  <c r="D11" i="137"/>
  <c r="F11" i="137" s="1"/>
  <c r="G25" i="135"/>
  <c r="G11" i="135"/>
  <c r="D16" i="137"/>
  <c r="F16" i="137" s="1"/>
  <c r="O18" i="130" s="1"/>
  <c r="E18" i="137"/>
  <c r="G18" i="137" s="1"/>
  <c r="E13" i="137"/>
  <c r="G13" i="137" s="1"/>
  <c r="G27" i="135"/>
  <c r="D13" i="137"/>
  <c r="F13" i="137" s="1"/>
  <c r="G13" i="135"/>
  <c r="D18" i="137"/>
  <c r="F18" i="137" s="1"/>
  <c r="O20" i="130" s="1"/>
  <c r="E9" i="137"/>
  <c r="E10" i="137"/>
  <c r="G10" i="137" s="1"/>
  <c r="H10" i="137" s="1"/>
  <c r="E17" i="137"/>
  <c r="G17" i="137" s="1"/>
  <c r="E12" i="137"/>
  <c r="G12" i="137" s="1"/>
  <c r="H12" i="137" s="1"/>
  <c r="E20" i="137"/>
  <c r="G20" i="137" s="1"/>
  <c r="E15" i="137"/>
  <c r="G15" i="137" s="1"/>
  <c r="G14" i="135"/>
  <c r="G28" i="135"/>
  <c r="D14" i="137"/>
  <c r="F14" i="137" s="1"/>
  <c r="D19" i="137"/>
  <c r="F19" i="137" s="1"/>
  <c r="O21" i="130" s="1"/>
  <c r="E14" i="137"/>
  <c r="G14" i="137" s="1"/>
  <c r="E19" i="137"/>
  <c r="G19" i="137" s="1"/>
  <c r="D15" i="137"/>
  <c r="F15" i="137" s="1"/>
  <c r="D20" i="137"/>
  <c r="F20" i="137" s="1"/>
  <c r="O22" i="130" s="1"/>
  <c r="K32" i="130" l="1"/>
  <c r="O17" i="130"/>
  <c r="F21" i="115"/>
  <c r="H15" i="137"/>
  <c r="I10" i="137"/>
  <c r="K30" i="130"/>
  <c r="O15" i="130"/>
  <c r="F18" i="115"/>
  <c r="F19" i="115"/>
  <c r="F22" i="137"/>
  <c r="K31" i="130"/>
  <c r="O16" i="130"/>
  <c r="H20" i="137"/>
  <c r="M18" i="118"/>
  <c r="M24" i="118" s="1"/>
  <c r="G18" i="118"/>
  <c r="G9" i="137"/>
  <c r="K29" i="130"/>
  <c r="O14" i="130"/>
  <c r="F12" i="115"/>
  <c r="H19" i="137"/>
  <c r="I12" i="137"/>
  <c r="F20" i="115"/>
  <c r="H13" i="137"/>
  <c r="H11" i="137"/>
  <c r="F22" i="115"/>
  <c r="H14" i="137"/>
  <c r="H17" i="137"/>
  <c r="H18" i="137"/>
  <c r="K28" i="130"/>
  <c r="O13" i="130"/>
  <c r="H16" i="137"/>
  <c r="G19" i="117"/>
  <c r="G25" i="117" s="1"/>
  <c r="P19" i="117"/>
  <c r="G9" i="135"/>
  <c r="G40" i="135" s="1"/>
  <c r="H25" i="117" l="1"/>
  <c r="H32" i="117" s="1"/>
  <c r="H34" i="117" s="1"/>
  <c r="G32" i="117"/>
  <c r="G22" i="113"/>
  <c r="I20" i="137"/>
  <c r="J18" i="113"/>
  <c r="O32" i="130"/>
  <c r="I16" i="137"/>
  <c r="G18" i="113"/>
  <c r="G20" i="113"/>
  <c r="I18" i="137"/>
  <c r="I14" i="137"/>
  <c r="J20" i="113"/>
  <c r="G21" i="113"/>
  <c r="I19" i="137"/>
  <c r="O29" i="130"/>
  <c r="G14" i="113"/>
  <c r="G22" i="137"/>
  <c r="H9" i="137"/>
  <c r="O31" i="130"/>
  <c r="J19" i="113"/>
  <c r="O30" i="130"/>
  <c r="I15" i="137"/>
  <c r="K27" i="130"/>
  <c r="K34" i="130" s="1"/>
  <c r="K24" i="130"/>
  <c r="O11" i="130"/>
  <c r="O28" i="130"/>
  <c r="G19" i="113"/>
  <c r="I17" i="137"/>
  <c r="J22" i="113"/>
  <c r="I11" i="137"/>
  <c r="I13" i="137"/>
  <c r="J12" i="113"/>
  <c r="N24" i="118"/>
  <c r="N31" i="118" s="1"/>
  <c r="N33" i="118" s="1"/>
  <c r="M31" i="118"/>
  <c r="G12" i="113"/>
  <c r="J21" i="113"/>
  <c r="F30" i="113" l="1"/>
  <c r="M21" i="113"/>
  <c r="N21" i="113" s="1"/>
  <c r="F31" i="113"/>
  <c r="G15" i="113"/>
  <c r="D29" i="113"/>
  <c r="J13" i="113"/>
  <c r="F15" i="115"/>
  <c r="E31" i="115"/>
  <c r="F31" i="115" s="1"/>
  <c r="D32" i="113"/>
  <c r="J16" i="113"/>
  <c r="M12" i="113"/>
  <c r="N12" i="113" s="1"/>
  <c r="G17" i="113"/>
  <c r="F33" i="113"/>
  <c r="D31" i="113"/>
  <c r="J15" i="113"/>
  <c r="H22" i="137"/>
  <c r="I22" i="137" s="1"/>
  <c r="I9" i="137"/>
  <c r="E30" i="115"/>
  <c r="F30" i="115" s="1"/>
  <c r="F14" i="115"/>
  <c r="M20" i="113"/>
  <c r="N20" i="113" s="1"/>
  <c r="F29" i="113"/>
  <c r="G13" i="113"/>
  <c r="J18" i="118"/>
  <c r="J24" i="118" s="1"/>
  <c r="D24" i="118"/>
  <c r="D33" i="113"/>
  <c r="J17" i="113"/>
  <c r="F13" i="115"/>
  <c r="E29" i="115"/>
  <c r="F29" i="115" s="1"/>
  <c r="O27" i="130"/>
  <c r="E32" i="115"/>
  <c r="F32" i="115" s="1"/>
  <c r="F16" i="115"/>
  <c r="D30" i="113"/>
  <c r="J14" i="113"/>
  <c r="F32" i="113"/>
  <c r="G16" i="113"/>
  <c r="E33" i="115"/>
  <c r="F33" i="115" s="1"/>
  <c r="F17" i="115"/>
  <c r="G32" i="113" l="1"/>
  <c r="M22" i="113"/>
  <c r="N22" i="113" s="1"/>
  <c r="G29" i="113"/>
  <c r="J21" i="115"/>
  <c r="M14" i="113"/>
  <c r="M19" i="113"/>
  <c r="N19" i="113" s="1"/>
  <c r="J20" i="115"/>
  <c r="L20" i="115"/>
  <c r="N20" i="115" s="1"/>
  <c r="M15" i="113"/>
  <c r="M16" i="113"/>
  <c r="L30" i="113"/>
  <c r="J30" i="113"/>
  <c r="L22" i="115"/>
  <c r="N22" i="115" s="1"/>
  <c r="J22" i="115"/>
  <c r="M17" i="113"/>
  <c r="G11" i="113"/>
  <c r="F28" i="113"/>
  <c r="F24" i="113"/>
  <c r="L31" i="113"/>
  <c r="J31" i="113"/>
  <c r="L12" i="115"/>
  <c r="N12" i="115" s="1"/>
  <c r="J12" i="115"/>
  <c r="E28" i="115"/>
  <c r="F11" i="115"/>
  <c r="L33" i="113"/>
  <c r="J33" i="113"/>
  <c r="E24" i="118"/>
  <c r="E31" i="118" s="1"/>
  <c r="E33" i="118" s="1"/>
  <c r="D31" i="118"/>
  <c r="G33" i="113"/>
  <c r="M13" i="113"/>
  <c r="D28" i="113"/>
  <c r="J11" i="113"/>
  <c r="G30" i="113"/>
  <c r="J31" i="118"/>
  <c r="K24" i="118"/>
  <c r="K31" i="118" s="1"/>
  <c r="K33" i="118" s="1"/>
  <c r="M18" i="113"/>
  <c r="N18" i="113" s="1"/>
  <c r="L32" i="113"/>
  <c r="J32" i="113"/>
  <c r="L29" i="113"/>
  <c r="J29" i="113"/>
  <c r="G31" i="113"/>
  <c r="K34" i="118" l="1"/>
  <c r="K35" i="118" s="1"/>
  <c r="L21" i="115"/>
  <c r="N21" i="115" s="1"/>
  <c r="F35" i="113"/>
  <c r="G28" i="113"/>
  <c r="N17" i="113"/>
  <c r="M33" i="113"/>
  <c r="N33" i="113" s="1"/>
  <c r="I31" i="115"/>
  <c r="J15" i="115"/>
  <c r="L15" i="115"/>
  <c r="L14" i="115"/>
  <c r="I30" i="115"/>
  <c r="J14" i="115"/>
  <c r="I29" i="115"/>
  <c r="J13" i="115"/>
  <c r="L13" i="115"/>
  <c r="L16" i="115"/>
  <c r="I32" i="115"/>
  <c r="J16" i="115"/>
  <c r="L19" i="115"/>
  <c r="N19" i="115" s="1"/>
  <c r="J19" i="115"/>
  <c r="M11" i="113"/>
  <c r="M29" i="113"/>
  <c r="N29" i="113" s="1"/>
  <c r="N13" i="113"/>
  <c r="F28" i="115"/>
  <c r="M32" i="113"/>
  <c r="N32" i="113" s="1"/>
  <c r="N16" i="113"/>
  <c r="J18" i="115"/>
  <c r="L18" i="115"/>
  <c r="N18" i="115" s="1"/>
  <c r="L28" i="113"/>
  <c r="J28" i="113"/>
  <c r="N34" i="118"/>
  <c r="N35" i="118" s="1"/>
  <c r="L17" i="115"/>
  <c r="J17" i="115"/>
  <c r="I33" i="115"/>
  <c r="N15" i="113"/>
  <c r="M31" i="113"/>
  <c r="N31" i="113" s="1"/>
  <c r="N14" i="113"/>
  <c r="M30" i="113"/>
  <c r="N30" i="113" s="1"/>
  <c r="N17" i="115" l="1"/>
  <c r="J32" i="115"/>
  <c r="L32" i="115"/>
  <c r="N32" i="115" s="1"/>
  <c r="J29" i="115"/>
  <c r="L29" i="115"/>
  <c r="N29" i="115" s="1"/>
  <c r="L30" i="115"/>
  <c r="N30" i="115" s="1"/>
  <c r="J30" i="115"/>
  <c r="N15" i="115"/>
  <c r="M28" i="113"/>
  <c r="N11" i="113"/>
  <c r="N16" i="115"/>
  <c r="N14" i="115"/>
  <c r="I28" i="115"/>
  <c r="L11" i="115"/>
  <c r="J11" i="115"/>
  <c r="N13" i="115"/>
  <c r="L31" i="115"/>
  <c r="N31" i="115" s="1"/>
  <c r="J31" i="115"/>
  <c r="J33" i="115"/>
  <c r="L33" i="115"/>
  <c r="N33" i="115" s="1"/>
  <c r="N11" i="115" l="1"/>
  <c r="J28" i="115"/>
  <c r="L28" i="115"/>
  <c r="N28" i="113"/>
  <c r="N28" i="115" l="1"/>
  <c r="O23" i="130" l="1"/>
  <c r="E33" i="130"/>
  <c r="E34" i="130" s="1"/>
  <c r="E24" i="130"/>
  <c r="O33" i="130" l="1"/>
  <c r="O34" i="130" s="1"/>
  <c r="O24" i="130"/>
  <c r="G24" i="102"/>
  <c r="F35" i="102"/>
  <c r="F25" i="102"/>
  <c r="G25" i="102" s="1"/>
  <c r="E33" i="124"/>
  <c r="E34" i="124" s="1"/>
  <c r="P23" i="124"/>
  <c r="E24" i="124"/>
  <c r="G35" i="102" l="1"/>
  <c r="F36" i="102"/>
  <c r="G36" i="102" s="1"/>
  <c r="E34" i="115"/>
  <c r="F23" i="115"/>
  <c r="E24" i="115"/>
  <c r="F24" i="115" s="1"/>
  <c r="E23" i="114"/>
  <c r="P33" i="124"/>
  <c r="D23" i="112"/>
  <c r="D34" i="113"/>
  <c r="G23" i="113"/>
  <c r="J23" i="113"/>
  <c r="D24" i="113"/>
  <c r="V24" i="102"/>
  <c r="U35" i="102"/>
  <c r="AA24" i="102"/>
  <c r="AA35" i="102" s="1"/>
  <c r="O23" i="112" l="1"/>
  <c r="M23" i="112"/>
  <c r="F34" i="115"/>
  <c r="E35" i="115"/>
  <c r="F35" i="115" s="1"/>
  <c r="J24" i="113"/>
  <c r="G24" i="113"/>
  <c r="J34" i="113"/>
  <c r="L34" i="113"/>
  <c r="L35" i="113" s="1"/>
  <c r="G34" i="113"/>
  <c r="D35" i="113"/>
  <c r="F23" i="114"/>
  <c r="E34" i="114"/>
  <c r="I23" i="104"/>
  <c r="AB24" i="102"/>
  <c r="AB35" i="102" s="1"/>
  <c r="M23" i="113"/>
  <c r="L24" i="113"/>
  <c r="V35" i="102"/>
  <c r="D34" i="112"/>
  <c r="M34" i="112" s="1"/>
  <c r="G23" i="112"/>
  <c r="J23" i="112"/>
  <c r="J34" i="112" l="1"/>
  <c r="O34" i="112"/>
  <c r="G34" i="112"/>
  <c r="I34" i="115"/>
  <c r="L23" i="115"/>
  <c r="J23" i="115"/>
  <c r="I24" i="115"/>
  <c r="L23" i="104"/>
  <c r="I34" i="104"/>
  <c r="J23" i="104"/>
  <c r="J35" i="113"/>
  <c r="G35" i="113"/>
  <c r="M34" i="113"/>
  <c r="N23" i="113"/>
  <c r="M24" i="113"/>
  <c r="N24" i="113" s="1"/>
  <c r="P23" i="112"/>
  <c r="I23" i="114"/>
  <c r="F34" i="114"/>
  <c r="AC24" i="102"/>
  <c r="N23" i="115" l="1"/>
  <c r="N23" i="104"/>
  <c r="P34" i="112"/>
  <c r="Q23" i="112"/>
  <c r="L34" i="104"/>
  <c r="J34" i="104"/>
  <c r="L34" i="115"/>
  <c r="J34" i="115"/>
  <c r="I35" i="115"/>
  <c r="J24" i="115"/>
  <c r="L24" i="115"/>
  <c r="N24" i="115" s="1"/>
  <c r="AC35" i="102"/>
  <c r="L23" i="114"/>
  <c r="N23" i="114" s="1"/>
  <c r="J23" i="114"/>
  <c r="I34" i="114"/>
  <c r="N34" i="113"/>
  <c r="M35" i="113"/>
  <c r="N35" i="113" s="1"/>
  <c r="N34" i="115" l="1"/>
  <c r="L34" i="114"/>
  <c r="J34" i="114"/>
  <c r="N34" i="104"/>
  <c r="J35" i="115"/>
  <c r="L35" i="115"/>
  <c r="N35" i="115" s="1"/>
  <c r="Q34" i="112"/>
  <c r="N34" i="114" l="1"/>
  <c r="D25" i="135" l="1"/>
  <c r="F25" i="135" s="1"/>
  <c r="D11" i="135"/>
  <c r="F11" i="135" s="1"/>
  <c r="D28" i="135"/>
  <c r="F28" i="135" s="1"/>
  <c r="D14" i="135"/>
  <c r="F14" i="135" s="1"/>
  <c r="D13" i="135"/>
  <c r="F13" i="135" s="1"/>
  <c r="D27" i="135"/>
  <c r="F27" i="135" s="1"/>
  <c r="D9" i="135"/>
  <c r="F9" i="135" s="1"/>
  <c r="D10" i="135"/>
  <c r="F10" i="135" s="1"/>
  <c r="J19" i="103"/>
  <c r="J25" i="103" s="1"/>
  <c r="Y19" i="103"/>
  <c r="D12" i="135"/>
  <c r="F12" i="135" s="1"/>
  <c r="D26" i="135"/>
  <c r="F26" i="135" s="1"/>
  <c r="I15" i="102" l="1"/>
  <c r="U15" i="102" s="1"/>
  <c r="L21" i="124"/>
  <c r="P21" i="124" s="1"/>
  <c r="H28" i="135"/>
  <c r="D22" i="135"/>
  <c r="F22" i="135" s="1"/>
  <c r="H22" i="135" s="1"/>
  <c r="I22" i="135" s="1"/>
  <c r="L19" i="124"/>
  <c r="P19" i="124" s="1"/>
  <c r="H26" i="135"/>
  <c r="L12" i="124"/>
  <c r="P12" i="124" s="1"/>
  <c r="H10" i="135"/>
  <c r="I13" i="102"/>
  <c r="U13" i="102" s="1"/>
  <c r="L20" i="124"/>
  <c r="P20" i="124" s="1"/>
  <c r="H27" i="135"/>
  <c r="I21" i="102"/>
  <c r="U21" i="102" s="1"/>
  <c r="D36" i="135"/>
  <c r="F36" i="135" s="1"/>
  <c r="H36" i="135" s="1"/>
  <c r="I36" i="135" s="1"/>
  <c r="Y25" i="103"/>
  <c r="D19" i="117"/>
  <c r="M19" i="117" s="1"/>
  <c r="M25" i="117" s="1"/>
  <c r="K25" i="103"/>
  <c r="K32" i="103" s="1"/>
  <c r="K34" i="103" s="1"/>
  <c r="K35" i="103" s="1"/>
  <c r="K36" i="103" s="1"/>
  <c r="J32" i="103"/>
  <c r="L14" i="124"/>
  <c r="H12" i="135"/>
  <c r="L11" i="124"/>
  <c r="H9" i="135"/>
  <c r="L15" i="124"/>
  <c r="H13" i="135"/>
  <c r="I22" i="102"/>
  <c r="U22" i="102" s="1"/>
  <c r="L13" i="124"/>
  <c r="H11" i="135"/>
  <c r="I19" i="102"/>
  <c r="U19" i="102" s="1"/>
  <c r="AA19" i="102" s="1"/>
  <c r="I20" i="102"/>
  <c r="U20" i="102" s="1"/>
  <c r="I12" i="102"/>
  <c r="U12" i="102" s="1"/>
  <c r="AA12" i="102" s="1"/>
  <c r="I16" i="102"/>
  <c r="U16" i="102" s="1"/>
  <c r="L16" i="124"/>
  <c r="H14" i="135"/>
  <c r="I17" i="102"/>
  <c r="U17" i="102" s="1"/>
  <c r="L18" i="124"/>
  <c r="P18" i="124" s="1"/>
  <c r="H25" i="135"/>
  <c r="I14" i="102"/>
  <c r="U14" i="102" s="1"/>
  <c r="M32" i="117" l="1"/>
  <c r="N25" i="117"/>
  <c r="N32" i="117" s="1"/>
  <c r="N34" i="117" s="1"/>
  <c r="I25" i="135"/>
  <c r="F18" i="112"/>
  <c r="L27" i="124"/>
  <c r="P11" i="124"/>
  <c r="F20" i="112"/>
  <c r="I27" i="135"/>
  <c r="F12" i="112"/>
  <c r="I10" i="135"/>
  <c r="E21" i="114"/>
  <c r="F21" i="114" s="1"/>
  <c r="D21" i="112"/>
  <c r="J14" i="102"/>
  <c r="I30" i="102"/>
  <c r="E18" i="114"/>
  <c r="F18" i="114" s="1"/>
  <c r="D18" i="112"/>
  <c r="I14" i="135"/>
  <c r="F16" i="112"/>
  <c r="J20" i="102"/>
  <c r="I11" i="135"/>
  <c r="F13" i="112"/>
  <c r="F15" i="112"/>
  <c r="I13" i="135"/>
  <c r="E20" i="114"/>
  <c r="F20" i="114" s="1"/>
  <c r="D20" i="112"/>
  <c r="E12" i="114"/>
  <c r="F12" i="114" s="1"/>
  <c r="D12" i="112"/>
  <c r="I31" i="102"/>
  <c r="J15" i="102"/>
  <c r="I33" i="102"/>
  <c r="J17" i="102"/>
  <c r="P16" i="124"/>
  <c r="L31" i="124"/>
  <c r="J12" i="102"/>
  <c r="I29" i="102"/>
  <c r="P13" i="124"/>
  <c r="L28" i="124"/>
  <c r="L30" i="124"/>
  <c r="P15" i="124"/>
  <c r="F14" i="112"/>
  <c r="I12" i="135"/>
  <c r="J19" i="117"/>
  <c r="D25" i="117"/>
  <c r="J21" i="102"/>
  <c r="J13" i="102"/>
  <c r="I26" i="135"/>
  <c r="F19" i="112"/>
  <c r="J16" i="102"/>
  <c r="I32" i="102"/>
  <c r="J19" i="102"/>
  <c r="J22" i="102"/>
  <c r="I9" i="135"/>
  <c r="F11" i="112"/>
  <c r="L29" i="124"/>
  <c r="P14" i="124"/>
  <c r="Y32" i="103"/>
  <c r="Z25" i="103"/>
  <c r="Z32" i="103" s="1"/>
  <c r="Z34" i="103" s="1"/>
  <c r="Z35" i="103" s="1"/>
  <c r="Z36" i="103" s="1"/>
  <c r="E19" i="114"/>
  <c r="F19" i="114" s="1"/>
  <c r="D19" i="112"/>
  <c r="F21" i="112"/>
  <c r="G21" i="112" s="1"/>
  <c r="I28" i="135"/>
  <c r="M19" i="112" l="1"/>
  <c r="M12" i="112"/>
  <c r="F31" i="112"/>
  <c r="M20" i="112"/>
  <c r="M18" i="112"/>
  <c r="M21" i="112"/>
  <c r="G12" i="112"/>
  <c r="G19" i="112"/>
  <c r="AA14" i="102"/>
  <c r="AA30" i="102" s="1"/>
  <c r="V14" i="102"/>
  <c r="U30" i="102"/>
  <c r="V30" i="102" s="1"/>
  <c r="D35" i="135"/>
  <c r="F35" i="135" s="1"/>
  <c r="H35" i="135" s="1"/>
  <c r="I35" i="135" s="1"/>
  <c r="J32" i="102"/>
  <c r="F30" i="112"/>
  <c r="P28" i="124"/>
  <c r="E13" i="114"/>
  <c r="D13" i="112"/>
  <c r="J33" i="102"/>
  <c r="AA15" i="102"/>
  <c r="U31" i="102"/>
  <c r="V31" i="102" s="1"/>
  <c r="V15" i="102"/>
  <c r="J30" i="102"/>
  <c r="D33" i="135"/>
  <c r="F33" i="135" s="1"/>
  <c r="H33" i="135" s="1"/>
  <c r="I33" i="135" s="1"/>
  <c r="D32" i="135"/>
  <c r="F32" i="135" s="1"/>
  <c r="H32" i="135" s="1"/>
  <c r="I32" i="135" s="1"/>
  <c r="D17" i="135"/>
  <c r="F17" i="135" s="1"/>
  <c r="D19" i="135"/>
  <c r="F19" i="135" s="1"/>
  <c r="H19" i="135" s="1"/>
  <c r="I19" i="135" s="1"/>
  <c r="V22" i="102"/>
  <c r="AA22" i="102"/>
  <c r="V16" i="102"/>
  <c r="AA16" i="102"/>
  <c r="U32" i="102"/>
  <c r="V32" i="102" s="1"/>
  <c r="D32" i="117"/>
  <c r="E25" i="117"/>
  <c r="E32" i="117" s="1"/>
  <c r="E34" i="117" s="1"/>
  <c r="H35" i="117" s="1"/>
  <c r="H36" i="117" s="1"/>
  <c r="E15" i="114"/>
  <c r="P30" i="124"/>
  <c r="D15" i="112"/>
  <c r="J29" i="102"/>
  <c r="V17" i="102"/>
  <c r="AA17" i="102"/>
  <c r="U33" i="102"/>
  <c r="V33" i="102" s="1"/>
  <c r="V20" i="102"/>
  <c r="AA20" i="102"/>
  <c r="D21" i="135"/>
  <c r="F21" i="135" s="1"/>
  <c r="H21" i="135" s="1"/>
  <c r="I21" i="135" s="1"/>
  <c r="D34" i="135"/>
  <c r="F34" i="135" s="1"/>
  <c r="H34" i="135" s="1"/>
  <c r="I34" i="135" s="1"/>
  <c r="D20" i="135"/>
  <c r="F20" i="135" s="1"/>
  <c r="H20" i="135" s="1"/>
  <c r="I20" i="135" s="1"/>
  <c r="G20" i="112"/>
  <c r="G18" i="112"/>
  <c r="D14" i="112"/>
  <c r="E14" i="114"/>
  <c r="P29" i="124"/>
  <c r="V21" i="102"/>
  <c r="AA21" i="102"/>
  <c r="V12" i="102"/>
  <c r="U29" i="102"/>
  <c r="J31" i="102"/>
  <c r="F29" i="112"/>
  <c r="F32" i="112"/>
  <c r="E11" i="114"/>
  <c r="P27" i="124"/>
  <c r="D11" i="112"/>
  <c r="G23" i="134"/>
  <c r="K23" i="134" s="1"/>
  <c r="O23" i="134" s="1"/>
  <c r="G29" i="134"/>
  <c r="K29" i="134" s="1"/>
  <c r="O29" i="134" s="1"/>
  <c r="G21" i="134"/>
  <c r="K21" i="134" s="1"/>
  <c r="O21" i="134" s="1"/>
  <c r="G33" i="134"/>
  <c r="K33" i="134" s="1"/>
  <c r="O33" i="134" s="1"/>
  <c r="G22" i="134"/>
  <c r="K22" i="134" s="1"/>
  <c r="O22" i="134" s="1"/>
  <c r="G24" i="134"/>
  <c r="K24" i="134" s="1"/>
  <c r="O24" i="134" s="1"/>
  <c r="G11" i="134"/>
  <c r="K11" i="134" s="1"/>
  <c r="O11" i="134" s="1"/>
  <c r="G16" i="134"/>
  <c r="K16" i="134" s="1"/>
  <c r="O16" i="134" s="1"/>
  <c r="G34" i="134"/>
  <c r="K34" i="134" s="1"/>
  <c r="O34" i="134" s="1"/>
  <c r="G26" i="134"/>
  <c r="K26" i="134" s="1"/>
  <c r="O26" i="134" s="1"/>
  <c r="G35" i="134"/>
  <c r="K35" i="134" s="1"/>
  <c r="O35" i="134" s="1"/>
  <c r="G31" i="134"/>
  <c r="K31" i="134" s="1"/>
  <c r="O31" i="134" s="1"/>
  <c r="G10" i="134"/>
  <c r="K10" i="134" s="1"/>
  <c r="O10" i="134" s="1"/>
  <c r="G30" i="134"/>
  <c r="K30" i="134" s="1"/>
  <c r="O30" i="134" s="1"/>
  <c r="G28" i="134"/>
  <c r="K28" i="134" s="1"/>
  <c r="O28" i="134" s="1"/>
  <c r="G14" i="134"/>
  <c r="K14" i="134" s="1"/>
  <c r="O14" i="134" s="1"/>
  <c r="G32" i="134"/>
  <c r="K32" i="134" s="1"/>
  <c r="O32" i="134" s="1"/>
  <c r="G12" i="134"/>
  <c r="K12" i="134" s="1"/>
  <c r="O12" i="134" s="1"/>
  <c r="G25" i="134"/>
  <c r="K25" i="134" s="1"/>
  <c r="O25" i="134" s="1"/>
  <c r="G19" i="134"/>
  <c r="K19" i="134" s="1"/>
  <c r="O19" i="134" s="1"/>
  <c r="G15" i="134"/>
  <c r="K15" i="134" s="1"/>
  <c r="O15" i="134" s="1"/>
  <c r="G20" i="134"/>
  <c r="K20" i="134" s="1"/>
  <c r="O20" i="134" s="1"/>
  <c r="G27" i="134"/>
  <c r="K27" i="134" s="1"/>
  <c r="O27" i="134" s="1"/>
  <c r="G13" i="134"/>
  <c r="K13" i="134" s="1"/>
  <c r="O13" i="134" s="1"/>
  <c r="G17" i="134"/>
  <c r="K17" i="134" s="1"/>
  <c r="O17" i="134" s="1"/>
  <c r="G18" i="134"/>
  <c r="K18" i="134" s="1"/>
  <c r="O18" i="134" s="1"/>
  <c r="F28" i="112"/>
  <c r="V19" i="102"/>
  <c r="AA13" i="102"/>
  <c r="AA29" i="102" s="1"/>
  <c r="V13" i="102"/>
  <c r="E16" i="114"/>
  <c r="P31" i="124"/>
  <c r="D16" i="112"/>
  <c r="D31" i="135"/>
  <c r="F31" i="135" s="1"/>
  <c r="D18" i="135"/>
  <c r="F18" i="135" s="1"/>
  <c r="H18" i="135" s="1"/>
  <c r="I18" i="135" s="1"/>
  <c r="AA31" i="102" l="1"/>
  <c r="AA32" i="102"/>
  <c r="AA33" i="102"/>
  <c r="G13" i="112"/>
  <c r="M13" i="112"/>
  <c r="G16" i="112"/>
  <c r="M16" i="112"/>
  <c r="G11" i="112"/>
  <c r="M11" i="112"/>
  <c r="G14" i="112"/>
  <c r="M14" i="112"/>
  <c r="M15" i="112"/>
  <c r="N35" i="117"/>
  <c r="N36" i="117" s="1"/>
  <c r="AB16" i="102"/>
  <c r="I15" i="104"/>
  <c r="I12" i="104"/>
  <c r="AB13" i="102"/>
  <c r="AC13" i="102" s="1"/>
  <c r="I11" i="104"/>
  <c r="AB12" i="102"/>
  <c r="I19" i="104"/>
  <c r="AB20" i="102"/>
  <c r="AC20" i="102" s="1"/>
  <c r="AB17" i="102"/>
  <c r="I16" i="104"/>
  <c r="I18" i="102"/>
  <c r="U18" i="102" s="1"/>
  <c r="I13" i="104"/>
  <c r="AB14" i="102"/>
  <c r="E28" i="114"/>
  <c r="F11" i="114"/>
  <c r="V29" i="102"/>
  <c r="E31" i="114"/>
  <c r="F31" i="114" s="1"/>
  <c r="F15" i="114"/>
  <c r="H17" i="135"/>
  <c r="F23" i="135"/>
  <c r="E32" i="114"/>
  <c r="F32" i="114" s="1"/>
  <c r="F16" i="114"/>
  <c r="I18" i="104"/>
  <c r="AB19" i="102"/>
  <c r="AC19" i="102" s="1"/>
  <c r="D28" i="112"/>
  <c r="M28" i="112" s="1"/>
  <c r="F14" i="114"/>
  <c r="E30" i="114"/>
  <c r="F30" i="114" s="1"/>
  <c r="G15" i="112"/>
  <c r="D31" i="112"/>
  <c r="M31" i="112" s="1"/>
  <c r="AB22" i="102"/>
  <c r="AC22" i="102" s="1"/>
  <c r="I21" i="104"/>
  <c r="D29" i="112"/>
  <c r="M29" i="112" s="1"/>
  <c r="D32" i="112"/>
  <c r="M32" i="112" s="1"/>
  <c r="I23" i="102"/>
  <c r="U23" i="102" s="1"/>
  <c r="H31" i="135"/>
  <c r="F37" i="135"/>
  <c r="L22" i="124" s="1"/>
  <c r="P22" i="124" s="1"/>
  <c r="AB21" i="102"/>
  <c r="AC21" i="102" s="1"/>
  <c r="I20" i="104"/>
  <c r="D30" i="112"/>
  <c r="M30" i="112" s="1"/>
  <c r="AB15" i="102"/>
  <c r="I14" i="104"/>
  <c r="E29" i="114"/>
  <c r="F29" i="114" s="1"/>
  <c r="F13" i="114"/>
  <c r="AB29" i="102" l="1"/>
  <c r="D22" i="112"/>
  <c r="E22" i="114"/>
  <c r="F22" i="114" s="1"/>
  <c r="F28" i="114"/>
  <c r="J20" i="104"/>
  <c r="L20" i="104"/>
  <c r="N20" i="104" s="1"/>
  <c r="G32" i="112"/>
  <c r="L21" i="104"/>
  <c r="N21" i="104" s="1"/>
  <c r="J21" i="104"/>
  <c r="G28" i="112"/>
  <c r="J13" i="104"/>
  <c r="L13" i="104"/>
  <c r="J16" i="104"/>
  <c r="L16" i="104"/>
  <c r="I32" i="104"/>
  <c r="I28" i="104"/>
  <c r="L12" i="104"/>
  <c r="N12" i="104" s="1"/>
  <c r="J12" i="104"/>
  <c r="L14" i="104"/>
  <c r="J14" i="104"/>
  <c r="I30" i="104"/>
  <c r="AC15" i="102"/>
  <c r="AB31" i="102"/>
  <c r="AC31" i="102" s="1"/>
  <c r="I31" i="135"/>
  <c r="H37" i="135"/>
  <c r="G29" i="112"/>
  <c r="G31" i="112"/>
  <c r="I29" i="104"/>
  <c r="J18" i="104"/>
  <c r="L18" i="104"/>
  <c r="N18" i="104" s="1"/>
  <c r="I17" i="135"/>
  <c r="H23" i="135"/>
  <c r="AC14" i="102"/>
  <c r="AB30" i="102"/>
  <c r="AC30" i="102" s="1"/>
  <c r="J19" i="104"/>
  <c r="L19" i="104"/>
  <c r="N19" i="104" s="1"/>
  <c r="J23" i="102"/>
  <c r="G30" i="112"/>
  <c r="J18" i="102"/>
  <c r="I34" i="102"/>
  <c r="I25" i="102"/>
  <c r="J25" i="102" s="1"/>
  <c r="AC17" i="102"/>
  <c r="AB33" i="102"/>
  <c r="AC33" i="102" s="1"/>
  <c r="AC12" i="102"/>
  <c r="J15" i="104"/>
  <c r="L15" i="104"/>
  <c r="I31" i="104"/>
  <c r="L17" i="124"/>
  <c r="F40" i="135"/>
  <c r="L11" i="104"/>
  <c r="J11" i="104"/>
  <c r="AC16" i="102"/>
  <c r="AB32" i="102"/>
  <c r="AC32" i="102" s="1"/>
  <c r="M22" i="112" l="1"/>
  <c r="N11" i="104"/>
  <c r="N14" i="104"/>
  <c r="V18" i="102"/>
  <c r="AA18" i="102"/>
  <c r="U25" i="102"/>
  <c r="V25" i="102" s="1"/>
  <c r="J29" i="104"/>
  <c r="L29" i="104"/>
  <c r="N29" i="104" s="1"/>
  <c r="J32" i="104"/>
  <c r="L32" i="104"/>
  <c r="N32" i="104" s="1"/>
  <c r="J31" i="104"/>
  <c r="L31" i="104"/>
  <c r="N31" i="104" s="1"/>
  <c r="AC29" i="102"/>
  <c r="F22" i="112"/>
  <c r="G22" i="112" s="1"/>
  <c r="I37" i="135"/>
  <c r="N16" i="104"/>
  <c r="F17" i="112"/>
  <c r="I23" i="135"/>
  <c r="H40" i="135"/>
  <c r="I40" i="135" s="1"/>
  <c r="N15" i="104"/>
  <c r="J34" i="102"/>
  <c r="I36" i="102"/>
  <c r="J36" i="102" s="1"/>
  <c r="U34" i="102"/>
  <c r="AA23" i="102"/>
  <c r="V23" i="102"/>
  <c r="L30" i="104"/>
  <c r="N30" i="104" s="1"/>
  <c r="J30" i="104"/>
  <c r="P17" i="124"/>
  <c r="L32" i="124"/>
  <c r="L34" i="124" s="1"/>
  <c r="L24" i="124"/>
  <c r="J28" i="104"/>
  <c r="L28" i="104"/>
  <c r="N28" i="104" s="1"/>
  <c r="N13" i="104"/>
  <c r="AA34" i="102" l="1"/>
  <c r="AA36" i="102" s="1"/>
  <c r="AB23" i="102"/>
  <c r="AC23" i="102" s="1"/>
  <c r="I22" i="104"/>
  <c r="F33" i="112"/>
  <c r="F24" i="112"/>
  <c r="V34" i="102"/>
  <c r="U36" i="102"/>
  <c r="V36" i="102" s="1"/>
  <c r="AB18" i="102"/>
  <c r="I17" i="104"/>
  <c r="AA25" i="102"/>
  <c r="E17" i="114"/>
  <c r="D17" i="112"/>
  <c r="P32" i="124"/>
  <c r="P34" i="124" s="1"/>
  <c r="P24" i="124"/>
  <c r="M17" i="112" l="1"/>
  <c r="F35" i="112"/>
  <c r="L17" i="104"/>
  <c r="J17" i="104"/>
  <c r="I33" i="104"/>
  <c r="I24" i="104"/>
  <c r="G17" i="112"/>
  <c r="D33" i="112"/>
  <c r="D24" i="112"/>
  <c r="M24" i="112" s="1"/>
  <c r="AC18" i="102"/>
  <c r="AB34" i="102"/>
  <c r="AB25" i="102"/>
  <c r="E33" i="114"/>
  <c r="F17" i="114"/>
  <c r="E24" i="114"/>
  <c r="F24" i="114" s="1"/>
  <c r="J22" i="104"/>
  <c r="L22" i="104"/>
  <c r="N22" i="104" s="1"/>
  <c r="G33" i="112" l="1"/>
  <c r="M33" i="112"/>
  <c r="F33" i="114"/>
  <c r="E35" i="114"/>
  <c r="F35" i="114" s="1"/>
  <c r="L24" i="104"/>
  <c r="J24" i="104"/>
  <c r="AC25" i="102"/>
  <c r="L33" i="104"/>
  <c r="J33" i="104"/>
  <c r="I35" i="104"/>
  <c r="N17" i="104"/>
  <c r="AC34" i="102"/>
  <c r="AB36" i="102"/>
  <c r="AC36" i="102" s="1"/>
  <c r="D35" i="112"/>
  <c r="G24" i="112"/>
  <c r="G35" i="112" l="1"/>
  <c r="M35" i="112"/>
  <c r="N24" i="104"/>
  <c r="L35" i="104"/>
  <c r="N35" i="104" s="1"/>
  <c r="J35" i="104"/>
  <c r="N33" i="104"/>
  <c r="D9" i="138" l="1"/>
  <c r="F9" i="138" s="1"/>
  <c r="D10" i="138"/>
  <c r="F10" i="138" s="1"/>
  <c r="H10" i="138" s="1"/>
  <c r="I10" i="138" s="1"/>
  <c r="G10" i="136"/>
  <c r="H10" i="136" s="1"/>
  <c r="G13" i="136"/>
  <c r="H13" i="136" s="1"/>
  <c r="D18" i="138"/>
  <c r="F18" i="138" s="1"/>
  <c r="H18" i="138" s="1"/>
  <c r="I18" i="138" s="1"/>
  <c r="D13" i="138"/>
  <c r="F13" i="138" s="1"/>
  <c r="H13" i="138" s="1"/>
  <c r="I13" i="138" s="1"/>
  <c r="G27" i="136"/>
  <c r="H27" i="136" s="1"/>
  <c r="D17" i="138"/>
  <c r="F17" i="138" s="1"/>
  <c r="H17" i="138" s="1"/>
  <c r="I17" i="138" s="1"/>
  <c r="G26" i="136"/>
  <c r="H26" i="136" s="1"/>
  <c r="G12" i="136"/>
  <c r="H12" i="136" s="1"/>
  <c r="D12" i="138"/>
  <c r="F12" i="138" s="1"/>
  <c r="H12" i="138" s="1"/>
  <c r="I12" i="138" s="1"/>
  <c r="D15" i="138"/>
  <c r="F15" i="138" s="1"/>
  <c r="H15" i="138" s="1"/>
  <c r="I15" i="138" s="1"/>
  <c r="D20" i="138"/>
  <c r="F20" i="138" s="1"/>
  <c r="H20" i="138" s="1"/>
  <c r="I20" i="138" s="1"/>
  <c r="G11" i="136"/>
  <c r="H11" i="136" s="1"/>
  <c r="G25" i="136"/>
  <c r="H25" i="136" s="1"/>
  <c r="D16" i="138"/>
  <c r="F16" i="138" s="1"/>
  <c r="H16" i="138" s="1"/>
  <c r="I16" i="138" s="1"/>
  <c r="D11" i="138"/>
  <c r="F11" i="138" s="1"/>
  <c r="H11" i="138" s="1"/>
  <c r="I11" i="138" s="1"/>
  <c r="D19" i="138"/>
  <c r="F19" i="138" s="1"/>
  <c r="H19" i="138" s="1"/>
  <c r="I19" i="138" s="1"/>
  <c r="G28" i="136"/>
  <c r="H28" i="136" s="1"/>
  <c r="G14" i="136"/>
  <c r="H14" i="136" s="1"/>
  <c r="D14" i="138"/>
  <c r="F14" i="138" s="1"/>
  <c r="H14" i="138" s="1"/>
  <c r="I14" i="138" s="1"/>
  <c r="I12" i="136" l="1"/>
  <c r="I14" i="112"/>
  <c r="O14" i="112" s="1"/>
  <c r="I14" i="136"/>
  <c r="I16" i="112"/>
  <c r="O16" i="112" s="1"/>
  <c r="I28" i="136"/>
  <c r="I21" i="112"/>
  <c r="O21" i="112" s="1"/>
  <c r="I20" i="112"/>
  <c r="O20" i="112" s="1"/>
  <c r="I27" i="136"/>
  <c r="I10" i="136"/>
  <c r="I12" i="112"/>
  <c r="O12" i="112" s="1"/>
  <c r="I25" i="136"/>
  <c r="I18" i="112"/>
  <c r="O18" i="112" s="1"/>
  <c r="I19" i="112"/>
  <c r="O19" i="112" s="1"/>
  <c r="I26" i="136"/>
  <c r="P20" i="117"/>
  <c r="G9" i="136"/>
  <c r="J20" i="117"/>
  <c r="J25" i="117" s="1"/>
  <c r="I11" i="136"/>
  <c r="I13" i="112"/>
  <c r="O13" i="112" s="1"/>
  <c r="I13" i="136"/>
  <c r="I15" i="112"/>
  <c r="O15" i="112" s="1"/>
  <c r="F22" i="138"/>
  <c r="H9" i="138"/>
  <c r="J18" i="112" l="1"/>
  <c r="I32" i="112"/>
  <c r="J16" i="112"/>
  <c r="I9" i="138"/>
  <c r="H22" i="138"/>
  <c r="I22" i="138" s="1"/>
  <c r="J19" i="112"/>
  <c r="I31" i="112"/>
  <c r="J20" i="112"/>
  <c r="G22" i="136"/>
  <c r="H22" i="136" s="1"/>
  <c r="I22" i="136" s="1"/>
  <c r="K25" i="117"/>
  <c r="K32" i="117" s="1"/>
  <c r="K34" i="117" s="1"/>
  <c r="K35" i="117" s="1"/>
  <c r="K36" i="117" s="1"/>
  <c r="J32" i="117"/>
  <c r="G36" i="136"/>
  <c r="H36" i="136" s="1"/>
  <c r="I36" i="136" s="1"/>
  <c r="H9" i="136"/>
  <c r="J12" i="112"/>
  <c r="J21" i="112"/>
  <c r="I30" i="112"/>
  <c r="J14" i="112"/>
  <c r="J15" i="112"/>
  <c r="I29" i="112"/>
  <c r="J13" i="112"/>
  <c r="G19" i="118"/>
  <c r="G24" i="118" s="1"/>
  <c r="P25" i="117"/>
  <c r="H24" i="118" l="1"/>
  <c r="H31" i="118" s="1"/>
  <c r="H33" i="118" s="1"/>
  <c r="H34" i="118" s="1"/>
  <c r="H35" i="118" s="1"/>
  <c r="G31" i="118"/>
  <c r="Q25" i="117"/>
  <c r="Q32" i="117" s="1"/>
  <c r="Q34" i="117" s="1"/>
  <c r="Q35" i="117" s="1"/>
  <c r="Q36" i="117" s="1"/>
  <c r="P32" i="117"/>
  <c r="P12" i="112"/>
  <c r="Q12" i="112" s="1"/>
  <c r="I12" i="114"/>
  <c r="J32" i="112"/>
  <c r="O32" i="112"/>
  <c r="I15" i="114"/>
  <c r="P15" i="112"/>
  <c r="J30" i="112"/>
  <c r="O30" i="112"/>
  <c r="J31" i="112"/>
  <c r="O31" i="112"/>
  <c r="I18" i="114"/>
  <c r="P18" i="112"/>
  <c r="Q18" i="112" s="1"/>
  <c r="P14" i="112"/>
  <c r="I14" i="114"/>
  <c r="I20" i="114"/>
  <c r="P20" i="112"/>
  <c r="Q20" i="112" s="1"/>
  <c r="J29" i="112"/>
  <c r="O29" i="112"/>
  <c r="I13" i="114"/>
  <c r="P13" i="112"/>
  <c r="I21" i="114"/>
  <c r="P21" i="112"/>
  <c r="Q21" i="112" s="1"/>
  <c r="I11" i="112"/>
  <c r="O11" i="112" s="1"/>
  <c r="I9" i="136"/>
  <c r="I19" i="114"/>
  <c r="P19" i="112"/>
  <c r="Q19" i="112" s="1"/>
  <c r="I16" i="114"/>
  <c r="P16" i="112"/>
  <c r="I32" i="114" l="1"/>
  <c r="J16" i="114"/>
  <c r="L16" i="114"/>
  <c r="G17" i="136"/>
  <c r="I30" i="114"/>
  <c r="J14" i="114"/>
  <c r="L14" i="114"/>
  <c r="P31" i="112"/>
  <c r="Q31" i="112" s="1"/>
  <c r="Q15" i="112"/>
  <c r="J12" i="114"/>
  <c r="L12" i="114"/>
  <c r="N12" i="114" s="1"/>
  <c r="G18" i="136"/>
  <c r="H18" i="136" s="1"/>
  <c r="I18" i="136" s="1"/>
  <c r="G34" i="136"/>
  <c r="H34" i="136" s="1"/>
  <c r="I34" i="136" s="1"/>
  <c r="P30" i="112"/>
  <c r="Q30" i="112" s="1"/>
  <c r="Q14" i="112"/>
  <c r="J15" i="114"/>
  <c r="L15" i="114"/>
  <c r="N15" i="114" s="1"/>
  <c r="I31" i="114"/>
  <c r="G31" i="136"/>
  <c r="G35" i="136"/>
  <c r="H35" i="136" s="1"/>
  <c r="I35" i="136" s="1"/>
  <c r="G19" i="136"/>
  <c r="H19" i="136" s="1"/>
  <c r="I19" i="136" s="1"/>
  <c r="H13" i="134"/>
  <c r="L13" i="134" s="1"/>
  <c r="P13" i="134" s="1"/>
  <c r="H15" i="134"/>
  <c r="L15" i="134" s="1"/>
  <c r="P15" i="134" s="1"/>
  <c r="H32" i="134"/>
  <c r="L32" i="134" s="1"/>
  <c r="P32" i="134" s="1"/>
  <c r="H24" i="134"/>
  <c r="L24" i="134" s="1"/>
  <c r="P24" i="134" s="1"/>
  <c r="H22" i="134"/>
  <c r="L22" i="134" s="1"/>
  <c r="P22" i="134" s="1"/>
  <c r="H10" i="134"/>
  <c r="L10" i="134" s="1"/>
  <c r="P10" i="134" s="1"/>
  <c r="H34" i="134"/>
  <c r="L34" i="134" s="1"/>
  <c r="P34" i="134" s="1"/>
  <c r="H28" i="134"/>
  <c r="L28" i="134" s="1"/>
  <c r="P28" i="134" s="1"/>
  <c r="H26" i="134"/>
  <c r="L26" i="134" s="1"/>
  <c r="P26" i="134" s="1"/>
  <c r="H31" i="134"/>
  <c r="L31" i="134" s="1"/>
  <c r="P31" i="134" s="1"/>
  <c r="H35" i="134"/>
  <c r="L35" i="134" s="1"/>
  <c r="P35" i="134" s="1"/>
  <c r="H16" i="134"/>
  <c r="L16" i="134" s="1"/>
  <c r="P16" i="134" s="1"/>
  <c r="H27" i="134"/>
  <c r="L27" i="134" s="1"/>
  <c r="P27" i="134" s="1"/>
  <c r="H12" i="134"/>
  <c r="L12" i="134" s="1"/>
  <c r="P12" i="134" s="1"/>
  <c r="H30" i="134"/>
  <c r="L30" i="134" s="1"/>
  <c r="P30" i="134" s="1"/>
  <c r="H19" i="134"/>
  <c r="L19" i="134" s="1"/>
  <c r="P19" i="134" s="1"/>
  <c r="H23" i="134"/>
  <c r="L23" i="134" s="1"/>
  <c r="P23" i="134" s="1"/>
  <c r="H21" i="134"/>
  <c r="L21" i="134" s="1"/>
  <c r="P21" i="134" s="1"/>
  <c r="H33" i="134"/>
  <c r="L33" i="134" s="1"/>
  <c r="P33" i="134" s="1"/>
  <c r="H18" i="134"/>
  <c r="L18" i="134" s="1"/>
  <c r="P18" i="134" s="1"/>
  <c r="H29" i="134"/>
  <c r="L29" i="134" s="1"/>
  <c r="P29" i="134" s="1"/>
  <c r="H14" i="134"/>
  <c r="L14" i="134" s="1"/>
  <c r="P14" i="134" s="1"/>
  <c r="H20" i="134"/>
  <c r="L20" i="134" s="1"/>
  <c r="P20" i="134" s="1"/>
  <c r="H17" i="134"/>
  <c r="L17" i="134" s="1"/>
  <c r="P17" i="134" s="1"/>
  <c r="H11" i="134"/>
  <c r="L11" i="134" s="1"/>
  <c r="P11" i="134" s="1"/>
  <c r="H25" i="134"/>
  <c r="L25" i="134" s="1"/>
  <c r="P25" i="134" s="1"/>
  <c r="I28" i="112"/>
  <c r="J11" i="112"/>
  <c r="P29" i="112"/>
  <c r="Q29" i="112" s="1"/>
  <c r="Q13" i="112"/>
  <c r="L13" i="114"/>
  <c r="I29" i="114"/>
  <c r="J13" i="114"/>
  <c r="J19" i="114"/>
  <c r="L19" i="114"/>
  <c r="N19" i="114" s="1"/>
  <c r="G21" i="136"/>
  <c r="H21" i="136" s="1"/>
  <c r="I21" i="136" s="1"/>
  <c r="Q16" i="112"/>
  <c r="P32" i="112"/>
  <c r="Q32" i="112" s="1"/>
  <c r="J21" i="114"/>
  <c r="L21" i="114"/>
  <c r="N21" i="114" s="1"/>
  <c r="G32" i="136"/>
  <c r="H32" i="136" s="1"/>
  <c r="I32" i="136" s="1"/>
  <c r="G33" i="136"/>
  <c r="H33" i="136" s="1"/>
  <c r="I33" i="136" s="1"/>
  <c r="G20" i="136"/>
  <c r="H20" i="136" s="1"/>
  <c r="I20" i="136" s="1"/>
  <c r="L20" i="114"/>
  <c r="N20" i="114" s="1"/>
  <c r="J20" i="114"/>
  <c r="L18" i="114"/>
  <c r="N18" i="114" s="1"/>
  <c r="J18" i="114"/>
  <c r="J28" i="112" l="1"/>
  <c r="O28" i="112"/>
  <c r="J29" i="114"/>
  <c r="L29" i="114"/>
  <c r="N29" i="114" s="1"/>
  <c r="P11" i="112"/>
  <c r="I11" i="114"/>
  <c r="J30" i="114"/>
  <c r="L30" i="114"/>
  <c r="N30" i="114" s="1"/>
  <c r="N16" i="114"/>
  <c r="N13" i="114"/>
  <c r="J31" i="114"/>
  <c r="L31" i="114"/>
  <c r="N31" i="114" s="1"/>
  <c r="H17" i="136"/>
  <c r="G23" i="136"/>
  <c r="H31" i="136"/>
  <c r="G37" i="136"/>
  <c r="N14" i="114"/>
  <c r="L32" i="114"/>
  <c r="N32" i="114" s="1"/>
  <c r="J32" i="114"/>
  <c r="P28" i="112" l="1"/>
  <c r="Q11" i="112"/>
  <c r="I31" i="136"/>
  <c r="H37" i="136"/>
  <c r="G40" i="136"/>
  <c r="I17" i="136"/>
  <c r="H23" i="136"/>
  <c r="I28" i="114"/>
  <c r="L11" i="114"/>
  <c r="J11" i="114"/>
  <c r="N11" i="114" l="1"/>
  <c r="I17" i="112"/>
  <c r="O17" i="112" s="1"/>
  <c r="I23" i="136"/>
  <c r="H40" i="136"/>
  <c r="I40" i="136" s="1"/>
  <c r="J28" i="114"/>
  <c r="L28" i="114"/>
  <c r="I37" i="136"/>
  <c r="I22" i="112"/>
  <c r="O22" i="112" s="1"/>
  <c r="Q28" i="112"/>
  <c r="N28" i="114" l="1"/>
  <c r="J22" i="112"/>
  <c r="I33" i="112"/>
  <c r="J17" i="112"/>
  <c r="I24" i="112"/>
  <c r="J24" i="112" s="1"/>
  <c r="J33" i="112" l="1"/>
  <c r="O33" i="112"/>
  <c r="O35" i="112" s="1"/>
  <c r="I35" i="112"/>
  <c r="J35" i="112" s="1"/>
  <c r="I22" i="114"/>
  <c r="P22" i="112"/>
  <c r="Q22" i="112" s="1"/>
  <c r="P17" i="112"/>
  <c r="I17" i="114"/>
  <c r="O24" i="112"/>
  <c r="L22" i="114" l="1"/>
  <c r="N22" i="114" s="1"/>
  <c r="J22" i="114"/>
  <c r="J17" i="114"/>
  <c r="I33" i="114"/>
  <c r="L17" i="114"/>
  <c r="I24" i="114"/>
  <c r="Q17" i="112"/>
  <c r="P33" i="112"/>
  <c r="P24" i="112"/>
  <c r="L33" i="114" l="1"/>
  <c r="J33" i="114"/>
  <c r="I35" i="114"/>
  <c r="J24" i="114"/>
  <c r="L24" i="114"/>
  <c r="Q33" i="112"/>
  <c r="P35" i="112"/>
  <c r="Q35" i="112" s="1"/>
  <c r="Q24" i="112"/>
  <c r="N17" i="114"/>
  <c r="N24" i="114" l="1"/>
  <c r="N33" i="114"/>
  <c r="L35" i="114"/>
  <c r="N35" i="114" s="1"/>
  <c r="J35" i="114"/>
</calcChain>
</file>

<file path=xl/sharedStrings.xml><?xml version="1.0" encoding="utf-8"?>
<sst xmlns="http://schemas.openxmlformats.org/spreadsheetml/2006/main" count="1935" uniqueCount="401">
  <si>
    <t>Puget Sound Energy</t>
  </si>
  <si>
    <t>Proposed</t>
  </si>
  <si>
    <t>Revenue</t>
  </si>
  <si>
    <t>Volume (Therms)</t>
  </si>
  <si>
    <t>Rate Class</t>
  </si>
  <si>
    <t>Current</t>
  </si>
  <si>
    <t>Total</t>
  </si>
  <si>
    <t>Residential</t>
  </si>
  <si>
    <t>Commercial &amp; Industrial</t>
  </si>
  <si>
    <t>Large Volume</t>
  </si>
  <si>
    <t>Interruptible</t>
  </si>
  <si>
    <t>Limited Interruptible</t>
  </si>
  <si>
    <t>Non-exclusive Interruptible</t>
  </si>
  <si>
    <t>Contracts</t>
  </si>
  <si>
    <t>Subtotal</t>
  </si>
  <si>
    <t>Forecasted</t>
  </si>
  <si>
    <t>Sched 140</t>
  </si>
  <si>
    <t>Rate</t>
  </si>
  <si>
    <t>Sched 101</t>
  </si>
  <si>
    <t>Sched 106</t>
  </si>
  <si>
    <t>Percent</t>
  </si>
  <si>
    <t>Schedule</t>
  </si>
  <si>
    <t>Rates</t>
  </si>
  <si>
    <t>Current Rates</t>
  </si>
  <si>
    <t>Change</t>
  </si>
  <si>
    <t>A</t>
  </si>
  <si>
    <t>B</t>
  </si>
  <si>
    <t>C</t>
  </si>
  <si>
    <t>D</t>
  </si>
  <si>
    <t>J</t>
  </si>
  <si>
    <t>23,53</t>
  </si>
  <si>
    <t>Residential Gas Lights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</si>
  <si>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</si>
  <si>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</si>
  <si>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</si>
  <si>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</si>
  <si>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</si>
  <si>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</si>
  <si>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</si>
  <si>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</si>
  <si>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</si>
  <si>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</si>
  <si>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</si>
  <si>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</si>
  <si>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</si>
  <si>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</si>
  <si>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</si>
  <si>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</si>
  <si>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Check</t>
  </si>
  <si>
    <t>Sched 120</t>
  </si>
  <si>
    <t>K</t>
  </si>
  <si>
    <t>Sch 142</t>
  </si>
  <si>
    <t>Decoupling</t>
  </si>
  <si>
    <t>23/53</t>
  </si>
  <si>
    <t>Commercial &amp; industrial</t>
  </si>
  <si>
    <t>Large volume</t>
  </si>
  <si>
    <t>Demand Charge</t>
  </si>
  <si>
    <t>Delivery Charge:</t>
  </si>
  <si>
    <t>901 to 5,000 therms</t>
  </si>
  <si>
    <t>Over 5,000 therms</t>
  </si>
  <si>
    <t>Large volume - Trans.</t>
  </si>
  <si>
    <t>Procurement Charge</t>
  </si>
  <si>
    <t>First 25,000 therms</t>
  </si>
  <si>
    <t>Next 25,000 therms</t>
  </si>
  <si>
    <t>Over 50,000 therms</t>
  </si>
  <si>
    <t>First 1,000 therms</t>
  </si>
  <si>
    <t>Over 1,000 therms</t>
  </si>
  <si>
    <t>Limited Interruptible - Trans.</t>
  </si>
  <si>
    <t>Next 50,000 therms</t>
  </si>
  <si>
    <t>Next 100,000 therms</t>
  </si>
  <si>
    <t>Next 300,000 therms</t>
  </si>
  <si>
    <t>Over 500,000 therms</t>
  </si>
  <si>
    <t>Firm Sales</t>
  </si>
  <si>
    <t>Interruptible Sales</t>
  </si>
  <si>
    <t>Total Sales</t>
  </si>
  <si>
    <t>Transport</t>
  </si>
  <si>
    <t>check</t>
  </si>
  <si>
    <t>Sched 149</t>
  </si>
  <si>
    <t>H</t>
  </si>
  <si>
    <t>L</t>
  </si>
  <si>
    <t>Sched 129</t>
  </si>
  <si>
    <t>Customer Class</t>
  </si>
  <si>
    <t>Transportation</t>
  </si>
  <si>
    <t>Schedule Number</t>
  </si>
  <si>
    <t>First 900 therms</t>
  </si>
  <si>
    <t>Next 4,100 therms</t>
  </si>
  <si>
    <t>All over 5,000 therms</t>
  </si>
  <si>
    <t>All over 50,000 therms</t>
  </si>
  <si>
    <t>All over 1,000 therms</t>
  </si>
  <si>
    <t>All over 500,000 therms</t>
  </si>
  <si>
    <t xml:space="preserve">First 900 therms or less  </t>
  </si>
  <si>
    <t>41G</t>
  </si>
  <si>
    <t>85G</t>
  </si>
  <si>
    <t>86G</t>
  </si>
  <si>
    <t>87G</t>
  </si>
  <si>
    <t>12 MO Total</t>
  </si>
  <si>
    <t>Residential (16)</t>
  </si>
  <si>
    <t>Residential (23)</t>
  </si>
  <si>
    <t>Residential (53)</t>
  </si>
  <si>
    <t>Commercial &amp; industrial (31)</t>
  </si>
  <si>
    <t>Large volume (41)</t>
  </si>
  <si>
    <t>Transportation - large volume (41T)</t>
  </si>
  <si>
    <t>Transportation - general services (31T)</t>
  </si>
  <si>
    <t>Interruptible (85)</t>
  </si>
  <si>
    <t>Transportation - interruptible (85T)</t>
  </si>
  <si>
    <t>Limited interruptible (86)</t>
  </si>
  <si>
    <t>Transportation - limited interruptible (86T)</t>
  </si>
  <si>
    <t>Non exclusive interruptible (87)</t>
  </si>
  <si>
    <t>Transportation - non exclusive interrupt (87T)</t>
  </si>
  <si>
    <t>Demand</t>
  </si>
  <si>
    <t>Commercial &amp; industrial - Trans.</t>
  </si>
  <si>
    <t>Description</t>
  </si>
  <si>
    <t>Schedule 23 Residential</t>
  </si>
  <si>
    <t>Schedule 16 Gas Lights</t>
  </si>
  <si>
    <t>Schedule 31 Commercial &amp; Industrial - Sales</t>
  </si>
  <si>
    <t>Schedule 41 Large Volume High Load Factor - Sales</t>
  </si>
  <si>
    <t>Schedule 85 Interruptible - Sales</t>
  </si>
  <si>
    <t>Schedule 86 Limited Interruptible - Sales</t>
  </si>
  <si>
    <t>Schedule 87 Non-exclusive Interruptible - Sales</t>
  </si>
  <si>
    <t>Units</t>
  </si>
  <si>
    <t>Delivery Charge</t>
  </si>
  <si>
    <t>Therms</t>
  </si>
  <si>
    <t>Revenue Change</t>
  </si>
  <si>
    <t xml:space="preserve">Rate </t>
  </si>
  <si>
    <t>31, 31T</t>
  </si>
  <si>
    <t>41, 41T</t>
  </si>
  <si>
    <t>86, 86T</t>
  </si>
  <si>
    <t>87, 87T</t>
  </si>
  <si>
    <t>85, 85T</t>
  </si>
  <si>
    <t>I</t>
  </si>
  <si>
    <t>M</t>
  </si>
  <si>
    <t>Proposed Rates</t>
  </si>
  <si>
    <t>F</t>
  </si>
  <si>
    <t>G</t>
  </si>
  <si>
    <t>Sched 142</t>
  </si>
  <si>
    <t>Sched 141X</t>
  </si>
  <si>
    <t>Total Forecasted</t>
  </si>
  <si>
    <r>
      <t>Revenue</t>
    </r>
    <r>
      <rPr>
        <vertAlign val="superscript"/>
        <sz val="11"/>
        <color theme="1"/>
        <rFont val="Calibri"/>
        <family val="2"/>
      </rPr>
      <t xml:space="preserve"> (1)</t>
    </r>
  </si>
  <si>
    <t xml:space="preserve">SCH 106 </t>
  </si>
  <si>
    <t>SCH 106</t>
  </si>
  <si>
    <t>(Tracker)</t>
  </si>
  <si>
    <t>Combined</t>
  </si>
  <si>
    <t>SCH 106-A</t>
  </si>
  <si>
    <t>SCH 106-B</t>
  </si>
  <si>
    <t xml:space="preserve">(Supp) </t>
  </si>
  <si>
    <t>0 to 900 therms</t>
  </si>
  <si>
    <t>Gas Schedule 101</t>
  </si>
  <si>
    <t>Purchased Gas Adjustment</t>
  </si>
  <si>
    <t>Purchased Gas Adjustment - Deferred Account Adjustment</t>
  </si>
  <si>
    <t>Gas Schedule 120</t>
  </si>
  <si>
    <t>Conservation Program Tracker</t>
  </si>
  <si>
    <t>Gas Schedule 129</t>
  </si>
  <si>
    <t>Low Income Program</t>
  </si>
  <si>
    <t>Gas Schedule 140</t>
  </si>
  <si>
    <t>Property Tax Tracker</t>
  </si>
  <si>
    <t>Gas Schedule 141X</t>
  </si>
  <si>
    <t>Gas Schedule 142</t>
  </si>
  <si>
    <t>Revenue Decoupling Adjustment Mechanism - Decoupling Rates</t>
  </si>
  <si>
    <t>Gas Schedule 149</t>
  </si>
  <si>
    <t>Gas Schedule 106</t>
  </si>
  <si>
    <t>By Customer Class:</t>
  </si>
  <si>
    <t>Current Rates (1)</t>
  </si>
  <si>
    <t>Average Rate</t>
  </si>
  <si>
    <t>Per Therm</t>
  </si>
  <si>
    <t>% Change</t>
  </si>
  <si>
    <t>E = D/C</t>
  </si>
  <si>
    <t>H = G/F</t>
  </si>
  <si>
    <t>I = (G-D)/D</t>
  </si>
  <si>
    <t>Gas Schedule 141Z</t>
  </si>
  <si>
    <t>Protected Excess Deferred Income Taxes (EDIT)</t>
  </si>
  <si>
    <t>Unprotected Excess Deferred Income Taxes (EDIT)</t>
  </si>
  <si>
    <t>Sched 141Z</t>
  </si>
  <si>
    <t>Rates Effective October 1, 2020</t>
  </si>
  <si>
    <r>
      <t>Revenue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</si>
  <si>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Rates Effective May 1, 2021</t>
  </si>
  <si>
    <r>
      <t>Rates</t>
    </r>
    <r>
      <rPr>
        <vertAlign val="superscript"/>
        <sz val="11"/>
        <rFont val="Calibri"/>
        <family val="2"/>
        <scheme val="minor"/>
      </rPr>
      <t xml:space="preserve"> (1)</t>
    </r>
  </si>
  <si>
    <t>Charges</t>
  </si>
  <si>
    <t>Volume (therms)</t>
  </si>
  <si>
    <t>Customer charge ($/month)</t>
  </si>
  <si>
    <t>Volumetric charges ($/therm)</t>
  </si>
  <si>
    <t>Total volumetric charges</t>
  </si>
  <si>
    <t>Total monthly bill</t>
  </si>
  <si>
    <t>Change from bill under current rates</t>
  </si>
  <si>
    <t>Percent change from bill under current rates</t>
  </si>
  <si>
    <t>23,16,53</t>
  </si>
  <si>
    <t>Source: F2021 Load Forecast 7-22-21</t>
  </si>
  <si>
    <t>Gas Forecasted Delivered Volume (Therms)</t>
  </si>
  <si>
    <t>Sch. 149</t>
  </si>
  <si>
    <t xml:space="preserve">Revenue at </t>
  </si>
  <si>
    <t>Revenue at</t>
  </si>
  <si>
    <t xml:space="preserve"> % Change</t>
  </si>
  <si>
    <t>G = F/C</t>
  </si>
  <si>
    <t>I = H/C</t>
  </si>
  <si>
    <t>Total Rate Change</t>
  </si>
  <si>
    <t>Rates Effective October 1, 2021</t>
  </si>
  <si>
    <t>2022 Gas General Rate Case Filing</t>
  </si>
  <si>
    <t>(1) Rates effective November 1, 2021</t>
  </si>
  <si>
    <t>Base Rate</t>
  </si>
  <si>
    <t>Sch. 141R</t>
  </si>
  <si>
    <t>Rate Plan</t>
  </si>
  <si>
    <t>Sch. 141N</t>
  </si>
  <si>
    <t>Rates Effective November 1, 2021</t>
  </si>
  <si>
    <t>Cost Recovery Mechanism (CRM)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</si>
  <si>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current rates effective November 1, 2021.</t>
    </r>
  </si>
  <si>
    <t>Proposed Rates Effective January 1, 2023</t>
  </si>
  <si>
    <t>Rate Change Impacts by Rate Schedule of Proposed Rate Year #1 Rates</t>
  </si>
  <si>
    <t>Sch. 141X</t>
  </si>
  <si>
    <t>EDIT</t>
  </si>
  <si>
    <t>CRM</t>
  </si>
  <si>
    <t>M = L/C</t>
  </si>
  <si>
    <t>Jan. 2023 -</t>
  </si>
  <si>
    <t>Dec. 2023</t>
  </si>
  <si>
    <t>12ME Dec. 2023</t>
  </si>
  <si>
    <t>Rate Change Impacts by Rate Schedule of Proposed Rate Year #2 Rates</t>
  </si>
  <si>
    <t>Proposed Rates Effective January 1, 2024</t>
  </si>
  <si>
    <t>H = C+D+F</t>
  </si>
  <si>
    <t>I = H-C</t>
  </si>
  <si>
    <t>J = I/C</t>
  </si>
  <si>
    <t>Rate Change Impacts by Rate Schedule of Proposed Rate Year #3 Rates</t>
  </si>
  <si>
    <t>Proposed Rates Effective January 1, 2025</t>
  </si>
  <si>
    <t>12ME Dec. 2024</t>
  </si>
  <si>
    <t>Average Rate Per Therm Impacts by Rate Schedule of Proposed Rate Year #1 Rates</t>
  </si>
  <si>
    <t>Average Rate Per Therm Impacts by Rate Schedule of Proposed Rate Year #3 Rates</t>
  </si>
  <si>
    <t>Average Rate Per Therm Impacts by Rate Schedule of Proposed Rate Year #2 Rates</t>
  </si>
  <si>
    <t>Base Rate Change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</si>
  <si>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Rates for Schedule 23 customers in effect November 1, 2021</t>
    </r>
  </si>
  <si>
    <t>Delivery (Sch. 23)</t>
  </si>
  <si>
    <t>Low income (Sch. 129)</t>
  </si>
  <si>
    <t>Property Tax (Sch. 140)</t>
  </si>
  <si>
    <t>Non-Refund Rate Plan (Sch. 141N)</t>
  </si>
  <si>
    <t>Refundable Rate Plan (Sch. 141R)</t>
  </si>
  <si>
    <t>EDIT (Sch. 141X)</t>
  </si>
  <si>
    <t>Unprotected EDIT (Sch. 141Z)</t>
  </si>
  <si>
    <t>Decoupling (Sch. 142)</t>
  </si>
  <si>
    <t>CRM (Sch. 149)</t>
  </si>
  <si>
    <t>Conservation (Sch. 120)</t>
  </si>
  <si>
    <t>Gas Cost (Sch. 101)</t>
  </si>
  <si>
    <t>Gas Cost Deferral Amort. (Sch. 106)</t>
  </si>
  <si>
    <t>Basic Charge (Sch. 23)</t>
  </si>
  <si>
    <t>Sch. 141N Rate Change</t>
  </si>
  <si>
    <t>Sch. 141R Rate Change</t>
  </si>
  <si>
    <t>Sch. 141X Rate Change</t>
  </si>
  <si>
    <t>Sch. 149 Rate Change</t>
  </si>
  <si>
    <t>E</t>
  </si>
  <si>
    <t>N = sum(D:M)</t>
  </si>
  <si>
    <t>%</t>
  </si>
  <si>
    <t xml:space="preserve"> </t>
  </si>
  <si>
    <t>Customers</t>
  </si>
  <si>
    <t>*</t>
  </si>
  <si>
    <t>* Average Residential Customer (64 Therms)</t>
  </si>
  <si>
    <r>
      <t xml:space="preserve">Bill </t>
    </r>
    <r>
      <rPr>
        <vertAlign val="superscript"/>
        <sz val="11"/>
        <rFont val="Calibri"/>
        <family val="2"/>
        <scheme val="minor"/>
      </rPr>
      <t>2</t>
    </r>
  </si>
  <si>
    <t>&gt;250</t>
  </si>
  <si>
    <t>12ME Dec. 2025</t>
  </si>
  <si>
    <t>Proposed RY#1 Rates</t>
  </si>
  <si>
    <t>Proposed RY#2 Rates</t>
  </si>
  <si>
    <t>January 2023 - December 2023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</si>
  <si>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Pro forma base revenue for the 12 months ending Dec 31, 2023.</t>
    </r>
  </si>
  <si>
    <t>Development of Total Revenue by Rate Schedule for Rate Impacts</t>
  </si>
  <si>
    <t>Rates Effective January 1, 2023</t>
  </si>
  <si>
    <t>RY#1 Rates (1)</t>
  </si>
  <si>
    <t>(1) Proposed Rates effective January 1, 2023</t>
  </si>
  <si>
    <t>Natural Gas Operations</t>
  </si>
  <si>
    <t>Total Therms</t>
  </si>
  <si>
    <t>Forecasted Therms by Rate Block</t>
  </si>
  <si>
    <t>Forecasted Therms by Rate Block Percent</t>
  </si>
  <si>
    <t>Forecasted Billing Determinants</t>
  </si>
  <si>
    <t>Demand Therms:</t>
  </si>
  <si>
    <t>Bills:</t>
  </si>
  <si>
    <t>Base Sched</t>
  </si>
  <si>
    <t>Jan. 2024 -</t>
  </si>
  <si>
    <t>Dec. 2024</t>
  </si>
  <si>
    <t>January 2024 - December 2024</t>
  </si>
  <si>
    <t>Sched 141N</t>
  </si>
  <si>
    <t>Sched 141R</t>
  </si>
  <si>
    <t>12-Months Ending December 2023</t>
  </si>
  <si>
    <t>12-Months Ending December 2024</t>
  </si>
  <si>
    <t>RY#2 Rates (1)</t>
  </si>
  <si>
    <t>(1) Proposed Rates effective January 1, 2024</t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</si>
  <si>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Proposed Rates for Schedule 23 customers in effect January 1, 2023</t>
    </r>
  </si>
  <si>
    <r>
      <rPr>
        <vertAlign val="superscript"/>
        <sz val="11"/>
        <rFont val="Calibri"/>
        <family val="2"/>
        <scheme val="minor"/>
      </rPr>
      <t xml:space="preserve">(1) </t>
    </r>
    <r>
      <rPr>
        <sz val="11"/>
        <rFont val="Calibri"/>
        <family val="2"/>
        <scheme val="minor"/>
      </rPr>
      <t>Proposed Rates for Schedule 23 customers in effect January 1, 2024</t>
    </r>
  </si>
  <si>
    <t>12 ME Dec. 2024</t>
  </si>
  <si>
    <t>January 2025 - December 2025</t>
  </si>
  <si>
    <t>12-Months Ending December 2025</t>
  </si>
  <si>
    <t>Jan. 2025 -</t>
  </si>
  <si>
    <t>Dec. 2025</t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</si>
  <si>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proposed rates effective January 1, 2023.</t>
    </r>
  </si>
  <si>
    <r>
      <rPr>
        <vertAlign val="superscript"/>
        <sz val="11"/>
        <color theme="1"/>
        <rFont val="Calibri"/>
        <family val="2"/>
      </rPr>
      <t xml:space="preserve">(2) </t>
    </r>
    <r>
      <rPr>
        <sz val="11"/>
        <color theme="1"/>
        <rFont val="Calibri"/>
        <family val="2"/>
        <scheme val="minor"/>
      </rPr>
      <t>Forecasted revenues at proposed rates effective January 1, 2024.</t>
    </r>
  </si>
  <si>
    <t>Count of Gas Residential Installations by Therm Block</t>
  </si>
  <si>
    <t>July 2020 to June 2021</t>
  </si>
  <si>
    <t>Schedule 23</t>
  </si>
  <si>
    <t>Therm Block</t>
  </si>
  <si>
    <t>Annual % of Total</t>
  </si>
  <si>
    <t>Annual Total</t>
  </si>
  <si>
    <t>0-10</t>
  </si>
  <si>
    <t>10-20</t>
  </si>
  <si>
    <t>20-30</t>
  </si>
  <si>
    <t>30-40</t>
  </si>
  <si>
    <t>40-50</t>
  </si>
  <si>
    <t>50-60</t>
  </si>
  <si>
    <t>60-70</t>
  </si>
  <si>
    <t>70-80</t>
  </si>
  <si>
    <t>80-90</t>
  </si>
  <si>
    <t>90-100</t>
  </si>
  <si>
    <t>100-110</t>
  </si>
  <si>
    <t>110-120</t>
  </si>
  <si>
    <t>120-130</t>
  </si>
  <si>
    <t>130-140</t>
  </si>
  <si>
    <t>140-150</t>
  </si>
  <si>
    <t>150-160</t>
  </si>
  <si>
    <t>160-170</t>
  </si>
  <si>
    <t>170-180</t>
  </si>
  <si>
    <t>180-190</t>
  </si>
  <si>
    <t>190-200</t>
  </si>
  <si>
    <t>200-210</t>
  </si>
  <si>
    <t>210-220</t>
  </si>
  <si>
    <t>220-230</t>
  </si>
  <si>
    <t>230-240</t>
  </si>
  <si>
    <t>240-250</t>
  </si>
  <si>
    <t>Grand Total</t>
  </si>
  <si>
    <r>
      <t xml:space="preserve">   </t>
    </r>
    <r>
      <rPr>
        <vertAlign val="superscript"/>
        <sz val="11"/>
        <rFont val="Calibri"/>
        <family val="2"/>
        <scheme val="minor"/>
      </rPr>
      <t xml:space="preserve">2 </t>
    </r>
    <r>
      <rPr>
        <sz val="11"/>
        <rFont val="Calibri"/>
        <family val="2"/>
        <scheme val="minor"/>
      </rPr>
      <t>Rates Effective 11/1/2021</t>
    </r>
  </si>
  <si>
    <t>Effective</t>
  </si>
  <si>
    <t>Jan. 1, 2023</t>
  </si>
  <si>
    <t>Jan. 1, 2024</t>
  </si>
  <si>
    <t>Jan. 1, 2025</t>
  </si>
  <si>
    <t>Change in Bill $</t>
  </si>
  <si>
    <t>Change in Bill %</t>
  </si>
  <si>
    <t>Bill</t>
  </si>
  <si>
    <r>
      <t>Bill</t>
    </r>
    <r>
      <rPr>
        <sz val="11"/>
        <color theme="1"/>
        <rFont val="Calibri"/>
        <family val="2"/>
        <scheme val="minor"/>
      </rPr>
      <t/>
    </r>
  </si>
  <si>
    <r>
      <t xml:space="preserve">   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Includes Rider &amp; Tracker Schedules 101, 106, 120, 129, 140, 141N, 141R, 141X, 141Z, 142, 149</t>
    </r>
  </si>
  <si>
    <r>
      <t xml:space="preserve">Monthly Bill Amounts $ </t>
    </r>
    <r>
      <rPr>
        <vertAlign val="superscript"/>
        <sz val="11"/>
        <rFont val="Calibri"/>
        <family val="2"/>
        <scheme val="minor"/>
      </rPr>
      <t>1</t>
    </r>
  </si>
  <si>
    <t>Sch. 23 Residential Monthly Billing Comparison of Proposed Rate Plan Rates</t>
  </si>
  <si>
    <t>Typical Sch. 23 Residential Bill Impacts of Proposed Rate Year #1 Rates</t>
  </si>
  <si>
    <t>Typical Sch. 23 Residential Bill Impacts of Proposed Rate Year #2 Rates</t>
  </si>
  <si>
    <t>Typical Sch. 23 Residential Bill Impacts of Proposed Rate Year #3 Rates</t>
  </si>
  <si>
    <t>Gas Schedule 141N</t>
  </si>
  <si>
    <t>Non-Refundable Rate Plan Rates</t>
  </si>
  <si>
    <t>Gas Schedule 141R</t>
  </si>
  <si>
    <t>Refundable Rate Plan Rates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</si>
  <si>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Forecasted base schedule, Schedule 141N &amp; Schedule 141R revenues at proposed rates effective January 1, 2024.</t>
    </r>
  </si>
  <si>
    <t>GRC</t>
  </si>
  <si>
    <t>K = J/C</t>
  </si>
  <si>
    <t>O = N/C</t>
  </si>
  <si>
    <t>GRC Revenue Changes</t>
  </si>
  <si>
    <t>Other Revenue Changes</t>
  </si>
  <si>
    <t>Index</t>
  </si>
  <si>
    <t>Work Sheet</t>
  </si>
  <si>
    <t>Category</t>
  </si>
  <si>
    <t>Work Papers</t>
  </si>
  <si>
    <t>Data</t>
  </si>
  <si>
    <t>Dependent (Linked) Work Papers</t>
  </si>
  <si>
    <t>JDT-5-GAS-RATE-SPREAD-DESIGN</t>
  </si>
  <si>
    <t>Precedent (Linked) Work Papers</t>
  </si>
  <si>
    <t>JDT-3-GAS-NORMALIZED-REVENUE</t>
  </si>
  <si>
    <t>Gas Customer Bill Impacts Work Paper</t>
  </si>
  <si>
    <t>Rate Impacts_RY#1</t>
  </si>
  <si>
    <t>Rate Impacts_RY#2</t>
  </si>
  <si>
    <t>Rate Impacts_RY#3</t>
  </si>
  <si>
    <t>Res Bill Summary</t>
  </si>
  <si>
    <t>Typical Res Bill_RY#1</t>
  </si>
  <si>
    <t>Typical Res Bill_RY#2</t>
  </si>
  <si>
    <t>Typical Res Bill_RY#3</t>
  </si>
  <si>
    <t>Exhibit</t>
  </si>
  <si>
    <t>Average Per Therm Impacts</t>
  </si>
  <si>
    <t>Revenue Calculations</t>
  </si>
  <si>
    <t>Rider Revenue Calculations</t>
  </si>
  <si>
    <t>Summary of rate year #1 rate change impacts by rate schedule</t>
  </si>
  <si>
    <t>Summary of rate year #2 rate change impacts by rate schedule</t>
  </si>
  <si>
    <t>Residential bill impacts by usage level for rate years 1, 2 &amp; 3</t>
  </si>
  <si>
    <t>Rate year #1 bill impact for a typical residential customer using 64 therms</t>
  </si>
  <si>
    <t>Rate year #2 bill impact for a typical residential customer using 64 therms</t>
  </si>
  <si>
    <t>Rate year #3 bill impact for a typical residential customer using 64 therms</t>
  </si>
  <si>
    <t>Average per them impacts by rate schedule</t>
  </si>
  <si>
    <t>Revenue calculations that support rate impacts</t>
  </si>
  <si>
    <t>Rider revenue calculations that support rate impacts</t>
  </si>
  <si>
    <t>Other data supporting rate impacts</t>
  </si>
  <si>
    <t>SEF-9G-GAS-REV-REQ-MODEL</t>
  </si>
  <si>
    <t>First 25,000 Therms</t>
  </si>
  <si>
    <t>Next 25,000 Therms</t>
  </si>
  <si>
    <t>Next 50,000 Therms</t>
  </si>
  <si>
    <t>Note 1:  Schedule 141X Rates are effective October 1, 2021 to December 31, 2022 and will go to zero on January 1, 2023.</t>
  </si>
  <si>
    <t>Sch. 141D</t>
  </si>
  <si>
    <t>Pipeline</t>
  </si>
  <si>
    <t>N = D+F+H+J+L</t>
  </si>
  <si>
    <t>P</t>
  </si>
  <si>
    <t>Q = P/C</t>
  </si>
  <si>
    <t>R = C+N+P</t>
  </si>
  <si>
    <t>S = R-C</t>
  </si>
  <si>
    <t>T = S/C</t>
  </si>
  <si>
    <t>Note:  Amounts in bold and italics are different from the October 18, 2022 PSE Response to WUTC Bench Request 002.</t>
  </si>
  <si>
    <t>Gas Schedule 141D</t>
  </si>
  <si>
    <t>Pipeline Provisional Recovery Adjustment</t>
  </si>
  <si>
    <t>Sched 141D</t>
  </si>
  <si>
    <r>
      <rPr>
        <vertAlign val="superscript"/>
        <sz val="11"/>
        <color theme="1"/>
        <rFont val="Calibri"/>
        <family val="2"/>
      </rPr>
      <t xml:space="preserve">(1) </t>
    </r>
    <r>
      <rPr>
        <sz val="11"/>
        <color theme="1"/>
        <rFont val="Calibri"/>
        <family val="2"/>
        <scheme val="minor"/>
      </rPr>
      <t>Forecasted base schedule, Schedule 141N, Schedule 141R &amp; Schedule 141D revenues at proposed rates effective January 1, 2023.</t>
    </r>
  </si>
  <si>
    <r>
      <t>Revenue</t>
    </r>
    <r>
      <rPr>
        <b/>
        <i/>
        <vertAlign val="superscript"/>
        <sz val="11"/>
        <color rgb="FF0000FF"/>
        <rFont val="Calibri"/>
        <family val="2"/>
      </rPr>
      <t xml:space="preserve"> (1)</t>
    </r>
  </si>
  <si>
    <t>N</t>
  </si>
  <si>
    <t>O = sum(D:N)</t>
  </si>
  <si>
    <t>J = C+D+F+H</t>
  </si>
  <si>
    <t>K = J-C</t>
  </si>
  <si>
    <t>L = K/C</t>
  </si>
  <si>
    <t>Pipeline Provisional (Sch. 141D)</t>
  </si>
  <si>
    <t>Sch. 141D Rate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</si>
</sst>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.00000_);_(&quot;$&quot;* \(#,##0.00000\);_(&quot;$&quot;* &quot;-&quot;??_);_(@_)"/>
    <numFmt numFmtId="166" formatCode="_(&quot;$&quot;* #,##0.00000_);_(&quot;$&quot;* \(#,##0.00000\);_(&quot;$&quot;* &quot;-&quot;?????_);_(@_)"/>
    <numFmt numFmtId="167" formatCode="_(&quot;$&quot;* #,##0.00_);_(&quot;$&quot;* \(#,##0.00\);_(&quot;$&quot;* &quot;-&quot;?????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[$-409]mmm\-yy;@"/>
    <numFmt numFmtId="171" formatCode="_(&quot;$&quot;* #,##0.00_);_(&quot;$&quot;* \(#,##0.00\);_(&quot;$&quot;* &quot;-&quot;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008080"/>
      <name val="Arial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2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name val="Calibri"/>
      <family val="2"/>
    </font>
    <font>
      <sz val="11"/>
      <color indexed="10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rgb="FF008080"/>
      <name val="Calibri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i/>
      <sz val="11"/>
      <color rgb="FF0000FF"/>
      <name val="Calibri"/>
      <family val="2"/>
      <scheme val="minor"/>
    </font>
    <font>
      <b/>
      <i/>
      <sz val="10"/>
      <color rgb="FF0000FF"/>
      <name val="Arial"/>
      <family val="2"/>
    </font>
    <font>
      <b/>
      <i/>
      <sz val="11"/>
      <color rgb="FF0000FF"/>
      <name val="Calibri"/>
      <family val="2"/>
    </font>
    <font>
      <b/>
      <i/>
      <vertAlign val="superscript"/>
      <sz val="11"/>
      <color rgb="FF0000FF"/>
      <name val="Calibri"/>
      <family val="2"/>
    </font>
    <font>
      <sz val="11"/>
      <color rgb="FF0000FF"/>
      <name val="Calibri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00808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CECEC"/>
      </left>
      <right/>
      <top/>
      <bottom style="thin">
        <color indexed="64"/>
      </bottom>
      <diagonal/>
    </border>
    <border>
      <left style="medium">
        <color rgb="FFECECEC"/>
      </left>
      <right style="medium">
        <color rgb="FFECECEC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rgb="FFECECEC"/>
      </right>
      <top/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164" fontId="0" fillId="0" borderId="0" xfId="0" applyNumberFormat="1"/>
    <xf numFmtId="164" fontId="0" fillId="0" borderId="2" xfId="0" applyNumberFormat="1" applyBorder="1"/>
    <xf numFmtId="0" fontId="0" fillId="0" borderId="0" xfId="0" applyAlignment="1">
      <alignment horizontal="center"/>
    </xf>
    <xf numFmtId="4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165" fontId="2" fillId="0" borderId="0" xfId="0" applyNumberFormat="1" applyFont="1"/>
    <xf numFmtId="42" fontId="0" fillId="0" borderId="0" xfId="0" applyNumberFormat="1"/>
    <xf numFmtId="165" fontId="2" fillId="0" borderId="1" xfId="0" applyNumberFormat="1" applyFont="1" applyBorder="1"/>
    <xf numFmtId="3" fontId="0" fillId="0" borderId="2" xfId="0" applyNumberFormat="1" applyBorder="1"/>
    <xf numFmtId="42" fontId="0" fillId="0" borderId="2" xfId="0" applyNumberFormat="1" applyBorder="1"/>
    <xf numFmtId="0" fontId="7" fillId="0" borderId="0" xfId="0" applyFont="1" applyAlignment="1">
      <alignment horizontal="left"/>
    </xf>
    <xf numFmtId="0" fontId="7" fillId="0" borderId="0" xfId="0" applyFont="1"/>
    <xf numFmtId="3" fontId="0" fillId="0" borderId="0" xfId="0" applyNumberFormat="1"/>
    <xf numFmtId="0" fontId="8" fillId="0" borderId="0" xfId="0" applyFont="1" applyAlignment="1">
      <alignment horizontal="left"/>
    </xf>
    <xf numFmtId="169" fontId="7" fillId="0" borderId="0" xfId="0" applyNumberFormat="1" applyFont="1"/>
    <xf numFmtId="0" fontId="7" fillId="0" borderId="0" xfId="0" applyFont="1" applyAlignment="1">
      <alignment horizontal="left" vertical="center" textRotation="180"/>
    </xf>
    <xf numFmtId="169" fontId="7" fillId="0" borderId="2" xfId="0" applyNumberFormat="1" applyFont="1" applyBorder="1"/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9" fillId="0" borderId="0" xfId="0" applyFont="1"/>
    <xf numFmtId="168" fontId="9" fillId="0" borderId="0" xfId="0" applyNumberFormat="1" applyFont="1"/>
    <xf numFmtId="3" fontId="9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3" fontId="9" fillId="0" borderId="2" xfId="0" applyNumberFormat="1" applyFont="1" applyBorder="1"/>
    <xf numFmtId="0" fontId="13" fillId="0" borderId="0" xfId="0" applyFont="1" applyAlignment="1">
      <alignment horizontal="left"/>
    </xf>
    <xf numFmtId="168" fontId="13" fillId="0" borderId="0" xfId="0" applyNumberFormat="1" applyFont="1"/>
    <xf numFmtId="170" fontId="0" fillId="0" borderId="1" xfId="0" applyNumberFormat="1" applyBorder="1"/>
    <xf numFmtId="169" fontId="0" fillId="0" borderId="1" xfId="0" applyNumberFormat="1" applyBorder="1"/>
    <xf numFmtId="168" fontId="6" fillId="0" borderId="0" xfId="0" applyNumberFormat="1" applyFont="1" applyAlignment="1">
      <alignment horizontal="left"/>
    </xf>
    <xf numFmtId="17" fontId="6" fillId="0" borderId="0" xfId="0" applyNumberFormat="1" applyFont="1"/>
    <xf numFmtId="43" fontId="11" fillId="0" borderId="0" xfId="0" applyNumberFormat="1" applyFont="1"/>
    <xf numFmtId="43" fontId="6" fillId="0" borderId="0" xfId="0" applyNumberFormat="1" applyFont="1"/>
    <xf numFmtId="168" fontId="0" fillId="0" borderId="0" xfId="0" applyNumberFormat="1"/>
    <xf numFmtId="0" fontId="14" fillId="0" borderId="0" xfId="0" applyFont="1"/>
    <xf numFmtId="42" fontId="3" fillId="0" borderId="0" xfId="0" applyNumberFormat="1" applyFont="1"/>
    <xf numFmtId="42" fontId="4" fillId="0" borderId="0" xfId="0" applyNumberFormat="1" applyFont="1"/>
    <xf numFmtId="42" fontId="4" fillId="0" borderId="2" xfId="0" applyNumberFormat="1" applyFont="1" applyBorder="1"/>
    <xf numFmtId="169" fontId="0" fillId="0" borderId="0" xfId="0" applyNumberFormat="1"/>
    <xf numFmtId="0" fontId="0" fillId="0" borderId="0" xfId="0" quotePrefix="1"/>
    <xf numFmtId="0" fontId="4" fillId="0" borderId="0" xfId="0" applyFont="1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14" fillId="0" borderId="0" xfId="0" applyFont="1" applyProtection="1">
      <protection locked="0"/>
    </xf>
    <xf numFmtId="0" fontId="4" fillId="0" borderId="0" xfId="0" applyFont="1" applyProtection="1">
      <protection locked="0"/>
    </xf>
    <xf numFmtId="3" fontId="3" fillId="0" borderId="0" xfId="0" applyNumberFormat="1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 applyProtection="1">
      <alignment horizontal="left"/>
      <protection locked="0"/>
    </xf>
    <xf numFmtId="169" fontId="4" fillId="0" borderId="0" xfId="0" applyNumberFormat="1" applyFont="1"/>
    <xf numFmtId="3" fontId="4" fillId="0" borderId="0" xfId="0" applyNumberFormat="1" applyFont="1"/>
    <xf numFmtId="168" fontId="6" fillId="0" borderId="0" xfId="0" applyNumberFormat="1" applyFont="1"/>
    <xf numFmtId="0" fontId="15" fillId="0" borderId="0" xfId="0" applyFont="1" applyAlignment="1">
      <alignment horizontal="left"/>
    </xf>
    <xf numFmtId="17" fontId="6" fillId="0" borderId="0" xfId="0" applyNumberFormat="1" applyFont="1" applyAlignment="1">
      <alignment horizontal="center"/>
    </xf>
    <xf numFmtId="42" fontId="2" fillId="0" borderId="0" xfId="0" applyNumberFormat="1" applyFont="1"/>
    <xf numFmtId="0" fontId="2" fillId="0" borderId="0" xfId="0" applyFont="1"/>
    <xf numFmtId="0" fontId="17" fillId="0" borderId="0" xfId="0" applyFont="1"/>
    <xf numFmtId="17" fontId="0" fillId="0" borderId="13" xfId="0" applyNumberForma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168" fontId="12" fillId="0" borderId="0" xfId="0" applyNumberFormat="1" applyFont="1"/>
    <xf numFmtId="168" fontId="3" fillId="0" borderId="0" xfId="0" applyNumberFormat="1" applyFont="1"/>
    <xf numFmtId="10" fontId="0" fillId="0" borderId="0" xfId="0" applyNumberFormat="1"/>
    <xf numFmtId="10" fontId="0" fillId="0" borderId="2" xfId="0" applyNumberFormat="1" applyBorder="1"/>
    <xf numFmtId="0" fontId="1" fillId="0" borderId="0" xfId="0" applyFont="1" applyAlignment="1">
      <alignment horizontal="left"/>
    </xf>
    <xf numFmtId="166" fontId="0" fillId="0" borderId="0" xfId="0" applyNumberFormat="1"/>
    <xf numFmtId="0" fontId="2" fillId="0" borderId="0" xfId="0" applyFont="1" applyAlignment="1">
      <alignment horizontal="center"/>
    </xf>
    <xf numFmtId="10" fontId="4" fillId="0" borderId="0" xfId="0" applyNumberFormat="1" applyFont="1"/>
    <xf numFmtId="168" fontId="0" fillId="0" borderId="5" xfId="0" applyNumberForma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168" fontId="7" fillId="0" borderId="0" xfId="0" applyNumberFormat="1" applyFont="1"/>
    <xf numFmtId="0" fontId="4" fillId="0" borderId="5" xfId="0" applyFont="1" applyBorder="1"/>
    <xf numFmtId="0" fontId="3" fillId="0" borderId="0" xfId="0" applyFont="1"/>
    <xf numFmtId="44" fontId="2" fillId="0" borderId="0" xfId="0" applyNumberFormat="1" applyFont="1"/>
    <xf numFmtId="169" fontId="0" fillId="0" borderId="2" xfId="0" applyNumberFormat="1" applyBorder="1"/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5" fontId="2" fillId="0" borderId="8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9" xfId="0" applyNumberFormat="1" applyFont="1" applyBorder="1"/>
    <xf numFmtId="165" fontId="2" fillId="0" borderId="10" xfId="0" applyNumberFormat="1" applyFont="1" applyBorder="1"/>
    <xf numFmtId="165" fontId="2" fillId="0" borderId="11" xfId="0" applyNumberFormat="1" applyFont="1" applyBorder="1"/>
    <xf numFmtId="166" fontId="3" fillId="0" borderId="0" xfId="0" applyNumberFormat="1" applyFont="1"/>
    <xf numFmtId="3" fontId="3" fillId="0" borderId="0" xfId="0" quotePrefix="1" applyNumberFormat="1" applyFont="1"/>
    <xf numFmtId="3" fontId="19" fillId="0" borderId="0" xfId="0" applyNumberFormat="1" applyFont="1"/>
    <xf numFmtId="3" fontId="4" fillId="0" borderId="1" xfId="0" applyNumberFormat="1" applyFont="1" applyBorder="1"/>
    <xf numFmtId="3" fontId="4" fillId="0" borderId="2" xfId="0" applyNumberFormat="1" applyFont="1" applyBorder="1"/>
    <xf numFmtId="164" fontId="4" fillId="0" borderId="2" xfId="0" applyNumberFormat="1" applyFont="1" applyBorder="1"/>
    <xf numFmtId="166" fontId="2" fillId="0" borderId="0" xfId="0" applyNumberFormat="1" applyFont="1"/>
    <xf numFmtId="167" fontId="2" fillId="0" borderId="0" xfId="0" applyNumberFormat="1" applyFont="1"/>
    <xf numFmtId="0" fontId="0" fillId="0" borderId="0" xfId="0" quotePrefix="1" applyAlignment="1">
      <alignment vertical="top"/>
    </xf>
    <xf numFmtId="42" fontId="17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8" fontId="4" fillId="0" borderId="0" xfId="0" applyNumberFormat="1" applyFont="1"/>
    <xf numFmtId="0" fontId="4" fillId="0" borderId="0" xfId="0" quotePrefix="1" applyFont="1" applyAlignment="1">
      <alignment vertical="top"/>
    </xf>
    <xf numFmtId="0" fontId="22" fillId="0" borderId="0" xfId="0" applyFont="1"/>
    <xf numFmtId="41" fontId="4" fillId="0" borderId="0" xfId="0" quotePrefix="1" applyNumberFormat="1" applyFont="1" applyAlignment="1">
      <alignment horizontal="right"/>
    </xf>
    <xf numFmtId="0" fontId="0" fillId="0" borderId="5" xfId="0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9" fontId="0" fillId="0" borderId="0" xfId="0" applyNumberFormat="1" applyAlignment="1">
      <alignment wrapText="1"/>
    </xf>
    <xf numFmtId="166" fontId="4" fillId="0" borderId="0" xfId="0" applyNumberFormat="1" applyFont="1"/>
    <xf numFmtId="37" fontId="4" fillId="0" borderId="0" xfId="0" applyNumberFormat="1" applyFont="1"/>
    <xf numFmtId="0" fontId="20" fillId="0" borderId="0" xfId="0" applyFont="1"/>
    <xf numFmtId="0" fontId="14" fillId="0" borderId="0" xfId="0" applyFont="1" applyAlignment="1">
      <alignment horizontal="centerContinuous"/>
    </xf>
    <xf numFmtId="168" fontId="3" fillId="0" borderId="0" xfId="0" applyNumberFormat="1" applyFont="1" applyAlignment="1">
      <alignment horizontal="left"/>
    </xf>
    <xf numFmtId="42" fontId="3" fillId="0" borderId="0" xfId="0" applyNumberFormat="1" applyFont="1" applyAlignment="1">
      <alignment horizontal="left"/>
    </xf>
    <xf numFmtId="165" fontId="1" fillId="0" borderId="0" xfId="0" applyNumberFormat="1" applyFont="1"/>
    <xf numFmtId="169" fontId="3" fillId="0" borderId="0" xfId="0" applyNumberFormat="1" applyFont="1"/>
    <xf numFmtId="10" fontId="18" fillId="0" borderId="0" xfId="0" applyNumberFormat="1" applyFont="1"/>
    <xf numFmtId="168" fontId="0" fillId="0" borderId="2" xfId="0" applyNumberFormat="1" applyBorder="1"/>
    <xf numFmtId="165" fontId="0" fillId="0" borderId="2" xfId="0" applyNumberFormat="1" applyBorder="1"/>
    <xf numFmtId="43" fontId="18" fillId="0" borderId="0" xfId="0" applyNumberFormat="1" applyFont="1"/>
    <xf numFmtId="42" fontId="9" fillId="0" borderId="0" xfId="0" applyNumberFormat="1" applyFont="1"/>
    <xf numFmtId="165" fontId="7" fillId="0" borderId="0" xfId="0" applyNumberFormat="1" applyFont="1"/>
    <xf numFmtId="168" fontId="7" fillId="0" borderId="2" xfId="0" applyNumberFormat="1" applyFont="1" applyBorder="1" applyAlignment="1">
      <alignment horizontal="left"/>
    </xf>
    <xf numFmtId="169" fontId="7" fillId="0" borderId="2" xfId="0" applyNumberFormat="1" applyFont="1" applyBorder="1" applyAlignment="1">
      <alignment horizontal="left"/>
    </xf>
    <xf numFmtId="165" fontId="7" fillId="0" borderId="2" xfId="0" applyNumberFormat="1" applyFont="1" applyBorder="1"/>
    <xf numFmtId="165" fontId="4" fillId="0" borderId="8" xfId="0" applyNumberFormat="1" applyFont="1" applyBorder="1"/>
    <xf numFmtId="168" fontId="2" fillId="0" borderId="0" xfId="0" applyNumberFormat="1" applyFont="1"/>
    <xf numFmtId="0" fontId="3" fillId="0" borderId="0" xfId="0" applyFont="1" applyAlignment="1">
      <alignment wrapText="1"/>
    </xf>
    <xf numFmtId="0" fontId="4" fillId="0" borderId="5" xfId="0" applyFont="1" applyBorder="1" applyAlignment="1">
      <alignment horizontal="centerContinuous"/>
    </xf>
    <xf numFmtId="0" fontId="24" fillId="0" borderId="0" xfId="0" applyFont="1"/>
    <xf numFmtId="171" fontId="4" fillId="0" borderId="0" xfId="0" applyNumberFormat="1" applyFont="1"/>
    <xf numFmtId="44" fontId="24" fillId="0" borderId="0" xfId="0" applyNumberFormat="1" applyFont="1"/>
    <xf numFmtId="44" fontId="4" fillId="0" borderId="0" xfId="0" applyNumberFormat="1" applyFont="1"/>
    <xf numFmtId="44" fontId="4" fillId="0" borderId="2" xfId="0" applyNumberFormat="1" applyFont="1" applyBorder="1"/>
    <xf numFmtId="166" fontId="24" fillId="0" borderId="0" xfId="0" applyNumberFormat="1" applyFont="1"/>
    <xf numFmtId="166" fontId="4" fillId="0" borderId="2" xfId="0" applyNumberFormat="1" applyFont="1" applyBorder="1"/>
    <xf numFmtId="171" fontId="4" fillId="0" borderId="2" xfId="0" applyNumberFormat="1" applyFont="1" applyBorder="1"/>
    <xf numFmtId="168" fontId="7" fillId="0" borderId="2" xfId="0" applyNumberFormat="1" applyFont="1" applyBorder="1"/>
    <xf numFmtId="169" fontId="1" fillId="0" borderId="0" xfId="0" applyNumberFormat="1" applyFont="1"/>
    <xf numFmtId="3" fontId="7" fillId="0" borderId="0" xfId="0" applyNumberFormat="1" applyFont="1"/>
    <xf numFmtId="166" fontId="9" fillId="0" borderId="0" xfId="0" applyNumberFormat="1" applyFont="1"/>
    <xf numFmtId="166" fontId="7" fillId="0" borderId="0" xfId="0" applyNumberFormat="1" applyFont="1"/>
    <xf numFmtId="10" fontId="7" fillId="0" borderId="0" xfId="0" applyNumberFormat="1" applyFont="1"/>
    <xf numFmtId="169" fontId="7" fillId="0" borderId="0" xfId="0" applyNumberFormat="1" applyFont="1" applyAlignment="1">
      <alignment horizontal="left"/>
    </xf>
    <xf numFmtId="169" fontId="9" fillId="0" borderId="0" xfId="0" applyNumberFormat="1" applyFont="1"/>
    <xf numFmtId="165" fontId="2" fillId="0" borderId="6" xfId="0" applyNumberFormat="1" applyFont="1" applyBorder="1"/>
    <xf numFmtId="0" fontId="0" fillId="0" borderId="0" xfId="0" applyAlignment="1">
      <alignment horizontal="centerContinuous"/>
    </xf>
    <xf numFmtId="168" fontId="0" fillId="0" borderId="0" xfId="0" applyNumberFormat="1" applyAlignment="1">
      <alignment horizontal="left"/>
    </xf>
    <xf numFmtId="0" fontId="4" fillId="0" borderId="14" xfId="0" applyFont="1" applyBorder="1" applyAlignment="1">
      <alignment horizontal="centerContinuous"/>
    </xf>
    <xf numFmtId="0" fontId="4" fillId="0" borderId="14" xfId="0" applyFont="1" applyBorder="1" applyAlignment="1">
      <alignment horizontal="center"/>
    </xf>
    <xf numFmtId="7" fontId="4" fillId="0" borderId="0" xfId="0" applyNumberFormat="1" applyFont="1"/>
    <xf numFmtId="3" fontId="25" fillId="0" borderId="0" xfId="0" applyNumberFormat="1" applyFont="1"/>
    <xf numFmtId="168" fontId="10" fillId="0" borderId="0" xfId="0" applyNumberFormat="1" applyFont="1"/>
    <xf numFmtId="168" fontId="3" fillId="0" borderId="5" xfId="0" applyNumberFormat="1" applyFont="1" applyBorder="1"/>
    <xf numFmtId="170" fontId="6" fillId="0" borderId="0" xfId="0" applyNumberFormat="1" applyFont="1" applyAlignment="1">
      <alignment horizontal="center"/>
    </xf>
    <xf numFmtId="168" fontId="10" fillId="0" borderId="2" xfId="0" applyNumberFormat="1" applyFont="1" applyBorder="1"/>
    <xf numFmtId="168" fontId="6" fillId="0" borderId="2" xfId="0" applyNumberFormat="1" applyFont="1" applyBorder="1"/>
    <xf numFmtId="168" fontId="16" fillId="0" borderId="0" xfId="0" applyNumberFormat="1" applyFont="1"/>
    <xf numFmtId="9" fontId="12" fillId="0" borderId="0" xfId="0" applyNumberFormat="1" applyFont="1"/>
    <xf numFmtId="9" fontId="10" fillId="0" borderId="2" xfId="0" applyNumberFormat="1" applyFont="1" applyBorder="1"/>
    <xf numFmtId="9" fontId="10" fillId="0" borderId="0" xfId="0" applyNumberFormat="1" applyFont="1"/>
    <xf numFmtId="9" fontId="6" fillId="0" borderId="0" xfId="0" applyNumberFormat="1" applyFont="1"/>
    <xf numFmtId="9" fontId="6" fillId="0" borderId="2" xfId="0" applyNumberFormat="1" applyFont="1" applyBorder="1"/>
    <xf numFmtId="9" fontId="11" fillId="0" borderId="0" xfId="0" applyNumberFormat="1" applyFont="1"/>
    <xf numFmtId="0" fontId="0" fillId="0" borderId="15" xfId="0" applyBorder="1"/>
    <xf numFmtId="0" fontId="17" fillId="0" borderId="5" xfId="0" applyFont="1" applyBorder="1" applyAlignment="1">
      <alignment horizontal="center" wrapText="1"/>
    </xf>
    <xf numFmtId="17" fontId="17" fillId="0" borderId="5" xfId="0" applyNumberFormat="1" applyFont="1" applyBorder="1" applyAlignment="1">
      <alignment horizontal="center" wrapText="1"/>
    </xf>
    <xf numFmtId="10" fontId="0" fillId="0" borderId="0" xfId="0" applyNumberFormat="1" applyAlignment="1">
      <alignment horizontal="right"/>
    </xf>
    <xf numFmtId="10" fontId="0" fillId="0" borderId="0" xfId="0" applyNumberFormat="1" applyAlignment="1">
      <alignment wrapText="1"/>
    </xf>
    <xf numFmtId="0" fontId="17" fillId="0" borderId="2" xfId="0" applyFont="1" applyBorder="1" applyAlignment="1">
      <alignment horizontal="center"/>
    </xf>
    <xf numFmtId="10" fontId="17" fillId="0" borderId="2" xfId="0" applyNumberFormat="1" applyFont="1" applyBorder="1"/>
    <xf numFmtId="168" fontId="17" fillId="0" borderId="2" xfId="0" applyNumberFormat="1" applyFont="1" applyBorder="1"/>
    <xf numFmtId="37" fontId="4" fillId="0" borderId="0" xfId="0" applyNumberFormat="1" applyFont="1" applyAlignment="1">
      <alignment horizontal="center"/>
    </xf>
    <xf numFmtId="0" fontId="4" fillId="0" borderId="0" xfId="0" quotePrefix="1" applyFont="1"/>
    <xf numFmtId="44" fontId="3" fillId="0" borderId="0" xfId="0" applyNumberFormat="1" applyFont="1"/>
    <xf numFmtId="165" fontId="3" fillId="0" borderId="0" xfId="0" applyNumberFormat="1" applyFont="1"/>
    <xf numFmtId="0" fontId="0" fillId="0" borderId="7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7" fillId="0" borderId="0" xfId="0" quotePrefix="1" applyFont="1" applyAlignment="1">
      <alignment horizontal="left"/>
    </xf>
    <xf numFmtId="0" fontId="26" fillId="0" borderId="0" xfId="0" applyFont="1"/>
    <xf numFmtId="0" fontId="26" fillId="0" borderId="5" xfId="0" applyFont="1" applyBorder="1"/>
    <xf numFmtId="0" fontId="27" fillId="0" borderId="0" xfId="0" applyFont="1"/>
    <xf numFmtId="0" fontId="6" fillId="0" borderId="5" xfId="0" applyFont="1" applyBorder="1"/>
    <xf numFmtId="0" fontId="29" fillId="0" borderId="0" xfId="0" applyFont="1"/>
    <xf numFmtId="0" fontId="18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5" xfId="0" applyFont="1" applyBorder="1" applyAlignment="1">
      <alignment horizontal="center"/>
    </xf>
    <xf numFmtId="3" fontId="28" fillId="0" borderId="0" xfId="0" applyNumberFormat="1" applyFont="1" applyAlignment="1">
      <alignment horizontal="center"/>
    </xf>
    <xf numFmtId="42" fontId="28" fillId="0" borderId="0" xfId="0" applyNumberFormat="1" applyFont="1" applyAlignment="1">
      <alignment horizontal="center"/>
    </xf>
    <xf numFmtId="169" fontId="28" fillId="0" borderId="0" xfId="0" applyNumberFormat="1" applyFont="1"/>
    <xf numFmtId="10" fontId="28" fillId="0" borderId="0" xfId="0" applyNumberFormat="1" applyFont="1"/>
    <xf numFmtId="42" fontId="28" fillId="0" borderId="0" xfId="0" applyNumberFormat="1" applyFont="1"/>
    <xf numFmtId="10" fontId="28" fillId="0" borderId="2" xfId="0" applyNumberFormat="1" applyFont="1" applyBorder="1"/>
    <xf numFmtId="166" fontId="30" fillId="0" borderId="0" xfId="0" applyNumberFormat="1" applyFont="1"/>
    <xf numFmtId="0" fontId="30" fillId="0" borderId="0" xfId="0" applyFont="1"/>
    <xf numFmtId="169" fontId="30" fillId="0" borderId="0" xfId="0" applyNumberFormat="1" applyFont="1"/>
    <xf numFmtId="169" fontId="30" fillId="0" borderId="2" xfId="0" applyNumberFormat="1" applyFont="1" applyBorder="1"/>
    <xf numFmtId="42" fontId="28" fillId="0" borderId="2" xfId="0" applyNumberFormat="1" applyFont="1" applyBorder="1"/>
    <xf numFmtId="0" fontId="28" fillId="0" borderId="0" xfId="0" applyFont="1"/>
    <xf numFmtId="42" fontId="30" fillId="0" borderId="0" xfId="0" applyNumberFormat="1" applyFont="1"/>
    <xf numFmtId="166" fontId="28" fillId="0" borderId="0" xfId="0" applyNumberFormat="1" applyFont="1"/>
    <xf numFmtId="171" fontId="28" fillId="0" borderId="0" xfId="0" applyNumberFormat="1" applyFont="1"/>
    <xf numFmtId="0" fontId="28" fillId="0" borderId="5" xfId="0" applyFont="1" applyBorder="1" applyAlignment="1">
      <alignment horizontal="centerContinuous"/>
    </xf>
    <xf numFmtId="44" fontId="28" fillId="0" borderId="0" xfId="0" applyNumberFormat="1" applyFont="1"/>
    <xf numFmtId="44" fontId="28" fillId="0" borderId="2" xfId="0" applyNumberFormat="1" applyFont="1" applyBorder="1"/>
    <xf numFmtId="166" fontId="28" fillId="0" borderId="2" xfId="0" applyNumberFormat="1" applyFont="1" applyBorder="1"/>
    <xf numFmtId="171" fontId="28" fillId="0" borderId="2" xfId="0" applyNumberFormat="1" applyFont="1" applyBorder="1"/>
    <xf numFmtId="164" fontId="28" fillId="0" borderId="0" xfId="0" applyNumberFormat="1" applyFont="1"/>
    <xf numFmtId="0" fontId="0" fillId="2" borderId="0" xfId="0" applyFill="1"/>
    <xf numFmtId="169" fontId="28" fillId="2" borderId="2" xfId="0" applyNumberFormat="1" applyFont="1" applyFill="1" applyBorder="1"/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0" fontId="2" fillId="0" borderId="0" xfId="0" applyNumberFormat="1" applyFont="1"/>
    <xf numFmtId="10" fontId="2" fillId="0" borderId="2" xfId="0" applyNumberFormat="1" applyFont="1" applyBorder="1"/>
    <xf numFmtId="0" fontId="32" fillId="0" borderId="0" xfId="0" applyFont="1"/>
    <xf numFmtId="169" fontId="32" fillId="0" borderId="0" xfId="0" applyNumberFormat="1" applyFont="1"/>
    <xf numFmtId="169" fontId="32" fillId="0" borderId="2" xfId="0" applyNumberFormat="1" applyFont="1" applyBorder="1"/>
    <xf numFmtId="0" fontId="33" fillId="0" borderId="0" xfId="0" applyFont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Continuous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Continuous"/>
    </xf>
    <xf numFmtId="0" fontId="33" fillId="0" borderId="0" xfId="0" applyFont="1" applyAlignment="1">
      <alignment horizontal="center"/>
    </xf>
    <xf numFmtId="0" fontId="33" fillId="0" borderId="7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5" fillId="0" borderId="0" xfId="0" applyFont="1" applyAlignment="1">
      <alignment horizontal="center"/>
    </xf>
    <xf numFmtId="0" fontId="34" fillId="0" borderId="0" xfId="0" applyFont="1"/>
    <xf numFmtId="3" fontId="34" fillId="0" borderId="0" xfId="0" applyNumberFormat="1" applyFont="1"/>
    <xf numFmtId="169" fontId="34" fillId="0" borderId="0" xfId="0" applyNumberFormat="1" applyFont="1"/>
    <xf numFmtId="166" fontId="33" fillId="0" borderId="0" xfId="0" applyNumberFormat="1" applyFont="1"/>
    <xf numFmtId="166" fontId="34" fillId="0" borderId="0" xfId="0" applyNumberFormat="1" applyFont="1"/>
    <xf numFmtId="166" fontId="35" fillId="0" borderId="0" xfId="0" applyNumberFormat="1" applyFont="1"/>
    <xf numFmtId="0" fontId="36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6" fillId="0" borderId="5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3" fontId="36" fillId="0" borderId="0" xfId="0" applyNumberFormat="1" applyFont="1" applyAlignment="1">
      <alignment horizontal="center"/>
    </xf>
    <xf numFmtId="42" fontId="36" fillId="0" borderId="0" xfId="0" applyNumberFormat="1" applyFont="1" applyAlignment="1">
      <alignment horizontal="center"/>
    </xf>
    <xf numFmtId="3" fontId="38" fillId="0" borderId="0" xfId="0" applyNumberFormat="1" applyFont="1" applyAlignment="1">
      <alignment horizontal="center"/>
    </xf>
    <xf numFmtId="42" fontId="38" fillId="0" borderId="0" xfId="0" applyNumberFormat="1" applyFont="1" applyAlignment="1">
      <alignment horizontal="center"/>
    </xf>
    <xf numFmtId="0" fontId="36" fillId="0" borderId="0" xfId="0" applyFont="1" applyAlignment="1">
      <alignment horizontal="left"/>
    </xf>
    <xf numFmtId="42" fontId="39" fillId="0" borderId="0" xfId="0" applyNumberFormat="1" applyFont="1" applyAlignment="1">
      <alignment horizontal="left"/>
    </xf>
    <xf numFmtId="169" fontId="39" fillId="0" borderId="0" xfId="0" applyNumberFormat="1" applyFont="1"/>
    <xf numFmtId="10" fontId="36" fillId="0" borderId="0" xfId="0" applyNumberFormat="1" applyFont="1"/>
    <xf numFmtId="165" fontId="36" fillId="0" borderId="0" xfId="0" applyNumberFormat="1" applyFont="1"/>
    <xf numFmtId="42" fontId="39" fillId="0" borderId="0" xfId="0" applyNumberFormat="1" applyFont="1"/>
    <xf numFmtId="169" fontId="38" fillId="0" borderId="0" xfId="0" applyNumberFormat="1" applyFont="1"/>
    <xf numFmtId="10" fontId="38" fillId="0" borderId="0" xfId="0" applyNumberFormat="1" applyFont="1"/>
    <xf numFmtId="0" fontId="36" fillId="3" borderId="0" xfId="0" applyFont="1" applyFill="1"/>
    <xf numFmtId="169" fontId="38" fillId="3" borderId="0" xfId="0" applyNumberFormat="1" applyFont="1" applyFill="1"/>
    <xf numFmtId="42" fontId="38" fillId="0" borderId="0" xfId="0" applyNumberFormat="1" applyFont="1"/>
    <xf numFmtId="42" fontId="36" fillId="0" borderId="2" xfId="0" applyNumberFormat="1" applyFont="1" applyBorder="1"/>
    <xf numFmtId="42" fontId="36" fillId="0" borderId="0" xfId="0" applyNumberFormat="1" applyFont="1"/>
    <xf numFmtId="169" fontId="36" fillId="0" borderId="2" xfId="0" applyNumberFormat="1" applyFont="1" applyBorder="1"/>
    <xf numFmtId="10" fontId="36" fillId="0" borderId="2" xfId="0" applyNumberFormat="1" applyFont="1" applyBorder="1"/>
    <xf numFmtId="169" fontId="38" fillId="3" borderId="2" xfId="0" applyNumberFormat="1" applyFont="1" applyFill="1" applyBorder="1"/>
    <xf numFmtId="10" fontId="38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53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.sharepoint.com/sites/utc-ue-220066/Company%20Work%20Papers/2023%20Filing/NEW-PSE-WP-JDT-5-GAS-RATE-SPREAD-DESIGN-22GRC-01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.sharepoint.com/sites/utc-ue-220066/Company%20Work%20Papers/2023%20Filing/NEW-PSE-WP-JDT-3-GAS-NORMALIZED-REVENUE-22GRC-01-2022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Exh JDT-5 (JDT-Rate Spread)"/>
      <sheetName val="Exh JDT-5 (Rate Des Sum)"/>
      <sheetName val="Exh JDT-5 (JDT-RES_RD)"/>
      <sheetName val="Exh JDT-5 (JDT-C&amp;I-RD)"/>
      <sheetName val="Exh JDT-5 (JDT-INTRPL-RD)"/>
      <sheetName val="Exh JDT-5 (JDT-MYRP)"/>
      <sheetName val="Exh JDT-5 (JDT-MYRP-SUM)"/>
      <sheetName val="Exh JDT-5 (JDT-Balancing)"/>
      <sheetName val="Exh JDT-5 (JDT-Procmnt Chrg)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H11">
            <v>-1.6999999999999999E-3</v>
          </cell>
          <cell r="I11">
            <v>4.8649999999999999E-2</v>
          </cell>
          <cell r="J11">
            <v>3.2599999999999999E-3</v>
          </cell>
          <cell r="N11"/>
          <cell r="O11">
            <v>-3.09E-2</v>
          </cell>
          <cell r="P11">
            <v>9.8780000000000007E-2</v>
          </cell>
          <cell r="Q11">
            <v>3.15E-3</v>
          </cell>
          <cell r="T11"/>
          <cell r="U11"/>
        </row>
        <row r="16">
          <cell r="D16">
            <v>12.5</v>
          </cell>
        </row>
        <row r="17">
          <cell r="D17">
            <v>0.45612999999999998</v>
          </cell>
        </row>
        <row r="18">
          <cell r="G18">
            <v>414352719.13292998</v>
          </cell>
          <cell r="N18">
            <v>417201989.73536998</v>
          </cell>
        </row>
        <row r="19">
          <cell r="H19">
            <v>-1081827.9136999999</v>
          </cell>
          <cell r="I19">
            <v>30959369.41265</v>
          </cell>
          <cell r="J19">
            <v>2074564.11686</v>
          </cell>
        </row>
        <row r="34">
          <cell r="G34">
            <v>5643.18</v>
          </cell>
          <cell r="N34">
            <v>5643.18</v>
          </cell>
        </row>
        <row r="35">
          <cell r="H35">
            <v>-15.014399999999998</v>
          </cell>
          <cell r="I35">
            <v>429.67680000000001</v>
          </cell>
          <cell r="J35">
            <v>28.79232</v>
          </cell>
        </row>
        <row r="40">
          <cell r="H40">
            <v>-1.57E-3</v>
          </cell>
          <cell r="I40">
            <v>4.4909999999999999E-2</v>
          </cell>
          <cell r="J40">
            <v>3.0100000000000001E-3</v>
          </cell>
          <cell r="N40"/>
          <cell r="O40">
            <v>-2.835E-2</v>
          </cell>
          <cell r="P40">
            <v>9.06E-2</v>
          </cell>
          <cell r="Q40">
            <v>2.8900000000000002E-3</v>
          </cell>
          <cell r="T40"/>
          <cell r="U40"/>
        </row>
        <row r="48">
          <cell r="G48">
            <v>131551781.96768001</v>
          </cell>
          <cell r="N48">
            <v>132871324.84063001</v>
          </cell>
        </row>
        <row r="49">
          <cell r="H49">
            <v>-381811.82935999997</v>
          </cell>
          <cell r="I49">
            <v>10921763.85768</v>
          </cell>
          <cell r="J49">
            <v>732008.66648000001</v>
          </cell>
        </row>
        <row r="58">
          <cell r="G58">
            <v>22925.378530000002</v>
          </cell>
          <cell r="N58">
            <v>22706.758830000002</v>
          </cell>
        </row>
        <row r="59">
          <cell r="H59">
            <v>-54.00329</v>
          </cell>
          <cell r="I59">
            <v>1544.76927</v>
          </cell>
        </row>
        <row r="64">
          <cell r="H64">
            <v>-7.5000000000000002E-4</v>
          </cell>
          <cell r="I64">
            <v>2.147E-2</v>
          </cell>
          <cell r="J64">
            <v>2.2699999999999999E-3</v>
          </cell>
          <cell r="N64"/>
          <cell r="O64">
            <v>-1.355E-2</v>
          </cell>
          <cell r="P64">
            <v>4.3319999999999997E-2</v>
          </cell>
          <cell r="Q64">
            <v>2.2000000000000001E-3</v>
          </cell>
          <cell r="T64"/>
          <cell r="U64"/>
        </row>
        <row r="79">
          <cell r="G79">
            <v>18250223.81315</v>
          </cell>
          <cell r="N79">
            <v>18242726.17379</v>
          </cell>
        </row>
        <row r="80">
          <cell r="H80">
            <v>-50192.16375</v>
          </cell>
          <cell r="I80">
            <v>1436834.3409499999</v>
          </cell>
          <cell r="J80">
            <v>151914.94894999999</v>
          </cell>
        </row>
        <row r="96">
          <cell r="G96">
            <v>5078826.0199999996</v>
          </cell>
          <cell r="N96">
            <v>5202113.47</v>
          </cell>
        </row>
        <row r="97">
          <cell r="H97">
            <v>-19098.390749999999</v>
          </cell>
          <cell r="I97">
            <v>546723.26587</v>
          </cell>
        </row>
        <row r="102">
          <cell r="H102">
            <v>-4.4999999999999999E-4</v>
          </cell>
          <cell r="I102">
            <v>1.277E-2</v>
          </cell>
          <cell r="J102">
            <v>1.8400000000000001E-3</v>
          </cell>
          <cell r="N102"/>
          <cell r="O102">
            <v>-8.2500000000000004E-3</v>
          </cell>
          <cell r="P102">
            <v>2.6360000000000001E-2</v>
          </cell>
          <cell r="Q102">
            <v>1.8500000000000001E-3</v>
          </cell>
          <cell r="T102"/>
          <cell r="U102"/>
        </row>
        <row r="116">
          <cell r="G116">
            <v>1467006.1005731623</v>
          </cell>
          <cell r="N116">
            <v>1431314.4706233121</v>
          </cell>
        </row>
        <row r="117">
          <cell r="H117">
            <v>-5006.0879999999997</v>
          </cell>
          <cell r="I117">
            <v>142061.65280000001</v>
          </cell>
          <cell r="J117">
            <v>20469.337599999999</v>
          </cell>
        </row>
        <row r="133">
          <cell r="G133">
            <v>6841177.3197368756</v>
          </cell>
          <cell r="N133">
            <v>6799880.6744118314</v>
          </cell>
        </row>
        <row r="134">
          <cell r="H134">
            <v>-28254.383099999999</v>
          </cell>
          <cell r="I134">
            <v>801796.60485999996</v>
          </cell>
        </row>
        <row r="139">
          <cell r="H139">
            <v>-3.6000000000000002E-4</v>
          </cell>
          <cell r="I139">
            <v>1.0410000000000001E-2</v>
          </cell>
          <cell r="J139">
            <v>4.8999999999999998E-4</v>
          </cell>
          <cell r="N139"/>
          <cell r="O139">
            <v>-6.8300000000000001E-3</v>
          </cell>
          <cell r="P139">
            <v>2.1819999999999999E-2</v>
          </cell>
          <cell r="Q139">
            <v>4.8999999999999998E-4</v>
          </cell>
          <cell r="T139"/>
          <cell r="U139"/>
        </row>
        <row r="152">
          <cell r="G152">
            <v>1153018.4326548816</v>
          </cell>
          <cell r="N152">
            <v>1110674.3605023497</v>
          </cell>
        </row>
        <row r="153">
          <cell r="H153">
            <v>-2048.9364</v>
          </cell>
          <cell r="I153">
            <v>59248.410900000003</v>
          </cell>
          <cell r="J153">
            <v>2788.8301000000001</v>
          </cell>
        </row>
        <row r="168">
          <cell r="G168">
            <v>148131.29440911271</v>
          </cell>
          <cell r="N168">
            <v>153355.14710239385</v>
          </cell>
        </row>
        <row r="169">
          <cell r="H169">
            <v>-195.26724000000002</v>
          </cell>
          <cell r="I169">
            <v>5646.4776900000006</v>
          </cell>
        </row>
        <row r="174">
          <cell r="N174"/>
          <cell r="O174">
            <v>-5.8611569639943552E-2</v>
          </cell>
          <cell r="T174"/>
          <cell r="U174"/>
        </row>
        <row r="185">
          <cell r="H185">
            <v>-9.1E-4</v>
          </cell>
          <cell r="I185">
            <v>2.6460000000000001E-2</v>
          </cell>
          <cell r="J185">
            <v>3.47E-3</v>
          </cell>
          <cell r="L185">
            <v>1512193</v>
          </cell>
          <cell r="O185">
            <v>-1.668E-2</v>
          </cell>
          <cell r="P185">
            <v>5.33E-2</v>
          </cell>
          <cell r="Q185">
            <v>3.3899999999999998E-3</v>
          </cell>
        </row>
        <row r="186">
          <cell r="H186">
            <v>-5.5000000000000003E-4</v>
          </cell>
          <cell r="I186">
            <v>1.5990000000000001E-2</v>
          </cell>
          <cell r="J186">
            <v>2.0999999999999999E-3</v>
          </cell>
          <cell r="L186">
            <v>1398016.115</v>
          </cell>
          <cell r="O186">
            <v>-1.008E-2</v>
          </cell>
          <cell r="P186">
            <v>3.2210000000000003E-2</v>
          </cell>
          <cell r="Q186">
            <v>2.0500000000000002E-3</v>
          </cell>
        </row>
        <row r="187">
          <cell r="H187">
            <v>-3.5E-4</v>
          </cell>
          <cell r="I187">
            <v>1.017E-2</v>
          </cell>
          <cell r="J187">
            <v>1.34E-3</v>
          </cell>
          <cell r="L187">
            <v>2316890.0959999999</v>
          </cell>
          <cell r="O187">
            <v>-6.4200000000000004E-3</v>
          </cell>
          <cell r="P187">
            <v>2.0500000000000001E-2</v>
          </cell>
          <cell r="Q187">
            <v>1.2999999999999999E-3</v>
          </cell>
        </row>
        <row r="188">
          <cell r="H188">
            <v>-2.2000000000000001E-4</v>
          </cell>
          <cell r="I188">
            <v>6.5199999999999998E-3</v>
          </cell>
          <cell r="J188">
            <v>8.5999999999999998E-4</v>
          </cell>
          <cell r="L188">
            <v>3045256.878</v>
          </cell>
          <cell r="O188">
            <v>-4.1099999999999999E-3</v>
          </cell>
          <cell r="P188">
            <v>1.3140000000000001E-2</v>
          </cell>
          <cell r="Q188">
            <v>8.4000000000000003E-4</v>
          </cell>
        </row>
        <row r="189">
          <cell r="H189">
            <v>-1.6000000000000001E-4</v>
          </cell>
          <cell r="I189">
            <v>4.7000000000000002E-3</v>
          </cell>
          <cell r="J189">
            <v>6.2E-4</v>
          </cell>
          <cell r="L189">
            <v>3792042.2029999997</v>
          </cell>
          <cell r="O189">
            <v>-2.96E-3</v>
          </cell>
          <cell r="P189">
            <v>9.4599999999999997E-3</v>
          </cell>
          <cell r="Q189">
            <v>5.9999999999999995E-4</v>
          </cell>
        </row>
        <row r="190">
          <cell r="H190">
            <v>-3.0000000000000001E-5</v>
          </cell>
          <cell r="I190">
            <v>7.9000000000000001E-4</v>
          </cell>
          <cell r="J190">
            <v>1.2E-4</v>
          </cell>
          <cell r="L190">
            <v>9755057.4703552071</v>
          </cell>
          <cell r="O190">
            <v>-4.8000000000000001E-4</v>
          </cell>
          <cell r="P190">
            <v>1.5399999999999999E-3</v>
          </cell>
          <cell r="Q190">
            <v>1.1E-4</v>
          </cell>
        </row>
        <row r="191">
          <cell r="G191">
            <v>1509134.6199999999</v>
          </cell>
          <cell r="N191">
            <v>1509134.6199999999</v>
          </cell>
        </row>
        <row r="192">
          <cell r="H192">
            <v>-4525.2510166006559</v>
          </cell>
          <cell r="I192">
            <v>131313.84533541062</v>
          </cell>
          <cell r="J192">
            <v>17428.370257522623</v>
          </cell>
        </row>
        <row r="203">
          <cell r="H203">
            <v>-9.1E-4</v>
          </cell>
          <cell r="I203">
            <v>2.6460000000000001E-2</v>
          </cell>
          <cell r="L203">
            <v>3298789.67</v>
          </cell>
          <cell r="O203">
            <v>-1.668E-2</v>
          </cell>
          <cell r="P203">
            <v>5.33E-2</v>
          </cell>
        </row>
        <row r="204">
          <cell r="H204">
            <v>-5.5000000000000003E-4</v>
          </cell>
          <cell r="I204">
            <v>1.5990000000000001E-2</v>
          </cell>
          <cell r="L204">
            <v>3300000</v>
          </cell>
          <cell r="O204">
            <v>-1.008E-2</v>
          </cell>
          <cell r="P204">
            <v>3.2210000000000003E-2</v>
          </cell>
        </row>
        <row r="205">
          <cell r="H205">
            <v>-3.5E-4</v>
          </cell>
          <cell r="I205">
            <v>1.017E-2</v>
          </cell>
          <cell r="L205">
            <v>6600000</v>
          </cell>
          <cell r="O205">
            <v>-6.4200000000000004E-3</v>
          </cell>
          <cell r="P205">
            <v>2.0500000000000001E-2</v>
          </cell>
        </row>
        <row r="206">
          <cell r="H206">
            <v>-2.2000000000000001E-4</v>
          </cell>
          <cell r="I206">
            <v>6.5199999999999998E-3</v>
          </cell>
          <cell r="L206">
            <v>12663691.02</v>
          </cell>
          <cell r="O206">
            <v>-4.1099999999999999E-3</v>
          </cell>
          <cell r="P206">
            <v>1.3140000000000001E-2</v>
          </cell>
        </row>
        <row r="207">
          <cell r="H207">
            <v>-1.6000000000000001E-4</v>
          </cell>
          <cell r="I207">
            <v>4.7000000000000002E-3</v>
          </cell>
          <cell r="L207">
            <v>29344602.150000002</v>
          </cell>
          <cell r="O207">
            <v>-2.96E-3</v>
          </cell>
          <cell r="P207">
            <v>9.4599999999999997E-3</v>
          </cell>
        </row>
        <row r="208">
          <cell r="H208">
            <v>-3.0000000000000001E-5</v>
          </cell>
          <cell r="I208">
            <v>7.9000000000000001E-4</v>
          </cell>
          <cell r="L208">
            <v>86801883.805479586</v>
          </cell>
          <cell r="O208">
            <v>-4.8000000000000001E-4</v>
          </cell>
          <cell r="P208">
            <v>1.5399999999999999E-3</v>
          </cell>
        </row>
        <row r="211">
          <cell r="G211">
            <v>5763943.8499999996</v>
          </cell>
          <cell r="N211">
            <v>6088113.25</v>
          </cell>
        </row>
        <row r="212">
          <cell r="H212">
            <v>-16820.436862264389</v>
          </cell>
          <cell r="I212">
            <v>485921.47076992894</v>
          </cell>
        </row>
        <row r="215">
          <cell r="G215">
            <v>1641017.2645532298</v>
          </cell>
          <cell r="N215">
            <v>1638422.5923708156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DENTIAL"/>
      <sheetName val="Table of Contents"/>
      <sheetName val="Revenue Exhibit"/>
      <sheetName val="Volume Exhibit"/>
      <sheetName val="Work Papers --&gt;"/>
      <sheetName val="Margin Exhibit"/>
      <sheetName val="Revenue Detail"/>
      <sheetName val="Revenue Calcs--&gt;"/>
      <sheetName val="(C) Rev at Actual Rates"/>
      <sheetName val="(C) Rev at 2019 GRC Rates"/>
      <sheetName val="(C) Rev at 2019 GRC PLR Rates"/>
      <sheetName val="(C) Norm Rev at 2019 PLR Rates"/>
      <sheetName val="(C) Gap Year Revenue"/>
      <sheetName val="(C) RY#1 Revenue"/>
      <sheetName val="(C) RY#2 Revenue"/>
      <sheetName val="(C) RY#3 Revenue"/>
      <sheetName val="TY Billing Determinants--&gt;"/>
      <sheetName val="(C) Bills &amp; Demand Data"/>
      <sheetName val="Actual Therms"/>
      <sheetName val="(C) Actual Therms By Block"/>
      <sheetName val="Weather Norm Therms"/>
      <sheetName val="(C) WN Therms By Block"/>
      <sheetName val="GY Bill Determinants--&gt;"/>
      <sheetName val="(C) GY Bills &amp; Demand Data"/>
      <sheetName val="GY Therms"/>
      <sheetName val="(C) GY Therms By Block"/>
      <sheetName val="RY#1 Bill Determinants--&gt;"/>
      <sheetName val="(C) RY#1 Bills &amp; Demand Data"/>
      <sheetName val="RY#1 Therms"/>
      <sheetName val="(C) RY#1 Therms By Block"/>
      <sheetName val="RY#2 Bill Determinants--&gt;"/>
      <sheetName val="(C) RY#2 Bills &amp; Demand Data"/>
      <sheetName val="RY#2 Therms"/>
      <sheetName val="(C) RY#2 Therms By Block"/>
      <sheetName val="RY#3 Bill Determinants--&gt;"/>
      <sheetName val="(C) RY#3 Bills &amp; Demand Data"/>
      <sheetName val="RY#3 Therms"/>
      <sheetName val="(C) RY#3 Therms By Block"/>
      <sheetName val="Other WP's--&gt;"/>
      <sheetName val="F2021 Forecast"/>
      <sheetName val="Puget LNG"/>
      <sheetName val="Rider &amp; Tracker Rev"/>
      <sheetName val="Weather Normalization--&gt;"/>
      <sheetName val="Weather Norm Calc"/>
      <sheetName val="Tax Reform Rates--&gt;"/>
      <sheetName val="Rate Design Res TR"/>
      <sheetName val="Rate Design C&amp;I_TR"/>
      <sheetName val="Rate Design Int &amp; Trans_TR"/>
      <sheetName val="2019 GRC Rates--&gt;"/>
      <sheetName val="Rate Design Res (2)"/>
      <sheetName val="Rate Design C&amp;I (2)"/>
      <sheetName val="Rate Design Int &amp; Trans (2)"/>
      <sheetName val="2019 GRC PLR Rates--&gt;"/>
      <sheetName val="Rate Design Res (3)"/>
      <sheetName val="Rate Design C&amp;I (3)"/>
      <sheetName val="Rate Design Int &amp; Trans (3)"/>
    </sheetNames>
    <sheetDataSet>
      <sheetData sheetId="0"/>
      <sheetData sheetId="1"/>
      <sheetData sheetId="2">
        <row r="11">
          <cell r="U11">
            <v>5427.9056117082582</v>
          </cell>
        </row>
        <row r="12">
          <cell r="U12">
            <v>383178346.96600038</v>
          </cell>
        </row>
        <row r="14">
          <cell r="U14">
            <v>120079168.78333969</v>
          </cell>
        </row>
        <row r="15">
          <cell r="U15">
            <v>22222.109393518316</v>
          </cell>
        </row>
        <row r="16">
          <cell r="U16">
            <v>16543938.455079695</v>
          </cell>
        </row>
        <row r="17">
          <cell r="U17">
            <v>4707911.3815120682</v>
          </cell>
        </row>
        <row r="19">
          <cell r="U19">
            <v>1238738.0123081778</v>
          </cell>
        </row>
        <row r="20">
          <cell r="U20">
            <v>6174279.9156339392</v>
          </cell>
        </row>
        <row r="21">
          <cell r="U21">
            <v>1102448.3581850007</v>
          </cell>
        </row>
        <row r="22">
          <cell r="U22">
            <v>139313.39952508218</v>
          </cell>
        </row>
        <row r="23">
          <cell r="U23">
            <v>1315417.0653802957</v>
          </cell>
        </row>
        <row r="24">
          <cell r="U24">
            <v>5198994.1830287995</v>
          </cell>
        </row>
        <row r="25">
          <cell r="U25">
            <v>1620924.2085755297</v>
          </cell>
        </row>
      </sheetData>
      <sheetData sheetId="3"/>
      <sheetData sheetId="4"/>
      <sheetData sheetId="5">
        <row r="11">
          <cell r="H11">
            <v>5427.9056117082582</v>
          </cell>
        </row>
        <row r="12">
          <cell r="H12">
            <v>383178346.96600038</v>
          </cell>
        </row>
        <row r="13">
          <cell r="H13">
            <v>0</v>
          </cell>
        </row>
        <row r="14">
          <cell r="H14">
            <v>120079168.78333969</v>
          </cell>
        </row>
        <row r="15">
          <cell r="H15">
            <v>22222.109393518316</v>
          </cell>
        </row>
        <row r="16">
          <cell r="H16">
            <v>16543938.455079695</v>
          </cell>
        </row>
        <row r="17">
          <cell r="H17">
            <v>4707911.3815120682</v>
          </cell>
        </row>
        <row r="19">
          <cell r="H19">
            <v>1238738.0123081778</v>
          </cell>
        </row>
        <row r="20">
          <cell r="H20">
            <v>6174279.9156339392</v>
          </cell>
        </row>
        <row r="21">
          <cell r="H21">
            <v>1102448.3581850007</v>
          </cell>
        </row>
        <row r="22">
          <cell r="H22">
            <v>139313.39952508218</v>
          </cell>
        </row>
        <row r="23">
          <cell r="H23">
            <v>1315417.0653802957</v>
          </cell>
        </row>
        <row r="24">
          <cell r="H24">
            <v>5198994.1830287995</v>
          </cell>
        </row>
        <row r="25">
          <cell r="H25">
            <v>1620924.2085755297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3">
          <cell r="C13">
            <v>824680</v>
          </cell>
          <cell r="D13">
            <v>825242</v>
          </cell>
          <cell r="E13">
            <v>825507</v>
          </cell>
          <cell r="F13">
            <v>825363</v>
          </cell>
          <cell r="G13">
            <v>825589</v>
          </cell>
          <cell r="H13">
            <v>825814</v>
          </cell>
          <cell r="I13">
            <v>826038</v>
          </cell>
          <cell r="J13">
            <v>826259</v>
          </cell>
          <cell r="K13">
            <v>827193</v>
          </cell>
          <cell r="L13">
            <v>829805</v>
          </cell>
          <cell r="M13">
            <v>831976</v>
          </cell>
          <cell r="N13">
            <v>833379</v>
          </cell>
        </row>
        <row r="14">
          <cell r="C14">
            <v>56785</v>
          </cell>
          <cell r="D14">
            <v>56845</v>
          </cell>
          <cell r="E14">
            <v>56898</v>
          </cell>
          <cell r="F14">
            <v>56949</v>
          </cell>
          <cell r="G14">
            <v>56935</v>
          </cell>
          <cell r="H14">
            <v>56922</v>
          </cell>
          <cell r="I14">
            <v>56919</v>
          </cell>
          <cell r="J14">
            <v>56909</v>
          </cell>
          <cell r="K14">
            <v>56952</v>
          </cell>
          <cell r="L14">
            <v>56995</v>
          </cell>
          <cell r="M14">
            <v>57039</v>
          </cell>
          <cell r="N14">
            <v>57084</v>
          </cell>
        </row>
        <row r="15">
          <cell r="C15">
            <v>2239</v>
          </cell>
          <cell r="D15">
            <v>2239</v>
          </cell>
          <cell r="E15">
            <v>2239</v>
          </cell>
          <cell r="F15">
            <v>2232</v>
          </cell>
          <cell r="G15">
            <v>2229</v>
          </cell>
          <cell r="H15">
            <v>2220</v>
          </cell>
          <cell r="I15">
            <v>2218</v>
          </cell>
          <cell r="J15">
            <v>2217</v>
          </cell>
          <cell r="K15">
            <v>2215</v>
          </cell>
          <cell r="L15">
            <v>2214</v>
          </cell>
          <cell r="M15">
            <v>2213</v>
          </cell>
          <cell r="N15">
            <v>2218</v>
          </cell>
        </row>
        <row r="16">
          <cell r="C16">
            <v>2</v>
          </cell>
          <cell r="D16">
            <v>2</v>
          </cell>
          <cell r="E16">
            <v>2</v>
          </cell>
          <cell r="F16">
            <v>2</v>
          </cell>
          <cell r="G16">
            <v>2</v>
          </cell>
          <cell r="H16">
            <v>2</v>
          </cell>
          <cell r="I16">
            <v>2</v>
          </cell>
          <cell r="J16">
            <v>2</v>
          </cell>
          <cell r="K16">
            <v>2</v>
          </cell>
          <cell r="L16">
            <v>2</v>
          </cell>
          <cell r="M16">
            <v>2</v>
          </cell>
          <cell r="N16">
            <v>2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1236</v>
          </cell>
          <cell r="D18">
            <v>1235</v>
          </cell>
          <cell r="E18">
            <v>1238</v>
          </cell>
          <cell r="F18">
            <v>1238</v>
          </cell>
          <cell r="G18">
            <v>1235</v>
          </cell>
          <cell r="H18">
            <v>1233</v>
          </cell>
          <cell r="I18">
            <v>1221</v>
          </cell>
          <cell r="J18">
            <v>1217</v>
          </cell>
          <cell r="K18">
            <v>1219</v>
          </cell>
          <cell r="L18">
            <v>1221</v>
          </cell>
          <cell r="M18">
            <v>1221</v>
          </cell>
          <cell r="N18">
            <v>1219</v>
          </cell>
        </row>
        <row r="19">
          <cell r="C19">
            <v>73</v>
          </cell>
          <cell r="D19">
            <v>73</v>
          </cell>
          <cell r="E19">
            <v>73</v>
          </cell>
          <cell r="F19">
            <v>73</v>
          </cell>
          <cell r="G19">
            <v>73</v>
          </cell>
          <cell r="H19">
            <v>73</v>
          </cell>
          <cell r="I19">
            <v>73</v>
          </cell>
          <cell r="J19">
            <v>73</v>
          </cell>
          <cell r="K19">
            <v>73</v>
          </cell>
          <cell r="L19">
            <v>73</v>
          </cell>
          <cell r="M19">
            <v>73</v>
          </cell>
          <cell r="N19">
            <v>73</v>
          </cell>
        </row>
        <row r="20">
          <cell r="C20">
            <v>73</v>
          </cell>
          <cell r="D20">
            <v>73</v>
          </cell>
          <cell r="E20">
            <v>73</v>
          </cell>
          <cell r="F20">
            <v>73</v>
          </cell>
          <cell r="G20">
            <v>73</v>
          </cell>
          <cell r="H20">
            <v>73</v>
          </cell>
          <cell r="I20">
            <v>73</v>
          </cell>
          <cell r="J20">
            <v>73</v>
          </cell>
          <cell r="K20">
            <v>73</v>
          </cell>
          <cell r="L20">
            <v>73</v>
          </cell>
          <cell r="M20">
            <v>73</v>
          </cell>
          <cell r="N20">
            <v>73</v>
          </cell>
        </row>
        <row r="21">
          <cell r="C21">
            <v>13</v>
          </cell>
          <cell r="D21">
            <v>13</v>
          </cell>
          <cell r="E21">
            <v>13</v>
          </cell>
          <cell r="F21">
            <v>13</v>
          </cell>
          <cell r="G21">
            <v>13</v>
          </cell>
          <cell r="H21">
            <v>13</v>
          </cell>
          <cell r="I21">
            <v>13</v>
          </cell>
          <cell r="J21">
            <v>13</v>
          </cell>
          <cell r="K21">
            <v>13</v>
          </cell>
          <cell r="L21">
            <v>13</v>
          </cell>
          <cell r="M21">
            <v>13</v>
          </cell>
          <cell r="N21">
            <v>13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26</v>
          </cell>
          <cell r="D23">
            <v>26</v>
          </cell>
          <cell r="E23">
            <v>26</v>
          </cell>
          <cell r="F23">
            <v>26</v>
          </cell>
          <cell r="G23">
            <v>26</v>
          </cell>
          <cell r="H23">
            <v>26</v>
          </cell>
          <cell r="I23">
            <v>26</v>
          </cell>
          <cell r="J23">
            <v>26</v>
          </cell>
          <cell r="K23">
            <v>26</v>
          </cell>
          <cell r="L23">
            <v>26</v>
          </cell>
          <cell r="M23">
            <v>26</v>
          </cell>
          <cell r="N23">
            <v>26</v>
          </cell>
        </row>
        <row r="24">
          <cell r="C24">
            <v>7</v>
          </cell>
          <cell r="D24">
            <v>7</v>
          </cell>
          <cell r="E24">
            <v>7</v>
          </cell>
          <cell r="F24">
            <v>7</v>
          </cell>
          <cell r="G24">
            <v>7</v>
          </cell>
          <cell r="H24">
            <v>7</v>
          </cell>
          <cell r="I24">
            <v>7</v>
          </cell>
          <cell r="J24">
            <v>7</v>
          </cell>
          <cell r="K24">
            <v>7</v>
          </cell>
          <cell r="L24">
            <v>7</v>
          </cell>
          <cell r="M24">
            <v>7</v>
          </cell>
          <cell r="N24">
            <v>7</v>
          </cell>
        </row>
        <row r="25">
          <cell r="C25">
            <v>24</v>
          </cell>
          <cell r="D25">
            <v>24</v>
          </cell>
          <cell r="E25">
            <v>24</v>
          </cell>
          <cell r="F25">
            <v>24</v>
          </cell>
          <cell r="G25">
            <v>24</v>
          </cell>
          <cell r="H25">
            <v>24</v>
          </cell>
          <cell r="I25">
            <v>24</v>
          </cell>
          <cell r="J25">
            <v>24</v>
          </cell>
          <cell r="K25">
            <v>24</v>
          </cell>
          <cell r="L25">
            <v>24</v>
          </cell>
          <cell r="M25">
            <v>24</v>
          </cell>
          <cell r="N25">
            <v>24</v>
          </cell>
        </row>
        <row r="26">
          <cell r="C26">
            <v>49</v>
          </cell>
          <cell r="D26">
            <v>49</v>
          </cell>
          <cell r="E26">
            <v>49</v>
          </cell>
          <cell r="F26">
            <v>49</v>
          </cell>
          <cell r="G26">
            <v>49</v>
          </cell>
          <cell r="H26">
            <v>49</v>
          </cell>
          <cell r="I26">
            <v>49</v>
          </cell>
          <cell r="J26">
            <v>49</v>
          </cell>
          <cell r="K26">
            <v>49</v>
          </cell>
          <cell r="L26">
            <v>49</v>
          </cell>
          <cell r="M26">
            <v>49</v>
          </cell>
          <cell r="N26">
            <v>49</v>
          </cell>
        </row>
        <row r="27">
          <cell r="C27">
            <v>100</v>
          </cell>
          <cell r="D27">
            <v>100</v>
          </cell>
          <cell r="E27">
            <v>99</v>
          </cell>
          <cell r="F27">
            <v>99</v>
          </cell>
          <cell r="G27">
            <v>98</v>
          </cell>
          <cell r="H27">
            <v>98</v>
          </cell>
          <cell r="I27">
            <v>97</v>
          </cell>
          <cell r="J27">
            <v>97</v>
          </cell>
          <cell r="K27">
            <v>96</v>
          </cell>
          <cell r="L27">
            <v>96</v>
          </cell>
          <cell r="M27">
            <v>95</v>
          </cell>
          <cell r="N27">
            <v>95</v>
          </cell>
        </row>
        <row r="28">
          <cell r="C28">
            <v>2</v>
          </cell>
          <cell r="D28">
            <v>2</v>
          </cell>
          <cell r="E28">
            <v>2</v>
          </cell>
          <cell r="F28">
            <v>2</v>
          </cell>
          <cell r="G28">
            <v>2</v>
          </cell>
          <cell r="H28">
            <v>2</v>
          </cell>
          <cell r="I28">
            <v>2</v>
          </cell>
          <cell r="J28">
            <v>2</v>
          </cell>
          <cell r="K28">
            <v>2</v>
          </cell>
          <cell r="L28">
            <v>2</v>
          </cell>
          <cell r="M28">
            <v>2</v>
          </cell>
          <cell r="N28">
            <v>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8</v>
          </cell>
          <cell r="D30">
            <v>8</v>
          </cell>
          <cell r="E30">
            <v>8</v>
          </cell>
          <cell r="F30">
            <v>8</v>
          </cell>
          <cell r="G30">
            <v>8</v>
          </cell>
          <cell r="H30">
            <v>8</v>
          </cell>
          <cell r="I30">
            <v>8</v>
          </cell>
          <cell r="J30">
            <v>8</v>
          </cell>
          <cell r="K30">
            <v>8</v>
          </cell>
          <cell r="L30">
            <v>8</v>
          </cell>
          <cell r="M30">
            <v>8</v>
          </cell>
          <cell r="N30">
            <v>8</v>
          </cell>
        </row>
        <row r="31">
          <cell r="C31">
            <v>5</v>
          </cell>
          <cell r="D31">
            <v>5</v>
          </cell>
          <cell r="E31">
            <v>5</v>
          </cell>
          <cell r="F31">
            <v>5</v>
          </cell>
          <cell r="G31">
            <v>5</v>
          </cell>
          <cell r="H31">
            <v>5</v>
          </cell>
          <cell r="I31">
            <v>5</v>
          </cell>
          <cell r="J31">
            <v>5</v>
          </cell>
          <cell r="K31">
            <v>5</v>
          </cell>
          <cell r="L31">
            <v>5</v>
          </cell>
          <cell r="M31">
            <v>5</v>
          </cell>
          <cell r="N31">
            <v>5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3</v>
          </cell>
          <cell r="D33">
            <v>3</v>
          </cell>
          <cell r="E33">
            <v>3</v>
          </cell>
          <cell r="F33">
            <v>3</v>
          </cell>
          <cell r="G33">
            <v>3</v>
          </cell>
          <cell r="H33">
            <v>3</v>
          </cell>
          <cell r="I33">
            <v>3</v>
          </cell>
          <cell r="J33">
            <v>3</v>
          </cell>
          <cell r="K33">
            <v>3</v>
          </cell>
          <cell r="L33">
            <v>3</v>
          </cell>
          <cell r="M33">
            <v>3</v>
          </cell>
          <cell r="N33">
            <v>3</v>
          </cell>
        </row>
        <row r="34">
          <cell r="C34">
            <v>8</v>
          </cell>
          <cell r="D34">
            <v>8</v>
          </cell>
          <cell r="E34">
            <v>8</v>
          </cell>
          <cell r="F34">
            <v>8</v>
          </cell>
          <cell r="G34">
            <v>8</v>
          </cell>
          <cell r="H34">
            <v>8</v>
          </cell>
          <cell r="I34">
            <v>8</v>
          </cell>
          <cell r="J34">
            <v>8</v>
          </cell>
          <cell r="K34">
            <v>8</v>
          </cell>
          <cell r="L34">
            <v>8</v>
          </cell>
          <cell r="M34">
            <v>8</v>
          </cell>
          <cell r="N34">
            <v>8</v>
          </cell>
        </row>
        <row r="40">
          <cell r="C40">
            <v>346378</v>
          </cell>
          <cell r="D40">
            <v>346378</v>
          </cell>
          <cell r="E40">
            <v>346378</v>
          </cell>
          <cell r="F40">
            <v>346378</v>
          </cell>
          <cell r="G40">
            <v>346378</v>
          </cell>
          <cell r="H40">
            <v>346378</v>
          </cell>
          <cell r="I40">
            <v>346378</v>
          </cell>
          <cell r="J40">
            <v>346378</v>
          </cell>
          <cell r="K40">
            <v>346378</v>
          </cell>
          <cell r="L40">
            <v>346378</v>
          </cell>
          <cell r="M40">
            <v>346378</v>
          </cell>
          <cell r="N40">
            <v>346378</v>
          </cell>
        </row>
        <row r="41">
          <cell r="C41">
            <v>43859</v>
          </cell>
          <cell r="D41">
            <v>43859</v>
          </cell>
          <cell r="E41">
            <v>43859</v>
          </cell>
          <cell r="F41">
            <v>43859</v>
          </cell>
          <cell r="G41">
            <v>43859</v>
          </cell>
          <cell r="H41">
            <v>43859</v>
          </cell>
          <cell r="I41">
            <v>43859</v>
          </cell>
          <cell r="J41">
            <v>43859</v>
          </cell>
          <cell r="K41">
            <v>43859</v>
          </cell>
          <cell r="L41">
            <v>43859</v>
          </cell>
          <cell r="M41">
            <v>43859</v>
          </cell>
          <cell r="N41">
            <v>43859</v>
          </cell>
        </row>
        <row r="42">
          <cell r="C42">
            <v>64679</v>
          </cell>
          <cell r="D42">
            <v>64679</v>
          </cell>
          <cell r="E42">
            <v>64679</v>
          </cell>
          <cell r="F42">
            <v>64679</v>
          </cell>
          <cell r="G42">
            <v>64679</v>
          </cell>
          <cell r="H42">
            <v>64679</v>
          </cell>
          <cell r="I42">
            <v>64679</v>
          </cell>
          <cell r="J42">
            <v>64679</v>
          </cell>
          <cell r="K42">
            <v>64679</v>
          </cell>
          <cell r="L42">
            <v>64679</v>
          </cell>
          <cell r="M42">
            <v>64679</v>
          </cell>
          <cell r="N42">
            <v>64679</v>
          </cell>
        </row>
        <row r="43">
          <cell r="C43">
            <v>26394</v>
          </cell>
          <cell r="D43">
            <v>26394</v>
          </cell>
          <cell r="E43">
            <v>26394</v>
          </cell>
          <cell r="F43">
            <v>26394</v>
          </cell>
          <cell r="G43">
            <v>26394</v>
          </cell>
          <cell r="H43">
            <v>26394</v>
          </cell>
          <cell r="I43">
            <v>26394</v>
          </cell>
          <cell r="J43">
            <v>26394</v>
          </cell>
          <cell r="K43">
            <v>26394</v>
          </cell>
          <cell r="L43">
            <v>26394</v>
          </cell>
          <cell r="M43">
            <v>26394</v>
          </cell>
          <cell r="N43">
            <v>26394</v>
          </cell>
        </row>
        <row r="44">
          <cell r="C44">
            <v>7490</v>
          </cell>
          <cell r="D44">
            <v>7490</v>
          </cell>
          <cell r="E44">
            <v>7490</v>
          </cell>
          <cell r="F44">
            <v>7490</v>
          </cell>
          <cell r="G44">
            <v>7490</v>
          </cell>
          <cell r="H44">
            <v>7490</v>
          </cell>
          <cell r="I44">
            <v>7490</v>
          </cell>
          <cell r="J44">
            <v>7490</v>
          </cell>
          <cell r="K44">
            <v>7490</v>
          </cell>
          <cell r="L44">
            <v>7490</v>
          </cell>
          <cell r="M44">
            <v>7490</v>
          </cell>
          <cell r="N44">
            <v>7490</v>
          </cell>
        </row>
        <row r="45">
          <cell r="C45">
            <v>388</v>
          </cell>
          <cell r="D45">
            <v>388</v>
          </cell>
          <cell r="E45">
            <v>388</v>
          </cell>
          <cell r="F45">
            <v>388</v>
          </cell>
          <cell r="G45">
            <v>388</v>
          </cell>
          <cell r="H45">
            <v>388</v>
          </cell>
          <cell r="I45">
            <v>388</v>
          </cell>
          <cell r="J45">
            <v>388</v>
          </cell>
          <cell r="K45">
            <v>388</v>
          </cell>
          <cell r="L45">
            <v>388</v>
          </cell>
          <cell r="M45">
            <v>388</v>
          </cell>
          <cell r="N45">
            <v>388</v>
          </cell>
        </row>
        <row r="46">
          <cell r="C46">
            <v>10200</v>
          </cell>
          <cell r="D46">
            <v>10200</v>
          </cell>
          <cell r="E46">
            <v>10200</v>
          </cell>
          <cell r="F46">
            <v>10200</v>
          </cell>
          <cell r="G46">
            <v>10200</v>
          </cell>
          <cell r="H46">
            <v>10200</v>
          </cell>
          <cell r="I46">
            <v>10200</v>
          </cell>
          <cell r="J46">
            <v>10200</v>
          </cell>
          <cell r="K46">
            <v>10200</v>
          </cell>
          <cell r="L46">
            <v>10200</v>
          </cell>
          <cell r="M46">
            <v>10200</v>
          </cell>
          <cell r="N46">
            <v>10200</v>
          </cell>
        </row>
        <row r="47">
          <cell r="C47">
            <v>44036</v>
          </cell>
          <cell r="D47">
            <v>44036</v>
          </cell>
          <cell r="E47">
            <v>44036</v>
          </cell>
          <cell r="F47">
            <v>44036</v>
          </cell>
          <cell r="G47">
            <v>44036</v>
          </cell>
          <cell r="H47">
            <v>44036</v>
          </cell>
          <cell r="I47">
            <v>44036</v>
          </cell>
          <cell r="J47">
            <v>44036</v>
          </cell>
          <cell r="K47">
            <v>44036</v>
          </cell>
          <cell r="L47">
            <v>44036</v>
          </cell>
          <cell r="M47">
            <v>44036</v>
          </cell>
          <cell r="N47">
            <v>44036</v>
          </cell>
        </row>
        <row r="48">
          <cell r="C48">
            <v>3052</v>
          </cell>
          <cell r="D48">
            <v>3052</v>
          </cell>
          <cell r="E48">
            <v>3052</v>
          </cell>
          <cell r="F48">
            <v>3052</v>
          </cell>
          <cell r="G48">
            <v>3052</v>
          </cell>
          <cell r="H48">
            <v>3052</v>
          </cell>
          <cell r="I48">
            <v>3052</v>
          </cell>
          <cell r="J48">
            <v>3052</v>
          </cell>
          <cell r="K48">
            <v>3052</v>
          </cell>
          <cell r="L48">
            <v>3052</v>
          </cell>
          <cell r="M48">
            <v>3052</v>
          </cell>
          <cell r="N48">
            <v>3052</v>
          </cell>
        </row>
        <row r="49">
          <cell r="C49">
            <v>130</v>
          </cell>
          <cell r="D49">
            <v>130</v>
          </cell>
          <cell r="E49">
            <v>130</v>
          </cell>
          <cell r="F49">
            <v>130</v>
          </cell>
          <cell r="G49">
            <v>130</v>
          </cell>
          <cell r="H49">
            <v>130</v>
          </cell>
          <cell r="I49">
            <v>130</v>
          </cell>
          <cell r="J49">
            <v>130</v>
          </cell>
          <cell r="K49">
            <v>130</v>
          </cell>
          <cell r="L49">
            <v>130</v>
          </cell>
          <cell r="M49">
            <v>130</v>
          </cell>
          <cell r="N49">
            <v>130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C51">
            <v>1612</v>
          </cell>
          <cell r="D51">
            <v>1612</v>
          </cell>
          <cell r="E51">
            <v>1612</v>
          </cell>
          <cell r="F51">
            <v>1612</v>
          </cell>
          <cell r="G51">
            <v>1612</v>
          </cell>
          <cell r="H51">
            <v>1612</v>
          </cell>
          <cell r="I51">
            <v>1612</v>
          </cell>
          <cell r="J51">
            <v>1612</v>
          </cell>
          <cell r="K51">
            <v>1612</v>
          </cell>
          <cell r="L51">
            <v>1612</v>
          </cell>
          <cell r="M51">
            <v>1612</v>
          </cell>
          <cell r="N51">
            <v>1612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C54">
            <v>4</v>
          </cell>
          <cell r="D54">
            <v>4</v>
          </cell>
          <cell r="E54">
            <v>4</v>
          </cell>
          <cell r="F54">
            <v>4</v>
          </cell>
          <cell r="G54">
            <v>4</v>
          </cell>
          <cell r="H54">
            <v>4</v>
          </cell>
          <cell r="I54">
            <v>4</v>
          </cell>
          <cell r="J54">
            <v>4</v>
          </cell>
          <cell r="K54">
            <v>4</v>
          </cell>
          <cell r="L54">
            <v>4</v>
          </cell>
          <cell r="M54">
            <v>4</v>
          </cell>
          <cell r="N54">
            <v>4</v>
          </cell>
        </row>
        <row r="55">
          <cell r="C55">
            <v>23930</v>
          </cell>
          <cell r="D55">
            <v>23930</v>
          </cell>
          <cell r="E55">
            <v>23930</v>
          </cell>
          <cell r="F55">
            <v>23930</v>
          </cell>
          <cell r="G55">
            <v>23930</v>
          </cell>
          <cell r="H55">
            <v>23930</v>
          </cell>
          <cell r="I55">
            <v>23930</v>
          </cell>
          <cell r="J55">
            <v>23930</v>
          </cell>
          <cell r="K55">
            <v>23930</v>
          </cell>
          <cell r="L55">
            <v>23930</v>
          </cell>
          <cell r="M55">
            <v>23930</v>
          </cell>
          <cell r="N55">
            <v>23930</v>
          </cell>
        </row>
      </sheetData>
      <sheetData sheetId="28">
        <row r="36">
          <cell r="B36">
            <v>736</v>
          </cell>
          <cell r="C36">
            <v>736</v>
          </cell>
          <cell r="D36">
            <v>736</v>
          </cell>
          <cell r="E36">
            <v>736</v>
          </cell>
          <cell r="F36">
            <v>736</v>
          </cell>
          <cell r="G36">
            <v>736</v>
          </cell>
          <cell r="H36">
            <v>736</v>
          </cell>
          <cell r="I36">
            <v>736</v>
          </cell>
          <cell r="J36">
            <v>736</v>
          </cell>
          <cell r="K36">
            <v>736</v>
          </cell>
          <cell r="L36">
            <v>736</v>
          </cell>
          <cell r="M36">
            <v>736</v>
          </cell>
        </row>
        <row r="37">
          <cell r="B37">
            <v>97941516</v>
          </cell>
          <cell r="C37">
            <v>83022104</v>
          </cell>
          <cell r="D37">
            <v>75914577</v>
          </cell>
          <cell r="E37">
            <v>53571434</v>
          </cell>
          <cell r="F37">
            <v>30561974</v>
          </cell>
          <cell r="G37">
            <v>20171882</v>
          </cell>
          <cell r="H37">
            <v>14529332</v>
          </cell>
          <cell r="I37">
            <v>13851846</v>
          </cell>
          <cell r="J37">
            <v>20485033</v>
          </cell>
          <cell r="K37">
            <v>47224738</v>
          </cell>
          <cell r="L37">
            <v>77482026</v>
          </cell>
          <cell r="M37">
            <v>101612899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32813556</v>
          </cell>
          <cell r="C39">
            <v>30024227</v>
          </cell>
          <cell r="D39">
            <v>27311157</v>
          </cell>
          <cell r="E39">
            <v>19906498</v>
          </cell>
          <cell r="F39">
            <v>14088839</v>
          </cell>
          <cell r="G39">
            <v>10820806</v>
          </cell>
          <cell r="H39">
            <v>8981782</v>
          </cell>
          <cell r="I39">
            <v>9265748</v>
          </cell>
          <cell r="J39">
            <v>10441065</v>
          </cell>
          <cell r="K39">
            <v>17481865</v>
          </cell>
          <cell r="L39">
            <v>26613144</v>
          </cell>
          <cell r="M39">
            <v>35443561</v>
          </cell>
        </row>
        <row r="40">
          <cell r="B40">
            <v>7910759</v>
          </cell>
          <cell r="C40">
            <v>7671023</v>
          </cell>
          <cell r="D40">
            <v>7204827</v>
          </cell>
          <cell r="E40">
            <v>5641062</v>
          </cell>
          <cell r="F40">
            <v>4422143</v>
          </cell>
          <cell r="G40">
            <v>3620707</v>
          </cell>
          <cell r="H40">
            <v>2879055</v>
          </cell>
          <cell r="I40">
            <v>2993984</v>
          </cell>
          <cell r="J40">
            <v>3434869</v>
          </cell>
          <cell r="K40">
            <v>5338183</v>
          </cell>
          <cell r="L40">
            <v>7301859</v>
          </cell>
          <cell r="M40">
            <v>8504414</v>
          </cell>
          <cell r="N40">
            <v>66922885</v>
          </cell>
        </row>
        <row r="41">
          <cell r="B41">
            <v>1198131</v>
          </cell>
          <cell r="C41">
            <v>1185502</v>
          </cell>
          <cell r="D41">
            <v>1088002</v>
          </cell>
          <cell r="E41">
            <v>873041</v>
          </cell>
          <cell r="F41">
            <v>810165</v>
          </cell>
          <cell r="G41">
            <v>636889</v>
          </cell>
          <cell r="H41">
            <v>601480</v>
          </cell>
          <cell r="I41">
            <v>658848</v>
          </cell>
          <cell r="J41">
            <v>666097</v>
          </cell>
          <cell r="K41">
            <v>946492</v>
          </cell>
          <cell r="L41">
            <v>1081303</v>
          </cell>
          <cell r="M41">
            <v>1378690</v>
          </cell>
          <cell r="N41">
            <v>11124640</v>
          </cell>
        </row>
        <row r="42">
          <cell r="B42">
            <v>759018</v>
          </cell>
          <cell r="C42">
            <v>747461</v>
          </cell>
          <cell r="D42">
            <v>701258</v>
          </cell>
          <cell r="E42">
            <v>488482</v>
          </cell>
          <cell r="F42">
            <v>417860</v>
          </cell>
          <cell r="G42">
            <v>257965</v>
          </cell>
          <cell r="H42">
            <v>186909</v>
          </cell>
          <cell r="I42">
            <v>152379</v>
          </cell>
          <cell r="J42">
            <v>170002</v>
          </cell>
          <cell r="K42">
            <v>380238</v>
          </cell>
          <cell r="L42">
            <v>579415</v>
          </cell>
          <cell r="M42">
            <v>850503</v>
          </cell>
          <cell r="N42">
            <v>5691490</v>
          </cell>
        </row>
        <row r="43">
          <cell r="B43">
            <v>2998650.8943750001</v>
          </cell>
          <cell r="C43">
            <v>4620973.8603750002</v>
          </cell>
          <cell r="D43">
            <v>-230183.26163159739</v>
          </cell>
          <cell r="E43">
            <v>2722328.7807902782</v>
          </cell>
          <cell r="F43">
            <v>1246699.5224090284</v>
          </cell>
          <cell r="G43">
            <v>1711965.7117916665</v>
          </cell>
          <cell r="H43">
            <v>204785.59449999995</v>
          </cell>
          <cell r="I43">
            <v>2315404.6089999997</v>
          </cell>
          <cell r="J43">
            <v>955360.63349999976</v>
          </cell>
          <cell r="K43">
            <v>1332643.2697923623</v>
          </cell>
          <cell r="L43">
            <v>4079298.5974499993</v>
          </cell>
          <cell r="M43">
            <v>-138472.44999652982</v>
          </cell>
          <cell r="N43">
            <v>21819455.762355205</v>
          </cell>
        </row>
        <row r="44">
          <cell r="B44">
            <v>3528</v>
          </cell>
          <cell r="C44">
            <v>3764</v>
          </cell>
          <cell r="D44">
            <v>3289</v>
          </cell>
          <cell r="E44">
            <v>2864</v>
          </cell>
          <cell r="F44">
            <v>2114</v>
          </cell>
          <cell r="G44">
            <v>1988</v>
          </cell>
          <cell r="H44">
            <v>1731</v>
          </cell>
          <cell r="I44">
            <v>1953</v>
          </cell>
          <cell r="J44">
            <v>2044</v>
          </cell>
          <cell r="K44">
            <v>2851</v>
          </cell>
          <cell r="L44">
            <v>3983</v>
          </cell>
          <cell r="M44">
            <v>4288</v>
          </cell>
        </row>
        <row r="45">
          <cell r="B45">
            <v>2116956</v>
          </cell>
          <cell r="C45">
            <v>2331781</v>
          </cell>
          <cell r="D45">
            <v>1977795</v>
          </cell>
          <cell r="E45">
            <v>2219457</v>
          </cell>
          <cell r="F45">
            <v>2069887</v>
          </cell>
          <cell r="G45">
            <v>2183125</v>
          </cell>
          <cell r="H45">
            <v>1984196</v>
          </cell>
          <cell r="I45">
            <v>2033669</v>
          </cell>
          <cell r="J45">
            <v>1976564</v>
          </cell>
          <cell r="K45">
            <v>2014514</v>
          </cell>
          <cell r="L45">
            <v>2305708</v>
          </cell>
          <cell r="M45">
            <v>2250869</v>
          </cell>
          <cell r="N45">
            <v>25464521</v>
          </cell>
        </row>
        <row r="46">
          <cell r="B46">
            <v>5016441</v>
          </cell>
          <cell r="C46">
            <v>6201400</v>
          </cell>
          <cell r="D46">
            <v>4921274</v>
          </cell>
          <cell r="E46">
            <v>5504027</v>
          </cell>
          <cell r="F46">
            <v>4906016</v>
          </cell>
          <cell r="G46">
            <v>5236530</v>
          </cell>
          <cell r="H46">
            <v>4812895</v>
          </cell>
          <cell r="I46">
            <v>4804341</v>
          </cell>
          <cell r="J46">
            <v>4845237</v>
          </cell>
          <cell r="K46">
            <v>5320951</v>
          </cell>
          <cell r="L46">
            <v>5758442</v>
          </cell>
          <cell r="M46">
            <v>5459964</v>
          </cell>
          <cell r="N46">
            <v>62787518</v>
          </cell>
        </row>
        <row r="47">
          <cell r="B47">
            <v>42937</v>
          </cell>
          <cell r="C47">
            <v>60764</v>
          </cell>
          <cell r="D47">
            <v>34773</v>
          </cell>
          <cell r="E47">
            <v>44687</v>
          </cell>
          <cell r="F47">
            <v>40593</v>
          </cell>
          <cell r="G47">
            <v>45663</v>
          </cell>
          <cell r="H47">
            <v>45435</v>
          </cell>
          <cell r="I47">
            <v>42617</v>
          </cell>
          <cell r="J47">
            <v>43435</v>
          </cell>
          <cell r="K47">
            <v>42130</v>
          </cell>
          <cell r="L47">
            <v>49027</v>
          </cell>
          <cell r="M47">
            <v>50348</v>
          </cell>
          <cell r="N47">
            <v>542409</v>
          </cell>
        </row>
        <row r="48">
          <cell r="B48">
            <v>9534334.2782708313</v>
          </cell>
          <cell r="C48">
            <v>9083630.6327500008</v>
          </cell>
          <cell r="D48">
            <v>11122338.460125834</v>
          </cell>
          <cell r="E48">
            <v>11482920.092618749</v>
          </cell>
          <cell r="F48">
            <v>11256643.514784165</v>
          </cell>
          <cell r="G48">
            <v>10322709.920044998</v>
          </cell>
          <cell r="H48">
            <v>9478611.2100000009</v>
          </cell>
          <cell r="I48">
            <v>11385047.600000001</v>
          </cell>
          <cell r="J48">
            <v>10431732.109999999</v>
          </cell>
          <cell r="K48">
            <v>11797093.040597919</v>
          </cell>
          <cell r="L48">
            <v>9379606.9908349998</v>
          </cell>
          <cell r="M48">
            <v>13678744.795452083</v>
          </cell>
          <cell r="N48">
            <v>128953412.64547956</v>
          </cell>
        </row>
        <row r="49">
          <cell r="B49">
            <v>3285881</v>
          </cell>
          <cell r="C49">
            <v>4444835</v>
          </cell>
          <cell r="D49">
            <v>2651562</v>
          </cell>
          <cell r="E49">
            <v>2584624</v>
          </cell>
          <cell r="F49">
            <v>1940500</v>
          </cell>
          <cell r="G49">
            <v>1936192</v>
          </cell>
          <cell r="H49">
            <v>1696949</v>
          </cell>
          <cell r="I49">
            <v>1557426</v>
          </cell>
          <cell r="J49">
            <v>1711238</v>
          </cell>
          <cell r="K49">
            <v>2425672</v>
          </cell>
          <cell r="L49">
            <v>3276015</v>
          </cell>
          <cell r="M49">
            <v>3555866</v>
          </cell>
        </row>
      </sheetData>
      <sheetData sheetId="29">
        <row r="9">
          <cell r="B9">
            <v>1527710.4071548481</v>
          </cell>
          <cell r="C9">
            <v>1485443.9260169491</v>
          </cell>
          <cell r="D9">
            <v>1389191.4962287629</v>
          </cell>
          <cell r="E9">
            <v>1047453.6571217595</v>
          </cell>
          <cell r="F9">
            <v>807417.39637770958</v>
          </cell>
          <cell r="G9">
            <v>641980.38125791587</v>
          </cell>
          <cell r="H9">
            <v>504228.50718857377</v>
          </cell>
          <cell r="I9">
            <v>518304.7467391676</v>
          </cell>
          <cell r="J9">
            <v>582089.7331165201</v>
          </cell>
          <cell r="K9">
            <v>1002627.1850174741</v>
          </cell>
          <cell r="L9">
            <v>1361991.3739306401</v>
          </cell>
          <cell r="M9">
            <v>1618538.3540383899</v>
          </cell>
        </row>
        <row r="10">
          <cell r="B10">
            <v>3308979.2394493558</v>
          </cell>
          <cell r="C10">
            <v>3217431.1895343503</v>
          </cell>
          <cell r="D10">
            <v>3008951.0414486784</v>
          </cell>
          <cell r="E10">
            <v>2268756.1657422767</v>
          </cell>
          <cell r="F10">
            <v>1748844.1459005438</v>
          </cell>
          <cell r="G10">
            <v>1390512.065485267</v>
          </cell>
          <cell r="H10">
            <v>1092145.2484786366</v>
          </cell>
          <cell r="I10">
            <v>1122634.0009439525</v>
          </cell>
          <cell r="J10">
            <v>1260790.5486265044</v>
          </cell>
          <cell r="K10">
            <v>2171663.2449399107</v>
          </cell>
          <cell r="L10">
            <v>2950036.3154813442</v>
          </cell>
          <cell r="M10">
            <v>3505710.1049274392</v>
          </cell>
        </row>
        <row r="11">
          <cell r="B11">
            <v>2162158.3533957959</v>
          </cell>
          <cell r="C11">
            <v>2102338.8844487006</v>
          </cell>
          <cell r="D11">
            <v>1966113.4623225587</v>
          </cell>
          <cell r="E11">
            <v>1482454.1771359635</v>
          </cell>
          <cell r="F11">
            <v>1142732.4577217463</v>
          </cell>
          <cell r="G11">
            <v>908590.55325681716</v>
          </cell>
          <cell r="H11">
            <v>713631.24433278956</v>
          </cell>
          <cell r="I11">
            <v>733553.25231687992</v>
          </cell>
          <cell r="J11">
            <v>823827.71825697552</v>
          </cell>
          <cell r="K11">
            <v>1419011.5700426151</v>
          </cell>
          <cell r="L11">
            <v>1927617.3105880157</v>
          </cell>
          <cell r="M11">
            <v>2290706.5410341709</v>
          </cell>
        </row>
        <row r="16">
          <cell r="B16">
            <v>65782.691526346054</v>
          </cell>
          <cell r="C16">
            <v>62457.023073232092</v>
          </cell>
          <cell r="D16">
            <v>60636.424825440452</v>
          </cell>
          <cell r="E16">
            <v>60768.219460463646</v>
          </cell>
          <cell r="F16">
            <v>52165.932415099305</v>
          </cell>
          <cell r="G16">
            <v>49026.161484949087</v>
          </cell>
          <cell r="H16">
            <v>41049.664510097173</v>
          </cell>
          <cell r="I16">
            <v>44688.408341427144</v>
          </cell>
          <cell r="J16">
            <v>55412.971337739662</v>
          </cell>
          <cell r="K16">
            <v>53733.61769606483</v>
          </cell>
          <cell r="L16">
            <v>76625.126681185051</v>
          </cell>
          <cell r="M16">
            <v>78590.504257105626</v>
          </cell>
        </row>
        <row r="17">
          <cell r="B17">
            <v>236911.19712533394</v>
          </cell>
          <cell r="C17">
            <v>224934.06338106268</v>
          </cell>
          <cell r="D17">
            <v>218377.32177683903</v>
          </cell>
          <cell r="E17">
            <v>218851.9698040566</v>
          </cell>
          <cell r="F17">
            <v>187871.50861212125</v>
          </cell>
          <cell r="G17">
            <v>176563.87019688101</v>
          </cell>
          <cell r="H17">
            <v>147837.14279592119</v>
          </cell>
          <cell r="I17">
            <v>160941.79292668623</v>
          </cell>
          <cell r="J17">
            <v>199565.46427775698</v>
          </cell>
          <cell r="K17">
            <v>193517.40402946764</v>
          </cell>
          <cell r="L17">
            <v>275959.37579795555</v>
          </cell>
          <cell r="M17">
            <v>283037.52878183196</v>
          </cell>
        </row>
        <row r="18">
          <cell r="B18">
            <v>609217.11134832003</v>
          </cell>
          <cell r="C18">
            <v>578417.91354570526</v>
          </cell>
          <cell r="D18">
            <v>561557.25339772052</v>
          </cell>
          <cell r="E18">
            <v>562777.81073547981</v>
          </cell>
          <cell r="F18">
            <v>483111.55897277949</v>
          </cell>
          <cell r="G18">
            <v>454033.96831816994</v>
          </cell>
          <cell r="H18">
            <v>380163.19269398169</v>
          </cell>
          <cell r="I18">
            <v>413861.79873188667</v>
          </cell>
          <cell r="J18">
            <v>513182.56438450341</v>
          </cell>
          <cell r="K18">
            <v>497629.97827446758</v>
          </cell>
          <cell r="L18">
            <v>709629.49752085947</v>
          </cell>
          <cell r="M18">
            <v>727830.9669610624</v>
          </cell>
        </row>
        <row r="23">
          <cell r="B23">
            <v>101490.75069984312</v>
          </cell>
          <cell r="C23">
            <v>107780.17836411665</v>
          </cell>
          <cell r="D23">
            <v>96567.769254927844</v>
          </cell>
          <cell r="E23">
            <v>107009.51012273676</v>
          </cell>
          <cell r="F23">
            <v>99779.908048839556</v>
          </cell>
          <cell r="G23">
            <v>103522.41115886993</v>
          </cell>
          <cell r="H23">
            <v>92992.234980940426</v>
          </cell>
          <cell r="I23">
            <v>97551.573401175046</v>
          </cell>
          <cell r="J23">
            <v>96380.254216673522</v>
          </cell>
          <cell r="K23">
            <v>96342.008575207787</v>
          </cell>
          <cell r="L23">
            <v>111770.22607910325</v>
          </cell>
          <cell r="M23">
            <v>111271.9187893264</v>
          </cell>
        </row>
        <row r="24">
          <cell r="B24">
            <v>357348.0323173714</v>
          </cell>
          <cell r="C24">
            <v>379493.05129429838</v>
          </cell>
          <cell r="D24">
            <v>340014.25834935479</v>
          </cell>
          <cell r="E24">
            <v>376779.53525734361</v>
          </cell>
          <cell r="F24">
            <v>351324.17052972078</v>
          </cell>
          <cell r="G24">
            <v>364501.49075928796</v>
          </cell>
          <cell r="H24">
            <v>327424.8339093728</v>
          </cell>
          <cell r="I24">
            <v>343478.22401541669</v>
          </cell>
          <cell r="J24">
            <v>339354.01956416463</v>
          </cell>
          <cell r="K24">
            <v>339219.35700005654</v>
          </cell>
          <cell r="L24">
            <v>393541.97388055216</v>
          </cell>
          <cell r="M24">
            <v>391787.43833654193</v>
          </cell>
        </row>
        <row r="25">
          <cell r="B25">
            <v>1181120.2169827854</v>
          </cell>
          <cell r="C25">
            <v>1254314.7703415849</v>
          </cell>
          <cell r="D25">
            <v>1123827.9723957174</v>
          </cell>
          <cell r="E25">
            <v>1245345.9546199196</v>
          </cell>
          <cell r="F25">
            <v>1161209.9214214396</v>
          </cell>
          <cell r="G25">
            <v>1204764.0980818421</v>
          </cell>
          <cell r="H25">
            <v>1082216.9311096868</v>
          </cell>
          <cell r="I25">
            <v>1135277.2025834082</v>
          </cell>
          <cell r="J25">
            <v>1121645.7262191619</v>
          </cell>
          <cell r="K25">
            <v>1121200.6344247356</v>
          </cell>
          <cell r="L25">
            <v>1300749.8000403445</v>
          </cell>
          <cell r="M25">
            <v>1294950.6428741317</v>
          </cell>
        </row>
        <row r="30">
          <cell r="B30">
            <v>16992.861387356708</v>
          </cell>
          <cell r="C30">
            <v>21025.431691998521</v>
          </cell>
          <cell r="D30">
            <v>14869.20347541364</v>
          </cell>
          <cell r="E30">
            <v>17467.560133861462</v>
          </cell>
          <cell r="F30">
            <v>16300.887769937695</v>
          </cell>
          <cell r="G30">
            <v>18180.587932082301</v>
          </cell>
          <cell r="H30">
            <v>17155.488012331884</v>
          </cell>
          <cell r="I30">
            <v>16293.370964270716</v>
          </cell>
          <cell r="J30">
            <v>14933.292259275708</v>
          </cell>
          <cell r="K30">
            <v>16307.264586119636</v>
          </cell>
          <cell r="L30">
            <v>17799.724570064864</v>
          </cell>
          <cell r="M30">
            <v>16132.953068922807</v>
          </cell>
        </row>
        <row r="31">
          <cell r="B31">
            <v>74911.256716168951</v>
          </cell>
          <cell r="C31">
            <v>92688.422222961366</v>
          </cell>
          <cell r="D31">
            <v>65549.332353197562</v>
          </cell>
          <cell r="E31">
            <v>77003.916619151467</v>
          </cell>
          <cell r="F31">
            <v>71860.763211063328</v>
          </cell>
          <cell r="G31">
            <v>80147.225283931577</v>
          </cell>
          <cell r="H31">
            <v>75628.179227021872</v>
          </cell>
          <cell r="I31">
            <v>71827.626157440114</v>
          </cell>
          <cell r="J31">
            <v>65831.861071056133</v>
          </cell>
          <cell r="K31">
            <v>71888.874739966428</v>
          </cell>
          <cell r="L31">
            <v>78468.228884472963</v>
          </cell>
          <cell r="M31">
            <v>71120.4406007324</v>
          </cell>
        </row>
        <row r="32">
          <cell r="B32">
            <v>385092.88189647428</v>
          </cell>
          <cell r="C32">
            <v>476479.14608504006</v>
          </cell>
          <cell r="D32">
            <v>336966.46417138877</v>
          </cell>
          <cell r="E32">
            <v>395850.52324698702</v>
          </cell>
          <cell r="F32">
            <v>369411.34901899891</v>
          </cell>
          <cell r="G32">
            <v>412009.18678398605</v>
          </cell>
          <cell r="H32">
            <v>388778.33276064618</v>
          </cell>
          <cell r="I32">
            <v>369241.00287828909</v>
          </cell>
          <cell r="J32">
            <v>338418.8466696681</v>
          </cell>
          <cell r="K32">
            <v>369555.86067391385</v>
          </cell>
          <cell r="L32">
            <v>403378.0465454621</v>
          </cell>
          <cell r="M32">
            <v>365605.60633034474</v>
          </cell>
        </row>
        <row r="37">
          <cell r="B37">
            <v>467115.27857081033</v>
          </cell>
          <cell r="C37">
            <v>455308.63865083602</v>
          </cell>
          <cell r="D37">
            <v>417679.05934084579</v>
          </cell>
          <cell r="E37">
            <v>338079.1928653582</v>
          </cell>
          <cell r="F37">
            <v>317362.99373094039</v>
          </cell>
          <cell r="G37">
            <v>242309.76239308147</v>
          </cell>
          <cell r="H37">
            <v>228240.91301494668</v>
          </cell>
          <cell r="I37">
            <v>252116.94239536158</v>
          </cell>
          <cell r="J37">
            <v>243538.91756043324</v>
          </cell>
          <cell r="K37">
            <v>359315.33702538151</v>
          </cell>
          <cell r="L37">
            <v>420609.46437833825</v>
          </cell>
          <cell r="M37">
            <v>540179.30363157857</v>
          </cell>
        </row>
        <row r="38">
          <cell r="B38">
            <v>267143.64872975752</v>
          </cell>
          <cell r="C38">
            <v>260391.42072062331</v>
          </cell>
          <cell r="D38">
            <v>238871.03040542468</v>
          </cell>
          <cell r="E38">
            <v>193347.79504107396</v>
          </cell>
          <cell r="F38">
            <v>181500.18208884276</v>
          </cell>
          <cell r="G38">
            <v>138577.17145665074</v>
          </cell>
          <cell r="H38">
            <v>130531.18381992957</v>
          </cell>
          <cell r="I38">
            <v>144185.90653715286</v>
          </cell>
          <cell r="J38">
            <v>139280.12640444445</v>
          </cell>
          <cell r="K38">
            <v>205492.76502196866</v>
          </cell>
          <cell r="L38">
            <v>240546.93168693912</v>
          </cell>
          <cell r="M38">
            <v>308929.03049961809</v>
          </cell>
        </row>
        <row r="39">
          <cell r="B39">
            <v>359086.0726994322</v>
          </cell>
          <cell r="C39">
            <v>350009.94062854076</v>
          </cell>
          <cell r="D39">
            <v>321082.91025372961</v>
          </cell>
          <cell r="E39">
            <v>259892.0120935679</v>
          </cell>
          <cell r="F39">
            <v>243966.82418021688</v>
          </cell>
          <cell r="G39">
            <v>186271.06615026781</v>
          </cell>
          <cell r="H39">
            <v>175455.90316512377</v>
          </cell>
          <cell r="I39">
            <v>193810.1510674856</v>
          </cell>
          <cell r="J39">
            <v>187215.95603512233</v>
          </cell>
          <cell r="K39">
            <v>276216.89795264986</v>
          </cell>
          <cell r="L39">
            <v>323335.60393472272</v>
          </cell>
          <cell r="M39">
            <v>415252.66586880333</v>
          </cell>
        </row>
        <row r="44">
          <cell r="B44">
            <v>37362.72122237955</v>
          </cell>
          <cell r="C44">
            <v>42713.292812697218</v>
          </cell>
          <cell r="D44">
            <v>39353.407693707253</v>
          </cell>
          <cell r="E44">
            <v>29138.971844858104</v>
          </cell>
          <cell r="F44">
            <v>24009.112224046406</v>
          </cell>
          <cell r="G44">
            <v>24863.435130244005</v>
          </cell>
          <cell r="H44">
            <v>23979.517565776623</v>
          </cell>
          <cell r="I44">
            <v>24508.299231006607</v>
          </cell>
          <cell r="J44">
            <v>34252.073044721852</v>
          </cell>
          <cell r="K44">
            <v>37605.540045050904</v>
          </cell>
          <cell r="L44">
            <v>34519.138093445559</v>
          </cell>
          <cell r="M44">
            <v>40765.393799108955</v>
          </cell>
        </row>
        <row r="45">
          <cell r="B45">
            <v>11495.876082425548</v>
          </cell>
          <cell r="C45">
            <v>13142.156277230939</v>
          </cell>
          <cell r="D45">
            <v>12108.376570736789</v>
          </cell>
          <cell r="E45">
            <v>8965.5677782144612</v>
          </cell>
          <cell r="F45">
            <v>7387.196915715117</v>
          </cell>
          <cell r="G45">
            <v>7650.0575945604933</v>
          </cell>
          <cell r="H45">
            <v>7378.0911409471009</v>
          </cell>
          <cell r="I45">
            <v>7540.788297344302</v>
          </cell>
          <cell r="J45">
            <v>10538.782358616256</v>
          </cell>
          <cell r="K45">
            <v>11570.587318775173</v>
          </cell>
          <cell r="L45">
            <v>10620.953747787869</v>
          </cell>
          <cell r="M45">
            <v>12542.820764487913</v>
          </cell>
        </row>
        <row r="46">
          <cell r="B46">
            <v>55927.402695194905</v>
          </cell>
          <cell r="C46">
            <v>63936.550910071841</v>
          </cell>
          <cell r="D46">
            <v>58907.215735555954</v>
          </cell>
          <cell r="E46">
            <v>43617.460376927433</v>
          </cell>
          <cell r="F46">
            <v>35938.690860238479</v>
          </cell>
          <cell r="G46">
            <v>37217.507275195501</v>
          </cell>
          <cell r="H46">
            <v>35894.391293276276</v>
          </cell>
          <cell r="I46">
            <v>36685.912471649091</v>
          </cell>
          <cell r="J46">
            <v>51271.144596661892</v>
          </cell>
          <cell r="K46">
            <v>56290.872636173925</v>
          </cell>
          <cell r="L46">
            <v>51670.908158766571</v>
          </cell>
          <cell r="M46">
            <v>61020.78543640313</v>
          </cell>
        </row>
        <row r="51">
          <cell r="B51">
            <v>691297.11905937223</v>
          </cell>
          <cell r="C51">
            <v>713702.09641461284</v>
          </cell>
          <cell r="D51">
            <v>697362.60499609401</v>
          </cell>
          <cell r="E51">
            <v>695857.56368673523</v>
          </cell>
          <cell r="F51">
            <v>605365.92046731687</v>
          </cell>
          <cell r="G51">
            <v>589009.0889551579</v>
          </cell>
          <cell r="H51">
            <v>511663.60127320734</v>
          </cell>
          <cell r="I51">
            <v>526399.13403001102</v>
          </cell>
          <cell r="J51">
            <v>522028.24815357797</v>
          </cell>
          <cell r="K51">
            <v>588215.77967112034</v>
          </cell>
          <cell r="L51">
            <v>720857.24959940405</v>
          </cell>
          <cell r="M51">
            <v>717837.70874779194</v>
          </cell>
        </row>
        <row r="52">
          <cell r="B52">
            <v>460801.39715739456</v>
          </cell>
          <cell r="C52">
            <v>475735.99558682623</v>
          </cell>
          <cell r="D52">
            <v>464844.49862132518</v>
          </cell>
          <cell r="E52">
            <v>463841.27566695242</v>
          </cell>
          <cell r="F52">
            <v>403521.80596727447</v>
          </cell>
          <cell r="G52">
            <v>392618.75052835309</v>
          </cell>
          <cell r="H52">
            <v>341062.17983678362</v>
          </cell>
          <cell r="I52">
            <v>350884.51801090018</v>
          </cell>
          <cell r="J52">
            <v>347970.99463123322</v>
          </cell>
          <cell r="K52">
            <v>392089.9503693711</v>
          </cell>
          <cell r="L52">
            <v>480505.44202819606</v>
          </cell>
          <cell r="M52">
            <v>478492.69149758492</v>
          </cell>
        </row>
        <row r="53">
          <cell r="B53">
            <v>602048.48378323333</v>
          </cell>
          <cell r="C53">
            <v>621560.90799856104</v>
          </cell>
          <cell r="D53">
            <v>607330.89638258086</v>
          </cell>
          <cell r="E53">
            <v>606020.1606463124</v>
          </cell>
          <cell r="F53">
            <v>527211.27356540866</v>
          </cell>
          <cell r="G53">
            <v>512966.16051648912</v>
          </cell>
          <cell r="H53">
            <v>445606.21889000916</v>
          </cell>
          <cell r="I53">
            <v>458439.3479590888</v>
          </cell>
          <cell r="J53">
            <v>454632.75721518887</v>
          </cell>
          <cell r="K53">
            <v>512275.26995950862</v>
          </cell>
          <cell r="L53">
            <v>627792.30837239989</v>
          </cell>
          <cell r="M53">
            <v>625162.59975462325</v>
          </cell>
        </row>
        <row r="58">
          <cell r="B58">
            <v>1102044.8559882613</v>
          </cell>
          <cell r="C58">
            <v>1483133.9044781735</v>
          </cell>
          <cell r="D58">
            <v>1064696.9421618711</v>
          </cell>
          <cell r="E58">
            <v>1262848.5052235529</v>
          </cell>
          <cell r="F58">
            <v>1138401.2890798296</v>
          </cell>
          <cell r="G58">
            <v>1264074.0902681644</v>
          </cell>
          <cell r="H58">
            <v>1187264.5675701429</v>
          </cell>
          <cell r="I58">
            <v>1171743.7558626817</v>
          </cell>
          <cell r="J58">
            <v>1189305.6328511634</v>
          </cell>
          <cell r="K58">
            <v>1293272.6067361741</v>
          </cell>
          <cell r="L58">
            <v>1327363.666809781</v>
          </cell>
          <cell r="M58">
            <v>1229122.2830353319</v>
          </cell>
        </row>
        <row r="59">
          <cell r="B59">
            <v>806568.39832877647</v>
          </cell>
          <cell r="C59">
            <v>1085481.1683407621</v>
          </cell>
          <cell r="D59">
            <v>779234.07806750236</v>
          </cell>
          <cell r="E59">
            <v>924257.92893578927</v>
          </cell>
          <cell r="F59">
            <v>833177.07024287677</v>
          </cell>
          <cell r="G59">
            <v>925154.91435437405</v>
          </cell>
          <cell r="H59">
            <v>868939.29539630073</v>
          </cell>
          <cell r="I59">
            <v>857579.87007742526</v>
          </cell>
          <cell r="J59">
            <v>870433.11730894947</v>
          </cell>
          <cell r="K59">
            <v>946524.82550926984</v>
          </cell>
          <cell r="L59">
            <v>971475.50838890765</v>
          </cell>
          <cell r="M59">
            <v>899574.26486874011</v>
          </cell>
        </row>
        <row r="60">
          <cell r="B60">
            <v>1353680.745682962</v>
          </cell>
          <cell r="C60">
            <v>1821785.9271810642</v>
          </cell>
          <cell r="D60">
            <v>1307804.9797706264</v>
          </cell>
          <cell r="E60">
            <v>1551201.5658406578</v>
          </cell>
          <cell r="F60">
            <v>1398338.6406772935</v>
          </cell>
          <cell r="G60">
            <v>1552706.9953774614</v>
          </cell>
          <cell r="H60">
            <v>1458359.1370335564</v>
          </cell>
          <cell r="I60">
            <v>1439294.374059893</v>
          </cell>
          <cell r="J60">
            <v>1460866.2498398873</v>
          </cell>
          <cell r="K60">
            <v>1588572.567754556</v>
          </cell>
          <cell r="L60">
            <v>1630447.8248013114</v>
          </cell>
          <cell r="M60">
            <v>1509774.4520959279</v>
          </cell>
        </row>
        <row r="65">
          <cell r="B65">
            <v>136524.85161193489</v>
          </cell>
          <cell r="C65">
            <v>133818.801397651</v>
          </cell>
          <cell r="D65">
            <v>125252.17254422652</v>
          </cell>
          <cell r="E65">
            <v>87442.825589421525</v>
          </cell>
          <cell r="F65">
            <v>74638.516613337779</v>
          </cell>
          <cell r="G65">
            <v>45938.654682014349</v>
          </cell>
          <cell r="H65">
            <v>33339.562896902324</v>
          </cell>
          <cell r="I65">
            <v>27095.802426134527</v>
          </cell>
          <cell r="J65">
            <v>30142.600970882162</v>
          </cell>
          <cell r="K65">
            <v>67793.188102368571</v>
          </cell>
          <cell r="L65">
            <v>103933.17917303913</v>
          </cell>
          <cell r="M65">
            <v>153751.75566617915</v>
          </cell>
        </row>
        <row r="66">
          <cell r="B66">
            <v>609908.14838806516</v>
          </cell>
          <cell r="C66">
            <v>597819.19860234903</v>
          </cell>
          <cell r="D66">
            <v>559548.82745577348</v>
          </cell>
          <cell r="E66">
            <v>390640.1744105785</v>
          </cell>
          <cell r="F66">
            <v>333438.48338666226</v>
          </cell>
          <cell r="G66">
            <v>205225.34531798566</v>
          </cell>
          <cell r="H66">
            <v>148940.43710309768</v>
          </cell>
          <cell r="I66">
            <v>121047.19757386549</v>
          </cell>
          <cell r="J66">
            <v>134658.39902911783</v>
          </cell>
          <cell r="K66">
            <v>302857.81189763144</v>
          </cell>
          <cell r="L66">
            <v>464308.8208269609</v>
          </cell>
          <cell r="M66">
            <v>686867.24433382088</v>
          </cell>
        </row>
        <row r="71">
          <cell r="B71">
            <v>2888.0467021582695</v>
          </cell>
          <cell r="C71">
            <v>3631.1134658919586</v>
          </cell>
          <cell r="D71">
            <v>3776.6058464377147</v>
          </cell>
          <cell r="E71">
            <v>2386.3963175005042</v>
          </cell>
          <cell r="F71">
            <v>2245.034635456047</v>
          </cell>
          <cell r="G71">
            <v>1560.7155837408336</v>
          </cell>
          <cell r="H71">
            <v>1062.2779645840785</v>
          </cell>
          <cell r="I71">
            <v>972.09104730571551</v>
          </cell>
          <cell r="J71">
            <v>1193.5423836253603</v>
          </cell>
          <cell r="K71">
            <v>2200.0559184419012</v>
          </cell>
          <cell r="L71">
            <v>2564.0163530563641</v>
          </cell>
          <cell r="M71">
            <v>2268.2124437133361</v>
          </cell>
        </row>
        <row r="72">
          <cell r="B72">
            <v>9696.9532978417319</v>
          </cell>
          <cell r="C72">
            <v>12191.886534108042</v>
          </cell>
          <cell r="D72">
            <v>12680.394153562285</v>
          </cell>
          <cell r="E72">
            <v>8012.6036824994962</v>
          </cell>
          <cell r="F72">
            <v>7537.9653645439539</v>
          </cell>
          <cell r="G72">
            <v>5240.2844162591664</v>
          </cell>
          <cell r="H72">
            <v>3566.7220354159217</v>
          </cell>
          <cell r="I72">
            <v>3263.9089526942848</v>
          </cell>
          <cell r="J72">
            <v>4007.4576163746401</v>
          </cell>
          <cell r="K72">
            <v>7386.9440815580992</v>
          </cell>
          <cell r="L72">
            <v>8608.9836469436359</v>
          </cell>
          <cell r="M72">
            <v>7615.7875562866648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3">
          <cell r="B83">
            <v>4253.2836182692963</v>
          </cell>
          <cell r="C83">
            <v>6019.2031530035983</v>
          </cell>
          <cell r="D83">
            <v>3444.5683503290456</v>
          </cell>
          <cell r="E83">
            <v>4426.6363520879431</v>
          </cell>
          <cell r="F83">
            <v>4021.0900136573478</v>
          </cell>
          <cell r="G83">
            <v>4523.317648206229</v>
          </cell>
          <cell r="H83">
            <v>4500.7322634572856</v>
          </cell>
          <cell r="I83">
            <v>4221.5848326567429</v>
          </cell>
          <cell r="J83">
            <v>4302.614853378831</v>
          </cell>
          <cell r="K83">
            <v>4173.3432433026401</v>
          </cell>
          <cell r="L83">
            <v>4856.5511319581892</v>
          </cell>
          <cell r="M83">
            <v>4987.4076813150086</v>
          </cell>
        </row>
        <row r="84">
          <cell r="B84">
            <v>38683.716381730701</v>
          </cell>
          <cell r="C84">
            <v>54744.796846996396</v>
          </cell>
          <cell r="D84">
            <v>31328.431649670951</v>
          </cell>
          <cell r="E84">
            <v>40260.363647912054</v>
          </cell>
          <cell r="F84">
            <v>36571.909986342653</v>
          </cell>
          <cell r="G84">
            <v>41139.682351793766</v>
          </cell>
          <cell r="H84">
            <v>40934.267736542715</v>
          </cell>
          <cell r="I84">
            <v>38395.415167343257</v>
          </cell>
          <cell r="J84">
            <v>39132.385146621164</v>
          </cell>
          <cell r="K84">
            <v>37956.656756697361</v>
          </cell>
          <cell r="L84">
            <v>44170.448868041807</v>
          </cell>
          <cell r="M84">
            <v>45360.59231868499</v>
          </cell>
        </row>
        <row r="89">
          <cell r="B89">
            <v>75000</v>
          </cell>
          <cell r="C89">
            <v>120833</v>
          </cell>
          <cell r="D89">
            <v>125000</v>
          </cell>
          <cell r="E89">
            <v>150000</v>
          </cell>
          <cell r="F89">
            <v>100000</v>
          </cell>
          <cell r="G89">
            <v>137193</v>
          </cell>
          <cell r="H89">
            <v>-1017125.9029999999</v>
          </cell>
          <cell r="I89">
            <v>1292125.9029999999</v>
          </cell>
          <cell r="J89">
            <v>97747.714000000007</v>
          </cell>
          <cell r="K89">
            <v>152252.28599999999</v>
          </cell>
          <cell r="L89">
            <v>125000</v>
          </cell>
          <cell r="M89">
            <v>154167</v>
          </cell>
        </row>
        <row r="90">
          <cell r="B90">
            <v>75000</v>
          </cell>
          <cell r="C90">
            <v>120834</v>
          </cell>
          <cell r="D90">
            <v>120886.97</v>
          </cell>
          <cell r="E90">
            <v>132928.747</v>
          </cell>
          <cell r="F90">
            <v>81115.681000000011</v>
          </cell>
          <cell r="G90">
            <v>125000</v>
          </cell>
          <cell r="H90">
            <v>138263.88800000001</v>
          </cell>
          <cell r="I90">
            <v>114769.96</v>
          </cell>
          <cell r="J90">
            <v>75002</v>
          </cell>
          <cell r="K90">
            <v>135048.86900000001</v>
          </cell>
          <cell r="L90">
            <v>125000</v>
          </cell>
          <cell r="M90">
            <v>154166</v>
          </cell>
        </row>
        <row r="91">
          <cell r="B91">
            <v>154138.10149999999</v>
          </cell>
          <cell r="C91">
            <v>197476.399</v>
          </cell>
          <cell r="D91">
            <v>200000</v>
          </cell>
          <cell r="E91">
            <v>250000</v>
          </cell>
          <cell r="F91">
            <v>150000</v>
          </cell>
          <cell r="G91">
            <v>228529.04199999999</v>
          </cell>
          <cell r="H91">
            <v>214348.38500000001</v>
          </cell>
          <cell r="I91">
            <v>163083.65599999999</v>
          </cell>
          <cell r="J91">
            <v>107780.40999999999</v>
          </cell>
          <cell r="K91">
            <v>198857.35200000001</v>
          </cell>
          <cell r="L91">
            <v>205325.61499999999</v>
          </cell>
          <cell r="M91">
            <v>247351.13550000003</v>
          </cell>
        </row>
        <row r="92">
          <cell r="B92">
            <v>685530.91299999994</v>
          </cell>
          <cell r="C92">
            <v>336606.59600000002</v>
          </cell>
          <cell r="D92">
            <v>163767.62950000004</v>
          </cell>
          <cell r="E92">
            <v>656881.98849999998</v>
          </cell>
          <cell r="F92">
            <v>-9849.9674999999406</v>
          </cell>
          <cell r="G92">
            <v>168792.92300000001</v>
          </cell>
          <cell r="H92">
            <v>103073.18949999986</v>
          </cell>
          <cell r="I92">
            <v>3147.0750000000844</v>
          </cell>
          <cell r="J92">
            <v>11140.85749999994</v>
          </cell>
          <cell r="K92">
            <v>185283.242</v>
          </cell>
          <cell r="L92">
            <v>743315.86349999998</v>
          </cell>
          <cell r="M92">
            <v>-2433.4319999999716</v>
          </cell>
        </row>
        <row r="93">
          <cell r="B93">
            <v>83968.783500000107</v>
          </cell>
          <cell r="C93">
            <v>1449621.1384999999</v>
          </cell>
          <cell r="D93">
            <v>-762310.78599999985</v>
          </cell>
          <cell r="E93">
            <v>353323.82349999994</v>
          </cell>
          <cell r="F93">
            <v>246676.17650000006</v>
          </cell>
          <cell r="G93">
            <v>300000</v>
          </cell>
          <cell r="H93">
            <v>300000</v>
          </cell>
          <cell r="I93">
            <v>300000</v>
          </cell>
          <cell r="J93">
            <v>300000</v>
          </cell>
          <cell r="K93">
            <v>300000</v>
          </cell>
          <cell r="L93">
            <v>1132564.3785000001</v>
          </cell>
          <cell r="M93">
            <v>-211801.31150000013</v>
          </cell>
        </row>
        <row r="94">
          <cell r="B94">
            <v>1925013.0963750002</v>
          </cell>
          <cell r="C94">
            <v>2395602.7268750002</v>
          </cell>
          <cell r="D94">
            <v>-77527.07513159755</v>
          </cell>
          <cell r="E94">
            <v>1179194.2217902783</v>
          </cell>
          <cell r="F94">
            <v>678757.63240902824</v>
          </cell>
          <cell r="G94">
            <v>752450.74679166637</v>
          </cell>
          <cell r="H94">
            <v>466226.03499999997</v>
          </cell>
          <cell r="I94">
            <v>442278.01499999966</v>
          </cell>
          <cell r="J94">
            <v>363689.65199999977</v>
          </cell>
          <cell r="K94">
            <v>361201.52079236228</v>
          </cell>
          <cell r="L94">
            <v>1748092.7404499995</v>
          </cell>
          <cell r="M94">
            <v>-479921.84199652972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9">
          <cell r="B109">
            <v>32799.790000000008</v>
          </cell>
          <cell r="C109">
            <v>25000</v>
          </cell>
          <cell r="D109">
            <v>125000</v>
          </cell>
          <cell r="E109">
            <v>71825.149999999994</v>
          </cell>
          <cell r="F109">
            <v>74052.44</v>
          </cell>
          <cell r="G109">
            <v>71234.03</v>
          </cell>
          <cell r="H109">
            <v>74846.930000000008</v>
          </cell>
          <cell r="I109">
            <v>75036.009999999995</v>
          </cell>
          <cell r="J109">
            <v>74865.759999999995</v>
          </cell>
          <cell r="K109">
            <v>78926</v>
          </cell>
          <cell r="L109">
            <v>3003.3500000000058</v>
          </cell>
          <cell r="M109">
            <v>192200.21</v>
          </cell>
        </row>
        <row r="110">
          <cell r="B110">
            <v>27744.739999999991</v>
          </cell>
          <cell r="C110">
            <v>47255.260000000009</v>
          </cell>
          <cell r="D110">
            <v>102133.38</v>
          </cell>
          <cell r="E110">
            <v>72866.62</v>
          </cell>
          <cell r="F110">
            <v>75000</v>
          </cell>
          <cell r="G110">
            <v>75000</v>
          </cell>
          <cell r="H110">
            <v>75000</v>
          </cell>
          <cell r="I110">
            <v>75000</v>
          </cell>
          <cell r="J110">
            <v>75000</v>
          </cell>
          <cell r="K110">
            <v>75000</v>
          </cell>
          <cell r="L110">
            <v>25000</v>
          </cell>
          <cell r="M110">
            <v>175000</v>
          </cell>
        </row>
        <row r="111">
          <cell r="B111">
            <v>668.61000000000058</v>
          </cell>
          <cell r="C111">
            <v>149331.39000000001</v>
          </cell>
          <cell r="D111">
            <v>200000</v>
          </cell>
          <cell r="E111">
            <v>150000</v>
          </cell>
          <cell r="F111">
            <v>150000</v>
          </cell>
          <cell r="G111">
            <v>150000</v>
          </cell>
          <cell r="H111">
            <v>150000</v>
          </cell>
          <cell r="I111">
            <v>150000</v>
          </cell>
          <cell r="J111">
            <v>150000</v>
          </cell>
          <cell r="K111">
            <v>150000</v>
          </cell>
          <cell r="L111">
            <v>50000</v>
          </cell>
          <cell r="M111">
            <v>350000</v>
          </cell>
        </row>
        <row r="112">
          <cell r="B112">
            <v>-30954.599999999991</v>
          </cell>
          <cell r="C112">
            <v>300000</v>
          </cell>
          <cell r="D112">
            <v>347720.09</v>
          </cell>
          <cell r="E112">
            <v>266512.84999999998</v>
          </cell>
          <cell r="F112">
            <v>268671.90999999992</v>
          </cell>
          <cell r="G112">
            <v>234746.91999999998</v>
          </cell>
          <cell r="H112">
            <v>233993.21000000008</v>
          </cell>
          <cell r="I112">
            <v>222859.59000000003</v>
          </cell>
          <cell r="J112">
            <v>224288.62999999989</v>
          </cell>
          <cell r="K112">
            <v>275790.02</v>
          </cell>
          <cell r="L112">
            <v>100000.00000000006</v>
          </cell>
          <cell r="M112">
            <v>644400.64000000001</v>
          </cell>
        </row>
        <row r="113">
          <cell r="B113">
            <v>-42635.95</v>
          </cell>
          <cell r="C113">
            <v>478617.5</v>
          </cell>
          <cell r="D113">
            <v>388489.63000000006</v>
          </cell>
          <cell r="E113">
            <v>316630.56999999989</v>
          </cell>
          <cell r="F113">
            <v>307937.07000000012</v>
          </cell>
          <cell r="G113">
            <v>299999.99999999994</v>
          </cell>
          <cell r="H113">
            <v>300000</v>
          </cell>
          <cell r="I113">
            <v>300000</v>
          </cell>
          <cell r="J113">
            <v>300000</v>
          </cell>
          <cell r="K113">
            <v>306597.63</v>
          </cell>
          <cell r="L113">
            <v>68517.88</v>
          </cell>
          <cell r="M113">
            <v>1023846.24</v>
          </cell>
        </row>
        <row r="114">
          <cell r="B114">
            <v>1677744.488270832</v>
          </cell>
          <cell r="C114">
            <v>762945.57275000063</v>
          </cell>
          <cell r="D114">
            <v>727653.17012583325</v>
          </cell>
          <cell r="E114">
            <v>596936.27261875034</v>
          </cell>
          <cell r="F114">
            <v>399164.53478416661</v>
          </cell>
          <cell r="G114">
            <v>106499.62004500045</v>
          </cell>
          <cell r="H114">
            <v>185797.06000000006</v>
          </cell>
          <cell r="I114">
            <v>159830.82999999984</v>
          </cell>
          <cell r="J114">
            <v>173678.64000000036</v>
          </cell>
          <cell r="K114">
            <v>449077.9405979173</v>
          </cell>
          <cell r="L114">
            <v>16601.370834999281</v>
          </cell>
          <cell r="M114">
            <v>835617.99545208178</v>
          </cell>
        </row>
        <row r="119">
          <cell r="B119">
            <v>125000</v>
          </cell>
          <cell r="C119">
            <v>175000</v>
          </cell>
          <cell r="D119">
            <v>225000</v>
          </cell>
          <cell r="E119">
            <v>200000</v>
          </cell>
          <cell r="F119">
            <v>200000</v>
          </cell>
          <cell r="G119">
            <v>200000</v>
          </cell>
          <cell r="H119">
            <v>175000</v>
          </cell>
          <cell r="I119">
            <v>225000</v>
          </cell>
          <cell r="J119">
            <v>200000</v>
          </cell>
          <cell r="K119">
            <v>200000</v>
          </cell>
          <cell r="L119">
            <v>175000</v>
          </cell>
          <cell r="M119">
            <v>300000</v>
          </cell>
        </row>
        <row r="120">
          <cell r="B120">
            <v>125000</v>
          </cell>
          <cell r="C120">
            <v>175000</v>
          </cell>
          <cell r="D120">
            <v>225000</v>
          </cell>
          <cell r="E120">
            <v>200000</v>
          </cell>
          <cell r="F120">
            <v>200000</v>
          </cell>
          <cell r="G120">
            <v>200000</v>
          </cell>
          <cell r="H120">
            <v>175000</v>
          </cell>
          <cell r="I120">
            <v>218093.82</v>
          </cell>
          <cell r="J120">
            <v>197028.95</v>
          </cell>
          <cell r="K120">
            <v>209877.22999999998</v>
          </cell>
          <cell r="L120">
            <v>175000</v>
          </cell>
          <cell r="M120">
            <v>300000</v>
          </cell>
        </row>
        <row r="121">
          <cell r="B121">
            <v>250000</v>
          </cell>
          <cell r="C121">
            <v>350000</v>
          </cell>
          <cell r="D121">
            <v>450000</v>
          </cell>
          <cell r="E121">
            <v>400000</v>
          </cell>
          <cell r="F121">
            <v>400000</v>
          </cell>
          <cell r="G121">
            <v>400000</v>
          </cell>
          <cell r="H121">
            <v>350000</v>
          </cell>
          <cell r="I121">
            <v>400000</v>
          </cell>
          <cell r="J121">
            <v>400000</v>
          </cell>
          <cell r="K121">
            <v>450000</v>
          </cell>
          <cell r="L121">
            <v>350000</v>
          </cell>
          <cell r="M121">
            <v>600000</v>
          </cell>
        </row>
        <row r="122">
          <cell r="B122">
            <v>500000</v>
          </cell>
          <cell r="C122">
            <v>700000</v>
          </cell>
          <cell r="D122">
            <v>900000</v>
          </cell>
          <cell r="E122">
            <v>800000</v>
          </cell>
          <cell r="F122">
            <v>800000</v>
          </cell>
          <cell r="G122">
            <v>800000</v>
          </cell>
          <cell r="H122">
            <v>700000</v>
          </cell>
          <cell r="I122">
            <v>800000</v>
          </cell>
          <cell r="J122">
            <v>753326.33</v>
          </cell>
          <cell r="K122">
            <v>922335.43</v>
          </cell>
          <cell r="L122">
            <v>700000</v>
          </cell>
          <cell r="M122">
            <v>1200000</v>
          </cell>
        </row>
        <row r="123">
          <cell r="B123">
            <v>1241187.6000000001</v>
          </cell>
          <cell r="C123">
            <v>1822582.71</v>
          </cell>
          <cell r="D123">
            <v>2440431.62</v>
          </cell>
          <cell r="E123">
            <v>2123467.3600000003</v>
          </cell>
          <cell r="F123">
            <v>2123383.73</v>
          </cell>
          <cell r="G123">
            <v>2106355.9900000002</v>
          </cell>
          <cell r="H123">
            <v>1820337.45</v>
          </cell>
          <cell r="I123">
            <v>2112819.3200000003</v>
          </cell>
          <cell r="J123">
            <v>1800000</v>
          </cell>
          <cell r="K123">
            <v>2434138.3499999996</v>
          </cell>
          <cell r="L123">
            <v>2119934.13</v>
          </cell>
          <cell r="M123">
            <v>3151963.32</v>
          </cell>
        </row>
        <row r="124">
          <cell r="B124">
            <v>5627779.5999999996</v>
          </cell>
          <cell r="C124">
            <v>4097898.2</v>
          </cell>
          <cell r="D124">
            <v>4990910.5700000012</v>
          </cell>
          <cell r="E124">
            <v>6284681.2699999996</v>
          </cell>
          <cell r="F124">
            <v>6258433.8300000001</v>
          </cell>
          <cell r="G124">
            <v>5678873.3599999985</v>
          </cell>
          <cell r="H124">
            <v>5238636.5599999996</v>
          </cell>
          <cell r="I124">
            <v>6646408.0300000012</v>
          </cell>
          <cell r="J124">
            <v>6083543.7999999989</v>
          </cell>
          <cell r="K124">
            <v>6245350.4400000013</v>
          </cell>
          <cell r="L124">
            <v>5596550.2599999998</v>
          </cell>
          <cell r="M124">
            <v>4905716.3900000006</v>
          </cell>
        </row>
      </sheetData>
      <sheetData sheetId="30"/>
      <sheetData sheetId="31"/>
      <sheetData sheetId="32">
        <row r="36">
          <cell r="B36">
            <v>736</v>
          </cell>
          <cell r="C36">
            <v>736</v>
          </cell>
          <cell r="D36">
            <v>736</v>
          </cell>
          <cell r="E36">
            <v>736</v>
          </cell>
          <cell r="F36">
            <v>736</v>
          </cell>
          <cell r="G36">
            <v>736</v>
          </cell>
          <cell r="H36">
            <v>736</v>
          </cell>
          <cell r="I36">
            <v>736</v>
          </cell>
          <cell r="J36">
            <v>736</v>
          </cell>
          <cell r="K36">
            <v>736</v>
          </cell>
          <cell r="L36">
            <v>736</v>
          </cell>
          <cell r="M36">
            <v>736</v>
          </cell>
        </row>
        <row r="37">
          <cell r="B37">
            <v>97939022</v>
          </cell>
          <cell r="C37">
            <v>84388896</v>
          </cell>
          <cell r="D37">
            <v>77323969</v>
          </cell>
          <cell r="E37">
            <v>53507958</v>
          </cell>
          <cell r="F37">
            <v>30480725</v>
          </cell>
          <cell r="G37">
            <v>20098155</v>
          </cell>
          <cell r="H37">
            <v>14466554</v>
          </cell>
          <cell r="I37">
            <v>13798925</v>
          </cell>
          <cell r="J37">
            <v>20484242</v>
          </cell>
          <cell r="K37">
            <v>47350638</v>
          </cell>
          <cell r="L37">
            <v>77723497</v>
          </cell>
          <cell r="M37">
            <v>101901968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32928097</v>
          </cell>
          <cell r="C39">
            <v>30624982</v>
          </cell>
          <cell r="D39">
            <v>27968358</v>
          </cell>
          <cell r="E39">
            <v>20038502</v>
          </cell>
          <cell r="F39">
            <v>14236908</v>
          </cell>
          <cell r="G39">
            <v>10978875</v>
          </cell>
          <cell r="H39">
            <v>9137542</v>
          </cell>
          <cell r="I39">
            <v>9432504</v>
          </cell>
          <cell r="J39">
            <v>10596109</v>
          </cell>
          <cell r="K39">
            <v>17665776</v>
          </cell>
          <cell r="L39">
            <v>26773535</v>
          </cell>
          <cell r="M39">
            <v>35555055</v>
          </cell>
        </row>
        <row r="40">
          <cell r="B40">
            <v>7888189</v>
          </cell>
          <cell r="C40">
            <v>7769589</v>
          </cell>
          <cell r="D40">
            <v>7323085</v>
          </cell>
          <cell r="E40">
            <v>5619867</v>
          </cell>
          <cell r="F40">
            <v>4403676</v>
          </cell>
          <cell r="G40">
            <v>3602353</v>
          </cell>
          <cell r="H40">
            <v>2860641</v>
          </cell>
          <cell r="I40">
            <v>2970849</v>
          </cell>
          <cell r="J40">
            <v>3405163</v>
          </cell>
          <cell r="K40">
            <v>5305866</v>
          </cell>
          <cell r="L40">
            <v>7269688</v>
          </cell>
          <cell r="M40">
            <v>8471575</v>
          </cell>
        </row>
        <row r="41">
          <cell r="B41">
            <v>1161136</v>
          </cell>
          <cell r="C41">
            <v>1161191</v>
          </cell>
          <cell r="D41">
            <v>1058245</v>
          </cell>
          <cell r="E41">
            <v>840349</v>
          </cell>
          <cell r="F41">
            <v>780885</v>
          </cell>
          <cell r="G41">
            <v>615102</v>
          </cell>
          <cell r="H41">
            <v>581128</v>
          </cell>
          <cell r="I41">
            <v>636053</v>
          </cell>
          <cell r="J41">
            <v>642739</v>
          </cell>
          <cell r="K41">
            <v>909563</v>
          </cell>
          <cell r="L41">
            <v>1037256</v>
          </cell>
          <cell r="M41">
            <v>1321731</v>
          </cell>
        </row>
        <row r="42">
          <cell r="B42">
            <v>734470</v>
          </cell>
          <cell r="C42">
            <v>730359</v>
          </cell>
          <cell r="D42">
            <v>680496</v>
          </cell>
          <cell r="E42">
            <v>469537</v>
          </cell>
          <cell r="F42">
            <v>402401</v>
          </cell>
          <cell r="G42">
            <v>248868</v>
          </cell>
          <cell r="H42">
            <v>180391</v>
          </cell>
          <cell r="I42">
            <v>146949</v>
          </cell>
          <cell r="J42">
            <v>163570</v>
          </cell>
          <cell r="K42">
            <v>364476</v>
          </cell>
          <cell r="L42">
            <v>554566</v>
          </cell>
          <cell r="M42">
            <v>813325</v>
          </cell>
        </row>
        <row r="43">
          <cell r="B43">
            <v>2998650.8943750001</v>
          </cell>
          <cell r="C43">
            <v>4620973.8603750002</v>
          </cell>
          <cell r="D43">
            <v>-230183.26163159739</v>
          </cell>
          <cell r="E43">
            <v>2722328.7807902782</v>
          </cell>
          <cell r="F43">
            <v>1246699.5224090284</v>
          </cell>
          <cell r="G43">
            <v>1711965.7117916665</v>
          </cell>
          <cell r="H43">
            <v>204785.59449999995</v>
          </cell>
          <cell r="I43">
            <v>2315404.6089999997</v>
          </cell>
          <cell r="J43">
            <v>955360.63349999976</v>
          </cell>
          <cell r="K43">
            <v>1332643.2697923623</v>
          </cell>
          <cell r="L43">
            <v>4079298.5974499993</v>
          </cell>
          <cell r="M43">
            <v>-138472.44999652982</v>
          </cell>
        </row>
        <row r="44">
          <cell r="B44">
            <v>3584</v>
          </cell>
          <cell r="C44">
            <v>3704</v>
          </cell>
          <cell r="D44">
            <v>3231</v>
          </cell>
          <cell r="E44">
            <v>2806</v>
          </cell>
          <cell r="F44">
            <v>2070</v>
          </cell>
          <cell r="G44">
            <v>1945</v>
          </cell>
          <cell r="H44">
            <v>1693</v>
          </cell>
          <cell r="I44">
            <v>1910</v>
          </cell>
          <cell r="J44">
            <v>2000</v>
          </cell>
          <cell r="K44">
            <v>2796</v>
          </cell>
          <cell r="L44">
            <v>3910</v>
          </cell>
          <cell r="M44">
            <v>4218</v>
          </cell>
        </row>
        <row r="45">
          <cell r="B45">
            <v>2265846</v>
          </cell>
          <cell r="C45">
            <v>2422810</v>
          </cell>
          <cell r="D45">
            <v>2062550</v>
          </cell>
          <cell r="E45">
            <v>2310270</v>
          </cell>
          <cell r="F45">
            <v>2150213</v>
          </cell>
          <cell r="G45">
            <v>2264391</v>
          </cell>
          <cell r="H45">
            <v>2055994</v>
          </cell>
          <cell r="I45">
            <v>2108840</v>
          </cell>
          <cell r="J45">
            <v>2050826</v>
          </cell>
          <cell r="K45">
            <v>2092145</v>
          </cell>
          <cell r="L45">
            <v>2394558</v>
          </cell>
          <cell r="M45">
            <v>2331791</v>
          </cell>
        </row>
        <row r="46">
          <cell r="B46">
            <v>5134678</v>
          </cell>
          <cell r="C46">
            <v>6142926</v>
          </cell>
          <cell r="D46">
            <v>4864940</v>
          </cell>
          <cell r="E46">
            <v>5439076</v>
          </cell>
          <cell r="F46">
            <v>4847607</v>
          </cell>
          <cell r="G46">
            <v>5177332</v>
          </cell>
          <cell r="H46">
            <v>4759620</v>
          </cell>
          <cell r="I46">
            <v>4751470</v>
          </cell>
          <cell r="J46">
            <v>4791537</v>
          </cell>
          <cell r="K46">
            <v>5268534</v>
          </cell>
          <cell r="L46">
            <v>5701725</v>
          </cell>
          <cell r="M46">
            <v>5409481</v>
          </cell>
        </row>
        <row r="47">
          <cell r="B47">
            <v>47088</v>
          </cell>
          <cell r="C47">
            <v>64390</v>
          </cell>
          <cell r="D47">
            <v>37100</v>
          </cell>
          <cell r="E47">
            <v>47661</v>
          </cell>
          <cell r="F47">
            <v>43279</v>
          </cell>
          <cell r="G47">
            <v>48694</v>
          </cell>
          <cell r="H47">
            <v>48436</v>
          </cell>
          <cell r="I47">
            <v>45424</v>
          </cell>
          <cell r="J47">
            <v>46262</v>
          </cell>
          <cell r="K47">
            <v>44895</v>
          </cell>
          <cell r="L47">
            <v>52241</v>
          </cell>
          <cell r="M47">
            <v>53232</v>
          </cell>
        </row>
        <row r="48">
          <cell r="B48">
            <v>11091789.278270831</v>
          </cell>
          <cell r="C48">
            <v>10641085.632750001</v>
          </cell>
          <cell r="D48">
            <v>12679793.460125834</v>
          </cell>
          <cell r="E48">
            <v>12414385.092618749</v>
          </cell>
          <cell r="F48">
            <v>12188108.514784165</v>
          </cell>
          <cell r="G48">
            <v>11254174.920044998</v>
          </cell>
          <cell r="H48">
            <v>10410076.210000001</v>
          </cell>
          <cell r="I48">
            <v>12316512.600000001</v>
          </cell>
          <cell r="J48">
            <v>11363197.109999999</v>
          </cell>
          <cell r="K48">
            <v>12728558.040597919</v>
          </cell>
          <cell r="L48">
            <v>10311071.990835</v>
          </cell>
          <cell r="M48">
            <v>14610213.795452083</v>
          </cell>
        </row>
        <row r="49">
          <cell r="B49">
            <v>3376573</v>
          </cell>
          <cell r="C49">
            <v>4414906</v>
          </cell>
          <cell r="D49">
            <v>2630513</v>
          </cell>
          <cell r="E49">
            <v>2564284</v>
          </cell>
          <cell r="F49">
            <v>1925391</v>
          </cell>
          <cell r="G49">
            <v>1922345</v>
          </cell>
          <cell r="H49">
            <v>1684994</v>
          </cell>
          <cell r="I49">
            <v>1546823</v>
          </cell>
          <cell r="J49">
            <v>1699014</v>
          </cell>
          <cell r="K49">
            <v>2410628</v>
          </cell>
          <cell r="L49">
            <v>3256750</v>
          </cell>
          <cell r="M49">
            <v>3535679</v>
          </cell>
        </row>
      </sheetData>
      <sheetData sheetId="33"/>
      <sheetData sheetId="34"/>
      <sheetData sheetId="35"/>
      <sheetData sheetId="36"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5"/>
  <sheetViews>
    <sheetView workbookViewId="0">
      <selection activeCell="B22" sqref="B22"/>
    </sheetView>
  </sheetViews>
  <sheetFormatPr defaultRowHeight="12.75" x14ac:dyDescent="0.2"/>
  <cols>
    <col min="1" max="1" width="28.85546875" style="69" customWidth="1"/>
    <col min="2" max="2" width="13.5703125" style="69" customWidth="1"/>
    <col min="3" max="3" width="63.7109375" style="69" bestFit="1" customWidth="1"/>
    <col min="4" max="16384" width="9.140625" style="69"/>
  </cols>
  <sheetData>
    <row r="1" spans="1:3" x14ac:dyDescent="0.2">
      <c r="A1" s="185" t="s">
        <v>0</v>
      </c>
    </row>
    <row r="2" spans="1:3" x14ac:dyDescent="0.2">
      <c r="A2" s="185" t="s">
        <v>195</v>
      </c>
    </row>
    <row r="3" spans="1:3" x14ac:dyDescent="0.2">
      <c r="A3" s="185" t="s">
        <v>353</v>
      </c>
    </row>
    <row r="4" spans="1:3" x14ac:dyDescent="0.2">
      <c r="A4" s="185" t="s">
        <v>344</v>
      </c>
    </row>
    <row r="6" spans="1:3" x14ac:dyDescent="0.2">
      <c r="A6" s="186" t="s">
        <v>345</v>
      </c>
      <c r="B6" s="186" t="s">
        <v>346</v>
      </c>
      <c r="C6" s="186" t="s">
        <v>111</v>
      </c>
    </row>
    <row r="7" spans="1:3" x14ac:dyDescent="0.2">
      <c r="A7" s="187" t="s">
        <v>354</v>
      </c>
      <c r="B7" s="69" t="s">
        <v>361</v>
      </c>
      <c r="C7" s="69" t="s">
        <v>365</v>
      </c>
    </row>
    <row r="8" spans="1:3" x14ac:dyDescent="0.2">
      <c r="A8" s="187" t="s">
        <v>355</v>
      </c>
      <c r="B8" s="69" t="s">
        <v>361</v>
      </c>
      <c r="C8" s="69" t="s">
        <v>366</v>
      </c>
    </row>
    <row r="9" spans="1:3" x14ac:dyDescent="0.2">
      <c r="A9" s="187" t="s">
        <v>356</v>
      </c>
      <c r="B9" s="69" t="s">
        <v>361</v>
      </c>
      <c r="C9" s="69" t="s">
        <v>366</v>
      </c>
    </row>
    <row r="10" spans="1:3" x14ac:dyDescent="0.2">
      <c r="A10" s="187" t="s">
        <v>357</v>
      </c>
      <c r="B10" s="69" t="s">
        <v>361</v>
      </c>
      <c r="C10" s="69" t="s">
        <v>367</v>
      </c>
    </row>
    <row r="11" spans="1:3" x14ac:dyDescent="0.2">
      <c r="A11" s="187" t="s">
        <v>358</v>
      </c>
      <c r="B11" s="69" t="s">
        <v>361</v>
      </c>
      <c r="C11" s="69" t="s">
        <v>368</v>
      </c>
    </row>
    <row r="12" spans="1:3" x14ac:dyDescent="0.2">
      <c r="A12" s="187" t="s">
        <v>359</v>
      </c>
      <c r="B12" s="69" t="s">
        <v>361</v>
      </c>
      <c r="C12" s="69" t="s">
        <v>369</v>
      </c>
    </row>
    <row r="13" spans="1:3" x14ac:dyDescent="0.2">
      <c r="A13" s="187" t="s">
        <v>360</v>
      </c>
      <c r="B13" s="69" t="s">
        <v>361</v>
      </c>
      <c r="C13" s="69" t="s">
        <v>370</v>
      </c>
    </row>
    <row r="14" spans="1:3" x14ac:dyDescent="0.2">
      <c r="A14" s="187" t="s">
        <v>362</v>
      </c>
      <c r="B14" s="69" t="s">
        <v>347</v>
      </c>
      <c r="C14" s="69" t="s">
        <v>371</v>
      </c>
    </row>
    <row r="15" spans="1:3" x14ac:dyDescent="0.2">
      <c r="A15" s="187" t="s">
        <v>363</v>
      </c>
      <c r="B15" s="69" t="s">
        <v>347</v>
      </c>
      <c r="C15" s="69" t="s">
        <v>372</v>
      </c>
    </row>
    <row r="16" spans="1:3" x14ac:dyDescent="0.2">
      <c r="A16" s="187" t="s">
        <v>364</v>
      </c>
      <c r="B16" s="69" t="s">
        <v>347</v>
      </c>
      <c r="C16" s="69" t="s">
        <v>373</v>
      </c>
    </row>
    <row r="17" spans="1:3" x14ac:dyDescent="0.2">
      <c r="A17" s="187" t="s">
        <v>348</v>
      </c>
      <c r="B17" s="69" t="s">
        <v>347</v>
      </c>
      <c r="C17" s="69" t="s">
        <v>374</v>
      </c>
    </row>
    <row r="20" spans="1:3" x14ac:dyDescent="0.2">
      <c r="A20" s="186" t="s">
        <v>349</v>
      </c>
      <c r="B20" s="188"/>
    </row>
    <row r="21" spans="1:3" x14ac:dyDescent="0.2">
      <c r="A21" s="69" t="s">
        <v>375</v>
      </c>
    </row>
    <row r="23" spans="1:3" x14ac:dyDescent="0.2">
      <c r="A23" s="186" t="s">
        <v>351</v>
      </c>
    </row>
    <row r="24" spans="1:3" x14ac:dyDescent="0.2">
      <c r="A24" s="69" t="s">
        <v>352</v>
      </c>
    </row>
    <row r="25" spans="1:3" x14ac:dyDescent="0.2">
      <c r="A25" s="69" t="s">
        <v>350</v>
      </c>
    </row>
  </sheetData>
  <hyperlinks>
    <hyperlink ref="A7" location="'Rate Impacts_RY#1'!A1" display="Rate Impacts_RY#1" xr:uid="{00000000-0004-0000-0000-000000000000}"/>
    <hyperlink ref="A8" location="'Rate Impacts_RY#2'!A1" display="Rate Impacts_RY#2" xr:uid="{00000000-0004-0000-0000-000001000000}"/>
    <hyperlink ref="A9" location="'Rate Impacts_RY#3'!A1" display="Rate Impacts_RY#3" xr:uid="{00000000-0004-0000-0000-000002000000}"/>
    <hyperlink ref="A10" location="'Res Bill Summary'!A1" display="Res Bill Summary" xr:uid="{00000000-0004-0000-0000-000003000000}"/>
    <hyperlink ref="A11" location="'Typical Res Bill_RY#1 '!A1" display="Typical Res Bill_RY#1" xr:uid="{00000000-0004-0000-0000-000004000000}"/>
    <hyperlink ref="A12" location="'Typical Res Bill_RY#2'!A1" display="Typical Res Bill_RY#2" xr:uid="{00000000-0004-0000-0000-000005000000}"/>
    <hyperlink ref="A13" location="'Typical Res Bill_RY#3'!A1" display="Typical Res Bill_RY#3" xr:uid="{00000000-0004-0000-0000-000006000000}"/>
    <hyperlink ref="A14" location="'Avg Per Therm Impacts--&gt;'!A1" display="Average Per Therm Impacts" xr:uid="{00000000-0004-0000-0000-000007000000}"/>
    <hyperlink ref="A15" location="'Revenue Calculations--&gt;'!A1" display="Revenue Calculations" xr:uid="{00000000-0004-0000-0000-000008000000}"/>
    <hyperlink ref="A16" location="'Rider Revenue Calculation--&gt;'!A1" display="Rider Revenue Calculations" xr:uid="{00000000-0004-0000-0000-000009000000}"/>
    <hyperlink ref="A17" location="'Data--&gt;'!A1" display="Data" xr:uid="{00000000-0004-0000-0000-00000A000000}"/>
  </hyperlinks>
  <pageMargins left="0.7" right="0.7" top="0.75" bottom="0.75" header="0.3" footer="0.3"/>
  <pageSetup orientation="landscape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Q43"/>
  <sheetViews>
    <sheetView zoomScale="90" zoomScaleNormal="90" workbookViewId="0">
      <selection activeCell="N39" sqref="N39"/>
    </sheetView>
  </sheetViews>
  <sheetFormatPr defaultColWidth="9.140625" defaultRowHeight="15" x14ac:dyDescent="0.25"/>
  <cols>
    <col min="1" max="1" width="2.140625" style="43" customWidth="1"/>
    <col min="2" max="2" width="2.42578125" style="43" customWidth="1"/>
    <col min="3" max="3" width="31.28515625" style="43" customWidth="1"/>
    <col min="4" max="5" width="11.7109375" style="43" customWidth="1"/>
    <col min="6" max="6" width="2.5703125" style="43" customWidth="1"/>
    <col min="7" max="8" width="11.7109375" style="43" customWidth="1"/>
    <col min="9" max="9" width="2.5703125" style="43" customWidth="1"/>
    <col min="10" max="11" width="11.7109375" style="43" customWidth="1"/>
    <col min="12" max="12" width="2.5703125" style="43" customWidth="1"/>
    <col min="13" max="14" width="11.7109375" style="43" customWidth="1"/>
    <col min="15" max="15" width="2.5703125" style="43" customWidth="1"/>
    <col min="16" max="17" width="11.7109375" style="43" customWidth="1"/>
    <col min="18" max="16384" width="9.140625" style="43"/>
  </cols>
  <sheetData>
    <row r="1" spans="2:17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2:17" x14ac:dyDescent="0.25">
      <c r="B2" s="42" t="s">
        <v>195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2:17" x14ac:dyDescent="0.25">
      <c r="B3" s="42" t="s">
        <v>332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2:17" x14ac:dyDescent="0.25">
      <c r="B4" s="151" t="s">
        <v>214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6" spans="2:17" x14ac:dyDescent="0.25">
      <c r="D6" s="133" t="s">
        <v>253</v>
      </c>
      <c r="E6" s="133"/>
      <c r="F6" s="19"/>
      <c r="G6" s="133" t="s">
        <v>239</v>
      </c>
      <c r="H6" s="133"/>
      <c r="J6" s="133" t="s">
        <v>240</v>
      </c>
      <c r="K6" s="133"/>
      <c r="M6" s="208" t="s">
        <v>400</v>
      </c>
      <c r="N6" s="208"/>
      <c r="P6" s="133" t="s">
        <v>193</v>
      </c>
      <c r="Q6" s="133"/>
    </row>
    <row r="7" spans="2:17" ht="17.25" x14ac:dyDescent="0.25">
      <c r="D7" s="72" t="s">
        <v>175</v>
      </c>
      <c r="E7" s="72" t="s">
        <v>176</v>
      </c>
      <c r="F7" s="48"/>
      <c r="G7" s="72" t="s">
        <v>22</v>
      </c>
      <c r="H7" s="72" t="s">
        <v>176</v>
      </c>
      <c r="J7" s="72" t="s">
        <v>22</v>
      </c>
      <c r="K7" s="72" t="s">
        <v>176</v>
      </c>
      <c r="L7" s="48"/>
      <c r="M7" s="192" t="s">
        <v>22</v>
      </c>
      <c r="N7" s="192" t="s">
        <v>176</v>
      </c>
      <c r="O7" s="48"/>
      <c r="P7" s="72" t="s">
        <v>22</v>
      </c>
      <c r="Q7" s="72" t="s">
        <v>176</v>
      </c>
    </row>
    <row r="8" spans="2:17" x14ac:dyDescent="0.25">
      <c r="B8" s="43" t="s">
        <v>177</v>
      </c>
      <c r="D8" s="134">
        <v>64</v>
      </c>
      <c r="E8" s="135"/>
      <c r="F8" s="134"/>
      <c r="G8" s="134">
        <v>64</v>
      </c>
      <c r="H8" s="135"/>
      <c r="J8" s="134">
        <v>64</v>
      </c>
      <c r="K8" s="135"/>
      <c r="L8" s="135"/>
      <c r="M8" s="204">
        <v>64</v>
      </c>
      <c r="N8" s="207"/>
      <c r="O8" s="135"/>
      <c r="P8" s="134">
        <v>64</v>
      </c>
      <c r="Q8" s="135"/>
    </row>
    <row r="9" spans="2:17" x14ac:dyDescent="0.25">
      <c r="D9" s="134"/>
      <c r="E9" s="135"/>
      <c r="F9" s="134"/>
      <c r="G9" s="134"/>
      <c r="H9" s="135"/>
      <c r="J9" s="134"/>
      <c r="K9" s="135"/>
      <c r="L9" s="135"/>
      <c r="M9" s="204"/>
      <c r="N9" s="207"/>
      <c r="O9" s="135"/>
      <c r="P9" s="134"/>
      <c r="Q9" s="135"/>
    </row>
    <row r="10" spans="2:17" x14ac:dyDescent="0.25">
      <c r="B10" s="43" t="s">
        <v>178</v>
      </c>
      <c r="D10" s="134"/>
      <c r="E10" s="135"/>
      <c r="F10" s="134"/>
      <c r="G10" s="134"/>
      <c r="H10" s="135"/>
      <c r="J10" s="134"/>
      <c r="K10" s="135"/>
      <c r="L10" s="135"/>
      <c r="M10" s="204"/>
      <c r="N10" s="207"/>
      <c r="O10" s="135"/>
      <c r="P10" s="134"/>
      <c r="Q10" s="135"/>
    </row>
    <row r="11" spans="2:17" x14ac:dyDescent="0.25">
      <c r="C11" s="43" t="s">
        <v>238</v>
      </c>
      <c r="D11" s="179">
        <f>'Typical Res Bill_RY#1 '!Y11</f>
        <v>12.5</v>
      </c>
      <c r="E11" s="135">
        <f>D11</f>
        <v>12.5</v>
      </c>
      <c r="F11" s="136"/>
      <c r="G11" s="137">
        <f>$D$11</f>
        <v>12.5</v>
      </c>
      <c r="H11" s="135">
        <f>G11</f>
        <v>12.5</v>
      </c>
      <c r="J11" s="137">
        <f>$D$11</f>
        <v>12.5</v>
      </c>
      <c r="K11" s="135">
        <f>J11</f>
        <v>12.5</v>
      </c>
      <c r="L11" s="135"/>
      <c r="M11" s="209">
        <f>$D$11</f>
        <v>12.5</v>
      </c>
      <c r="N11" s="207">
        <f>M11</f>
        <v>12.5</v>
      </c>
      <c r="O11" s="135"/>
      <c r="P11" s="137">
        <f>$D$11</f>
        <v>12.5</v>
      </c>
      <c r="Q11" s="135">
        <f>P11</f>
        <v>12.5</v>
      </c>
    </row>
    <row r="12" spans="2:17" x14ac:dyDescent="0.25">
      <c r="C12" s="43" t="s">
        <v>14</v>
      </c>
      <c r="D12" s="138">
        <f>SUM(D11:D11)</f>
        <v>12.5</v>
      </c>
      <c r="E12" s="138">
        <f>SUM(E11:E11)</f>
        <v>12.5</v>
      </c>
      <c r="F12" s="136"/>
      <c r="G12" s="138">
        <f>SUM(G11:G11)</f>
        <v>12.5</v>
      </c>
      <c r="H12" s="138">
        <f>SUM(H11:H11)</f>
        <v>12.5</v>
      </c>
      <c r="J12" s="138">
        <f>SUM(J11:J11)</f>
        <v>12.5</v>
      </c>
      <c r="K12" s="138">
        <f>SUM(K11:K11)</f>
        <v>12.5</v>
      </c>
      <c r="L12" s="137"/>
      <c r="M12" s="210">
        <f>SUM(M11:M11)</f>
        <v>12.5</v>
      </c>
      <c r="N12" s="210">
        <f>SUM(N11:N11)</f>
        <v>12.5</v>
      </c>
      <c r="O12" s="137"/>
      <c r="P12" s="138">
        <f>SUM(P11:P11)</f>
        <v>12.5</v>
      </c>
      <c r="Q12" s="138">
        <f>SUM(Q11:Q11)</f>
        <v>12.5</v>
      </c>
    </row>
    <row r="13" spans="2:17" x14ac:dyDescent="0.25">
      <c r="D13" s="136"/>
      <c r="E13" s="135"/>
      <c r="F13" s="136"/>
      <c r="G13" s="137"/>
      <c r="H13" s="135"/>
      <c r="J13" s="137"/>
      <c r="K13" s="135"/>
      <c r="L13" s="135"/>
      <c r="M13" s="209"/>
      <c r="N13" s="207"/>
      <c r="O13" s="135"/>
      <c r="P13" s="137"/>
      <c r="Q13" s="135"/>
    </row>
    <row r="14" spans="2:17" x14ac:dyDescent="0.25">
      <c r="B14" s="43" t="s">
        <v>179</v>
      </c>
      <c r="E14" s="135"/>
      <c r="H14" s="135"/>
      <c r="K14" s="135"/>
      <c r="L14" s="135"/>
      <c r="M14" s="204"/>
      <c r="N14" s="207"/>
      <c r="O14" s="135"/>
      <c r="Q14" s="135"/>
    </row>
    <row r="15" spans="2:17" x14ac:dyDescent="0.25">
      <c r="C15" s="43" t="s">
        <v>226</v>
      </c>
      <c r="D15" s="92">
        <f>'Typical Res Bill_RY#1 '!Y15</f>
        <v>0.45612999999999998</v>
      </c>
      <c r="E15" s="135"/>
      <c r="F15" s="139"/>
      <c r="G15" s="113">
        <f>$D$15</f>
        <v>0.45612999999999998</v>
      </c>
      <c r="H15" s="135"/>
      <c r="J15" s="113">
        <f>$D$15</f>
        <v>0.45612999999999998</v>
      </c>
      <c r="K15" s="135"/>
      <c r="L15" s="135"/>
      <c r="M15" s="206">
        <f>$D$15</f>
        <v>0.45612999999999998</v>
      </c>
      <c r="N15" s="207"/>
      <c r="O15" s="135"/>
      <c r="P15" s="113">
        <f>$D$15</f>
        <v>0.45612999999999998</v>
      </c>
      <c r="Q15" s="135"/>
    </row>
    <row r="16" spans="2:17" x14ac:dyDescent="0.25">
      <c r="C16" s="43" t="s">
        <v>227</v>
      </c>
      <c r="D16" s="92">
        <f>'Typical Res Bill_RY#1 '!Y16</f>
        <v>3.65E-3</v>
      </c>
      <c r="E16" s="135"/>
      <c r="F16" s="139"/>
      <c r="G16" s="113">
        <f>$D$16</f>
        <v>3.65E-3</v>
      </c>
      <c r="H16" s="135"/>
      <c r="J16" s="113">
        <f>$D$16</f>
        <v>3.65E-3</v>
      </c>
      <c r="K16" s="135"/>
      <c r="L16" s="135"/>
      <c r="M16" s="206">
        <f>$D$16</f>
        <v>3.65E-3</v>
      </c>
      <c r="N16" s="207"/>
      <c r="O16" s="135"/>
      <c r="P16" s="113">
        <f>$D$16</f>
        <v>3.65E-3</v>
      </c>
      <c r="Q16" s="135"/>
    </row>
    <row r="17" spans="3:17" x14ac:dyDescent="0.25">
      <c r="C17" s="43" t="s">
        <v>228</v>
      </c>
      <c r="D17" s="92">
        <f>'Typical Res Bill_RY#1 '!Y17</f>
        <v>2.2749999999999999E-2</v>
      </c>
      <c r="E17" s="135"/>
      <c r="F17" s="139"/>
      <c r="G17" s="65">
        <f>$D$17</f>
        <v>2.2749999999999999E-2</v>
      </c>
      <c r="H17" s="135"/>
      <c r="J17" s="65">
        <f>$D$17</f>
        <v>2.2749999999999999E-2</v>
      </c>
      <c r="K17" s="135"/>
      <c r="L17" s="135"/>
      <c r="M17" s="206">
        <f>$D$17</f>
        <v>2.2749999999999999E-2</v>
      </c>
      <c r="N17" s="207"/>
      <c r="O17" s="135"/>
      <c r="P17" s="65">
        <f>$D$17</f>
        <v>2.2749999999999999E-2</v>
      </c>
      <c r="Q17" s="135"/>
    </row>
    <row r="18" spans="3:17" x14ac:dyDescent="0.25">
      <c r="C18" s="204" t="s">
        <v>399</v>
      </c>
      <c r="D18" s="206">
        <f>'Typical Res Bill_RY#1 '!Y18</f>
        <v>3.2599999999999999E-3</v>
      </c>
      <c r="E18" s="207"/>
      <c r="F18" s="206"/>
      <c r="G18" s="206">
        <f>$D$18</f>
        <v>3.2599999999999999E-3</v>
      </c>
      <c r="H18" s="207"/>
      <c r="I18" s="204"/>
      <c r="J18" s="206">
        <f>$D$18</f>
        <v>3.2599999999999999E-3</v>
      </c>
      <c r="K18" s="207"/>
      <c r="L18" s="207"/>
      <c r="M18" s="206">
        <f>'Sch. 141D_2024'!$E$9</f>
        <v>3.15E-3</v>
      </c>
      <c r="N18" s="207"/>
      <c r="O18" s="207"/>
      <c r="P18" s="206">
        <f>'Sch. 141D_2024'!$E$9</f>
        <v>3.15E-3</v>
      </c>
      <c r="Q18" s="135"/>
    </row>
    <row r="19" spans="3:17" x14ac:dyDescent="0.25">
      <c r="C19" s="43" t="s">
        <v>229</v>
      </c>
      <c r="D19" s="92">
        <f>'Typical Res Bill_RY#1 '!Y19</f>
        <v>-1.6999999999999999E-3</v>
      </c>
      <c r="E19" s="135"/>
      <c r="F19" s="139"/>
      <c r="G19" s="92">
        <f>'Sch. 141N_2024'!$E$9</f>
        <v>-3.09E-2</v>
      </c>
      <c r="H19" s="135"/>
      <c r="J19" s="113">
        <f>$D$19</f>
        <v>-1.6999999999999999E-3</v>
      </c>
      <c r="K19" s="135"/>
      <c r="L19" s="135"/>
      <c r="M19" s="206">
        <f>$D$19</f>
        <v>-1.6999999999999999E-3</v>
      </c>
      <c r="N19" s="207"/>
      <c r="O19" s="135"/>
      <c r="P19" s="92">
        <f>'Sch. 141N_2024'!$E$9</f>
        <v>-3.09E-2</v>
      </c>
      <c r="Q19" s="135"/>
    </row>
    <row r="20" spans="3:17" x14ac:dyDescent="0.25">
      <c r="C20" s="43" t="s">
        <v>230</v>
      </c>
      <c r="D20" s="92">
        <f>'Typical Res Bill_RY#1 '!Y20</f>
        <v>4.8649999999999999E-2</v>
      </c>
      <c r="E20" s="135"/>
      <c r="F20" s="139"/>
      <c r="G20" s="113">
        <f>$D$20</f>
        <v>4.8649999999999999E-2</v>
      </c>
      <c r="H20" s="135"/>
      <c r="J20" s="92">
        <f>'Sch. 141R_2024'!$E$9</f>
        <v>9.8780000000000007E-2</v>
      </c>
      <c r="K20" s="135"/>
      <c r="L20" s="135"/>
      <c r="M20" s="206">
        <f>$D$20</f>
        <v>4.8649999999999999E-2</v>
      </c>
      <c r="N20" s="207"/>
      <c r="O20" s="135"/>
      <c r="P20" s="92">
        <f>'Sch. 141R_2024'!$E$9</f>
        <v>9.8780000000000007E-2</v>
      </c>
      <c r="Q20" s="135"/>
    </row>
    <row r="21" spans="3:17" x14ac:dyDescent="0.25">
      <c r="C21" s="43" t="s">
        <v>231</v>
      </c>
      <c r="D21" s="92">
        <f>'Typical Res Bill_RY#1 '!Y21</f>
        <v>0</v>
      </c>
      <c r="E21" s="135"/>
      <c r="F21" s="139"/>
      <c r="G21" s="65">
        <f>$D$21</f>
        <v>0</v>
      </c>
      <c r="H21" s="135"/>
      <c r="J21" s="65">
        <f>$D$21</f>
        <v>0</v>
      </c>
      <c r="K21" s="135"/>
      <c r="L21" s="135"/>
      <c r="M21" s="206">
        <f>$D$21</f>
        <v>0</v>
      </c>
      <c r="N21" s="207"/>
      <c r="O21" s="135"/>
      <c r="P21" s="65">
        <f>$D$21</f>
        <v>0</v>
      </c>
      <c r="Q21" s="135"/>
    </row>
    <row r="22" spans="3:17" x14ac:dyDescent="0.25">
      <c r="C22" s="43" t="s">
        <v>232</v>
      </c>
      <c r="D22" s="92">
        <f>'Typical Res Bill_RY#1 '!Y22</f>
        <v>-1.3699999999999999E-3</v>
      </c>
      <c r="E22" s="135"/>
      <c r="F22" s="139"/>
      <c r="G22" s="65">
        <f>$D$22</f>
        <v>-1.3699999999999999E-3</v>
      </c>
      <c r="H22" s="135"/>
      <c r="J22" s="65">
        <f>$D$22</f>
        <v>-1.3699999999999999E-3</v>
      </c>
      <c r="K22" s="135"/>
      <c r="L22" s="135"/>
      <c r="M22" s="206">
        <f>$D$22</f>
        <v>-1.3699999999999999E-3</v>
      </c>
      <c r="N22" s="207"/>
      <c r="O22" s="135"/>
      <c r="P22" s="65">
        <f>$D$22</f>
        <v>-1.3699999999999999E-3</v>
      </c>
      <c r="Q22" s="135"/>
    </row>
    <row r="23" spans="3:17" x14ac:dyDescent="0.25">
      <c r="C23" s="43" t="s">
        <v>233</v>
      </c>
      <c r="D23" s="92">
        <f>'Typical Res Bill_RY#1 '!Y23</f>
        <v>2.2519999999999998E-2</v>
      </c>
      <c r="E23" s="135"/>
      <c r="F23" s="139"/>
      <c r="G23" s="65">
        <f>$D$23</f>
        <v>2.2519999999999998E-2</v>
      </c>
      <c r="H23" s="135"/>
      <c r="J23" s="65">
        <f>$D$23</f>
        <v>2.2519999999999998E-2</v>
      </c>
      <c r="K23" s="135"/>
      <c r="L23" s="135"/>
      <c r="M23" s="206">
        <f>$D$23</f>
        <v>2.2519999999999998E-2</v>
      </c>
      <c r="N23" s="207"/>
      <c r="O23" s="135"/>
      <c r="P23" s="65">
        <f>$D$23</f>
        <v>2.2519999999999998E-2</v>
      </c>
      <c r="Q23" s="135"/>
    </row>
    <row r="24" spans="3:17" x14ac:dyDescent="0.25">
      <c r="C24" s="43" t="s">
        <v>234</v>
      </c>
      <c r="D24" s="92">
        <f>'Typical Res Bill_RY#1 '!Y24</f>
        <v>0</v>
      </c>
      <c r="E24" s="135"/>
      <c r="F24" s="139"/>
      <c r="G24" s="65">
        <f>$D$24</f>
        <v>0</v>
      </c>
      <c r="H24" s="135"/>
      <c r="J24" s="65">
        <f>$D$24</f>
        <v>0</v>
      </c>
      <c r="K24" s="135"/>
      <c r="L24" s="135"/>
      <c r="M24" s="206">
        <f>$D$24</f>
        <v>0</v>
      </c>
      <c r="N24" s="207"/>
      <c r="O24" s="135"/>
      <c r="P24" s="65">
        <f>$D$24</f>
        <v>0</v>
      </c>
      <c r="Q24" s="135"/>
    </row>
    <row r="25" spans="3:17" x14ac:dyDescent="0.25">
      <c r="C25" s="43" t="s">
        <v>14</v>
      </c>
      <c r="D25" s="140">
        <f>SUM(D15:D24)</f>
        <v>0.55388999999999999</v>
      </c>
      <c r="E25" s="135">
        <f>ROUND(D25*D$8,2)</f>
        <v>35.450000000000003</v>
      </c>
      <c r="F25" s="139"/>
      <c r="G25" s="140">
        <f>SUM(G15:G24)</f>
        <v>0.52468999999999999</v>
      </c>
      <c r="H25" s="135">
        <f>ROUND(G25*G$8,2)</f>
        <v>33.58</v>
      </c>
      <c r="J25" s="140">
        <f>SUM(J15:J24)</f>
        <v>0.60402</v>
      </c>
      <c r="K25" s="135">
        <f>ROUND(J25*J$8,2)</f>
        <v>38.659999999999997</v>
      </c>
      <c r="L25" s="135"/>
      <c r="M25" s="211">
        <f>SUM(M15:M24)</f>
        <v>0.55377999999999994</v>
      </c>
      <c r="N25" s="207">
        <f>ROUND(M25*M$8,2)</f>
        <v>35.44</v>
      </c>
      <c r="O25" s="135"/>
      <c r="P25" s="140">
        <f>SUM(P15:P24)</f>
        <v>0.57470999999999994</v>
      </c>
      <c r="Q25" s="135">
        <f>ROUND(P25*P$8,2)</f>
        <v>36.78</v>
      </c>
    </row>
    <row r="26" spans="3:17" x14ac:dyDescent="0.25">
      <c r="M26" s="204"/>
      <c r="N26" s="204"/>
      <c r="Q26" s="135"/>
    </row>
    <row r="27" spans="3:17" x14ac:dyDescent="0.25">
      <c r="C27" s="43" t="s">
        <v>235</v>
      </c>
      <c r="D27" s="92">
        <f>'Typical Res Bill_RY#1 '!Y27</f>
        <v>2.019E-2</v>
      </c>
      <c r="E27" s="135">
        <f>ROUND(D27*D$8,2)</f>
        <v>1.29</v>
      </c>
      <c r="F27" s="139"/>
      <c r="G27" s="65">
        <f>$D$27</f>
        <v>2.019E-2</v>
      </c>
      <c r="H27" s="135">
        <f>ROUND(G27*G$8,2)</f>
        <v>1.29</v>
      </c>
      <c r="J27" s="65">
        <f>$D$27</f>
        <v>2.019E-2</v>
      </c>
      <c r="K27" s="135">
        <f>ROUND(J27*J$8,2)</f>
        <v>1.29</v>
      </c>
      <c r="L27" s="135"/>
      <c r="M27" s="206">
        <f>$D$27</f>
        <v>2.019E-2</v>
      </c>
      <c r="N27" s="207">
        <f>ROUND(M27*M$8,2)</f>
        <v>1.29</v>
      </c>
      <c r="O27" s="135"/>
      <c r="P27" s="65">
        <f>$D$27</f>
        <v>2.019E-2</v>
      </c>
      <c r="Q27" s="135">
        <f>ROUND(P27*P$8,2)</f>
        <v>1.29</v>
      </c>
    </row>
    <row r="28" spans="3:17" x14ac:dyDescent="0.25">
      <c r="D28" s="113"/>
      <c r="E28" s="135"/>
      <c r="F28" s="139"/>
      <c r="G28" s="113"/>
      <c r="H28" s="135"/>
      <c r="J28" s="113"/>
      <c r="K28" s="135"/>
      <c r="L28" s="135"/>
      <c r="M28" s="206"/>
      <c r="N28" s="207"/>
      <c r="O28" s="135"/>
      <c r="P28" s="113"/>
      <c r="Q28" s="135"/>
    </row>
    <row r="29" spans="3:17" x14ac:dyDescent="0.25">
      <c r="C29" s="43" t="s">
        <v>236</v>
      </c>
      <c r="D29" s="92">
        <f>'Typical Res Bill_RY#1 '!Y29</f>
        <v>0.46339999999999998</v>
      </c>
      <c r="E29" s="135"/>
      <c r="F29" s="139"/>
      <c r="G29" s="113">
        <f>$D$29</f>
        <v>0.46339999999999998</v>
      </c>
      <c r="H29" s="135"/>
      <c r="J29" s="113">
        <f>$D$29</f>
        <v>0.46339999999999998</v>
      </c>
      <c r="K29" s="135"/>
      <c r="L29" s="135"/>
      <c r="M29" s="206">
        <f>$D$29</f>
        <v>0.46339999999999998</v>
      </c>
      <c r="N29" s="207"/>
      <c r="O29" s="135"/>
      <c r="P29" s="65">
        <f>$D$29</f>
        <v>0.46339999999999998</v>
      </c>
      <c r="Q29" s="135"/>
    </row>
    <row r="30" spans="3:17" x14ac:dyDescent="0.25">
      <c r="C30" s="43" t="s">
        <v>237</v>
      </c>
      <c r="D30" s="92">
        <f>'Typical Res Bill_RY#1 '!Y30</f>
        <v>2.6179999999999998E-2</v>
      </c>
      <c r="E30" s="135"/>
      <c r="F30" s="139"/>
      <c r="G30" s="65">
        <f>$D$30</f>
        <v>2.6179999999999998E-2</v>
      </c>
      <c r="H30" s="135"/>
      <c r="J30" s="65">
        <f>$D$30</f>
        <v>2.6179999999999998E-2</v>
      </c>
      <c r="K30" s="135"/>
      <c r="L30" s="135"/>
      <c r="M30" s="206">
        <f>$D$30</f>
        <v>2.6179999999999998E-2</v>
      </c>
      <c r="N30" s="207"/>
      <c r="O30" s="135"/>
      <c r="P30" s="65">
        <f>$D$30</f>
        <v>2.6179999999999998E-2</v>
      </c>
      <c r="Q30" s="135"/>
    </row>
    <row r="31" spans="3:17" x14ac:dyDescent="0.25">
      <c r="C31" s="43" t="s">
        <v>14</v>
      </c>
      <c r="D31" s="140">
        <f>SUM(D29:D30)</f>
        <v>0.48957999999999996</v>
      </c>
      <c r="E31" s="135">
        <f>ROUND(D31*D$8,2)</f>
        <v>31.33</v>
      </c>
      <c r="F31" s="139"/>
      <c r="G31" s="140">
        <f>SUM(G29:G30)</f>
        <v>0.48957999999999996</v>
      </c>
      <c r="H31" s="135">
        <f>ROUND(G31*G$8,2)</f>
        <v>31.33</v>
      </c>
      <c r="J31" s="140">
        <f>SUM(J29:J30)</f>
        <v>0.48957999999999996</v>
      </c>
      <c r="K31" s="135">
        <f>ROUND(J31*J$8,2)</f>
        <v>31.33</v>
      </c>
      <c r="L31" s="135"/>
      <c r="M31" s="211">
        <f>SUM(M29:M30)</f>
        <v>0.48957999999999996</v>
      </c>
      <c r="N31" s="207">
        <f>ROUND(M31*M$8,2)</f>
        <v>31.33</v>
      </c>
      <c r="O31" s="135"/>
      <c r="P31" s="140">
        <f>SUM(P29:P30)</f>
        <v>0.48957999999999996</v>
      </c>
      <c r="Q31" s="135">
        <f>ROUND(P31*P$8,2)</f>
        <v>31.33</v>
      </c>
    </row>
    <row r="32" spans="3:17" x14ac:dyDescent="0.25">
      <c r="C32" s="43" t="s">
        <v>180</v>
      </c>
      <c r="D32" s="140">
        <f>D25+D27+D31</f>
        <v>1.06366</v>
      </c>
      <c r="E32" s="141">
        <f>SUM(E25,E27,E31)</f>
        <v>68.069999999999993</v>
      </c>
      <c r="F32" s="113"/>
      <c r="G32" s="140">
        <f>G25+G27+G31</f>
        <v>1.0344599999999999</v>
      </c>
      <c r="H32" s="141">
        <f>SUM(H25,H27,H31)</f>
        <v>66.199999999999989</v>
      </c>
      <c r="J32" s="140">
        <f>J25+J27+J31</f>
        <v>1.1137900000000001</v>
      </c>
      <c r="K32" s="141">
        <f>SUM(K25,K27,K31)</f>
        <v>71.28</v>
      </c>
      <c r="L32" s="135"/>
      <c r="M32" s="211">
        <f>M25+M27+M31</f>
        <v>1.06355</v>
      </c>
      <c r="N32" s="212">
        <f>SUM(N25,N27,N31)</f>
        <v>68.06</v>
      </c>
      <c r="O32" s="135"/>
      <c r="P32" s="140">
        <f>P25+P27+P31</f>
        <v>1.0844799999999999</v>
      </c>
      <c r="Q32" s="141">
        <f>SUM(Q25,Q27,Q31)</f>
        <v>69.400000000000006</v>
      </c>
    </row>
    <row r="33" spans="2:17" x14ac:dyDescent="0.25">
      <c r="E33" s="135"/>
      <c r="H33" s="135"/>
      <c r="K33" s="135"/>
      <c r="L33" s="135"/>
      <c r="M33" s="204"/>
      <c r="N33" s="207"/>
      <c r="O33" s="135"/>
      <c r="Q33" s="135"/>
    </row>
    <row r="34" spans="2:17" x14ac:dyDescent="0.25">
      <c r="B34" s="43" t="s">
        <v>181</v>
      </c>
      <c r="D34" s="137"/>
      <c r="E34" s="135">
        <f>E12+E32</f>
        <v>80.569999999999993</v>
      </c>
      <c r="F34" s="137"/>
      <c r="G34" s="137"/>
      <c r="H34" s="135">
        <f>H12+H32</f>
        <v>78.699999999999989</v>
      </c>
      <c r="J34" s="137"/>
      <c r="K34" s="135">
        <f>K12+K32</f>
        <v>83.78</v>
      </c>
      <c r="L34" s="135"/>
      <c r="M34" s="209"/>
      <c r="N34" s="207">
        <f>N12+N32</f>
        <v>80.56</v>
      </c>
      <c r="O34" s="135"/>
      <c r="P34" s="137"/>
      <c r="Q34" s="135">
        <f>Q12+Q32</f>
        <v>81.900000000000006</v>
      </c>
    </row>
    <row r="35" spans="2:17" x14ac:dyDescent="0.25">
      <c r="B35" s="43" t="s">
        <v>182</v>
      </c>
      <c r="D35" s="137"/>
      <c r="E35" s="135"/>
      <c r="F35" s="137"/>
      <c r="G35" s="137"/>
      <c r="H35" s="135">
        <f>H34-$E34</f>
        <v>-1.8700000000000045</v>
      </c>
      <c r="J35" s="137"/>
      <c r="K35" s="135">
        <f>K34-$E34</f>
        <v>3.210000000000008</v>
      </c>
      <c r="L35" s="135"/>
      <c r="M35" s="209"/>
      <c r="N35" s="207">
        <f>N34-$E34</f>
        <v>-9.9999999999909051E-3</v>
      </c>
      <c r="O35" s="135"/>
      <c r="P35" s="137"/>
      <c r="Q35" s="135">
        <f>Q34-$E34</f>
        <v>1.3300000000000125</v>
      </c>
    </row>
    <row r="36" spans="2:17" x14ac:dyDescent="0.25">
      <c r="B36" s="43" t="s">
        <v>183</v>
      </c>
      <c r="D36" s="20"/>
      <c r="E36" s="20"/>
      <c r="F36" s="20"/>
      <c r="G36" s="20"/>
      <c r="H36" s="67">
        <f>H35/$E34</f>
        <v>-2.3209631376442903E-2</v>
      </c>
      <c r="J36" s="20"/>
      <c r="K36" s="67">
        <f>K35/$E34</f>
        <v>3.984113193496349E-2</v>
      </c>
      <c r="L36" s="67"/>
      <c r="M36" s="213"/>
      <c r="N36" s="196">
        <f>N35/$E34</f>
        <v>-1.2411567580974191E-4</v>
      </c>
      <c r="O36" s="67"/>
      <c r="P36" s="20"/>
      <c r="Q36" s="67">
        <f>Q35/$E34</f>
        <v>1.6507384882710842E-2</v>
      </c>
    </row>
    <row r="37" spans="2:17" x14ac:dyDescent="0.25">
      <c r="E37" s="135"/>
    </row>
    <row r="38" spans="2:17" ht="17.25" x14ac:dyDescent="0.25">
      <c r="B38" s="43" t="s">
        <v>278</v>
      </c>
    </row>
    <row r="39" spans="2:17" x14ac:dyDescent="0.25">
      <c r="C39" s="189" t="s">
        <v>388</v>
      </c>
    </row>
    <row r="43" spans="2:17" ht="14.25" customHeight="1" x14ac:dyDescent="0.25"/>
  </sheetData>
  <printOptions horizontalCentered="1"/>
  <pageMargins left="0.45" right="0.45" top="1" bottom="1" header="0.5" footer="0.5"/>
  <pageSetup scale="79" orientation="landscape" blackAndWhite="1" r:id="rId1"/>
  <headerFooter alignWithMargins="0">
    <oddFooter>&amp;R&amp;A
 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N42"/>
  <sheetViews>
    <sheetView zoomScale="90" zoomScaleNormal="90" workbookViewId="0">
      <selection activeCell="P35" sqref="P35"/>
    </sheetView>
  </sheetViews>
  <sheetFormatPr defaultColWidth="9.140625" defaultRowHeight="15" x14ac:dyDescent="0.25"/>
  <cols>
    <col min="1" max="1" width="2.140625" style="43" customWidth="1"/>
    <col min="2" max="2" width="2.42578125" style="43" customWidth="1"/>
    <col min="3" max="3" width="31.28515625" style="43" customWidth="1"/>
    <col min="4" max="5" width="11.7109375" style="43" customWidth="1"/>
    <col min="6" max="6" width="2.5703125" style="43" customWidth="1"/>
    <col min="7" max="8" width="11.7109375" style="43" customWidth="1"/>
    <col min="9" max="9" width="2.5703125" style="43" customWidth="1"/>
    <col min="10" max="11" width="11.7109375" style="43" customWidth="1"/>
    <col min="12" max="12" width="2.5703125" style="43" customWidth="1"/>
    <col min="13" max="14" width="11.7109375" style="43" customWidth="1"/>
    <col min="15" max="16384" width="9.140625" style="43"/>
  </cols>
  <sheetData>
    <row r="1" spans="2:14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2:14" x14ac:dyDescent="0.25">
      <c r="B2" s="42" t="s">
        <v>195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2:14" x14ac:dyDescent="0.25">
      <c r="B3" s="42" t="s">
        <v>333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2:14" x14ac:dyDescent="0.25">
      <c r="B4" s="151" t="s">
        <v>219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6" spans="2:14" x14ac:dyDescent="0.25">
      <c r="D6" s="133" t="s">
        <v>254</v>
      </c>
      <c r="E6" s="133"/>
      <c r="F6" s="19"/>
      <c r="G6" s="133" t="s">
        <v>239</v>
      </c>
      <c r="H6" s="133"/>
      <c r="J6" s="133" t="s">
        <v>240</v>
      </c>
      <c r="K6" s="133"/>
      <c r="M6" s="133" t="s">
        <v>193</v>
      </c>
      <c r="N6" s="133"/>
    </row>
    <row r="7" spans="2:14" ht="17.25" x14ac:dyDescent="0.25">
      <c r="D7" s="72" t="s">
        <v>175</v>
      </c>
      <c r="E7" s="72" t="s">
        <v>176</v>
      </c>
      <c r="F7" s="48"/>
      <c r="G7" s="72" t="s">
        <v>22</v>
      </c>
      <c r="H7" s="72" t="s">
        <v>176</v>
      </c>
      <c r="J7" s="72" t="s">
        <v>22</v>
      </c>
      <c r="K7" s="72" t="s">
        <v>176</v>
      </c>
      <c r="L7" s="48"/>
      <c r="M7" s="72" t="s">
        <v>22</v>
      </c>
      <c r="N7" s="72" t="s">
        <v>176</v>
      </c>
    </row>
    <row r="8" spans="2:14" x14ac:dyDescent="0.25">
      <c r="B8" s="43" t="s">
        <v>177</v>
      </c>
      <c r="D8" s="134">
        <v>64</v>
      </c>
      <c r="E8" s="135"/>
      <c r="F8" s="134"/>
      <c r="G8" s="134">
        <v>64</v>
      </c>
      <c r="H8" s="135"/>
      <c r="J8" s="134">
        <v>64</v>
      </c>
      <c r="K8" s="135"/>
      <c r="L8" s="135"/>
      <c r="M8" s="134">
        <v>64</v>
      </c>
      <c r="N8" s="135"/>
    </row>
    <row r="9" spans="2:14" x14ac:dyDescent="0.25">
      <c r="D9" s="134"/>
      <c r="E9" s="135"/>
      <c r="F9" s="134"/>
      <c r="G9" s="134"/>
      <c r="H9" s="135"/>
      <c r="J9" s="134"/>
      <c r="K9" s="135"/>
      <c r="L9" s="135"/>
      <c r="M9" s="134"/>
      <c r="N9" s="135"/>
    </row>
    <row r="10" spans="2:14" x14ac:dyDescent="0.25">
      <c r="B10" s="43" t="s">
        <v>178</v>
      </c>
      <c r="D10" s="134"/>
      <c r="E10" s="135"/>
      <c r="F10" s="134"/>
      <c r="G10" s="134"/>
      <c r="H10" s="135"/>
      <c r="J10" s="134"/>
      <c r="K10" s="135"/>
      <c r="L10" s="135"/>
      <c r="M10" s="134"/>
      <c r="N10" s="135"/>
    </row>
    <row r="11" spans="2:14" x14ac:dyDescent="0.25">
      <c r="C11" s="43" t="s">
        <v>238</v>
      </c>
      <c r="D11" s="179"/>
      <c r="E11" s="135">
        <f>D11</f>
        <v>0</v>
      </c>
      <c r="F11" s="136"/>
      <c r="G11" s="137">
        <f>$D$11</f>
        <v>0</v>
      </c>
      <c r="H11" s="135">
        <f>G11</f>
        <v>0</v>
      </c>
      <c r="J11" s="137">
        <f>$D$11</f>
        <v>0</v>
      </c>
      <c r="K11" s="135">
        <f>J11</f>
        <v>0</v>
      </c>
      <c r="L11" s="135"/>
      <c r="M11" s="137">
        <f>$D$11</f>
        <v>0</v>
      </c>
      <c r="N11" s="135">
        <f>M11</f>
        <v>0</v>
      </c>
    </row>
    <row r="12" spans="2:14" x14ac:dyDescent="0.25">
      <c r="C12" s="43" t="s">
        <v>14</v>
      </c>
      <c r="D12" s="138">
        <f>SUM(D11:D11)</f>
        <v>0</v>
      </c>
      <c r="E12" s="138">
        <f>SUM(E11:E11)</f>
        <v>0</v>
      </c>
      <c r="F12" s="136"/>
      <c r="G12" s="138">
        <f>SUM(G11:G11)</f>
        <v>0</v>
      </c>
      <c r="H12" s="138">
        <f>SUM(H11:H11)</f>
        <v>0</v>
      </c>
      <c r="J12" s="138">
        <f>SUM(J11:J11)</f>
        <v>0</v>
      </c>
      <c r="K12" s="138">
        <f>SUM(K11:K11)</f>
        <v>0</v>
      </c>
      <c r="L12" s="137"/>
      <c r="M12" s="138">
        <f>SUM(M11:M11)</f>
        <v>0</v>
      </c>
      <c r="N12" s="138">
        <f>SUM(N11:N11)</f>
        <v>0</v>
      </c>
    </row>
    <row r="13" spans="2:14" x14ac:dyDescent="0.25">
      <c r="D13" s="136"/>
      <c r="E13" s="135"/>
      <c r="F13" s="136"/>
      <c r="G13" s="137"/>
      <c r="H13" s="135"/>
      <c r="J13" s="137"/>
      <c r="K13" s="135"/>
      <c r="L13" s="135"/>
      <c r="M13" s="137"/>
      <c r="N13" s="135"/>
    </row>
    <row r="14" spans="2:14" x14ac:dyDescent="0.25">
      <c r="B14" s="43" t="s">
        <v>179</v>
      </c>
      <c r="E14" s="135"/>
      <c r="H14" s="135"/>
      <c r="K14" s="135"/>
      <c r="L14" s="135"/>
      <c r="N14" s="135"/>
    </row>
    <row r="15" spans="2:14" x14ac:dyDescent="0.25">
      <c r="C15" s="43" t="s">
        <v>226</v>
      </c>
      <c r="D15" s="92"/>
      <c r="E15" s="135"/>
      <c r="F15" s="139"/>
      <c r="G15" s="113">
        <f>$D$15</f>
        <v>0</v>
      </c>
      <c r="H15" s="135"/>
      <c r="J15" s="113">
        <f>$D$15</f>
        <v>0</v>
      </c>
      <c r="K15" s="135"/>
      <c r="L15" s="135"/>
      <c r="M15" s="113">
        <f>$D$15</f>
        <v>0</v>
      </c>
      <c r="N15" s="135"/>
    </row>
    <row r="16" spans="2:14" x14ac:dyDescent="0.25">
      <c r="C16" s="43" t="s">
        <v>227</v>
      </c>
      <c r="D16" s="92"/>
      <c r="E16" s="135"/>
      <c r="F16" s="139"/>
      <c r="G16" s="113">
        <f>$D$16</f>
        <v>0</v>
      </c>
      <c r="H16" s="135"/>
      <c r="J16" s="113">
        <f>$D$16</f>
        <v>0</v>
      </c>
      <c r="K16" s="135"/>
      <c r="L16" s="135"/>
      <c r="M16" s="113">
        <f>$D$16</f>
        <v>0</v>
      </c>
      <c r="N16" s="135"/>
    </row>
    <row r="17" spans="3:14" x14ac:dyDescent="0.25">
      <c r="C17" s="43" t="s">
        <v>228</v>
      </c>
      <c r="D17" s="92"/>
      <c r="E17" s="135"/>
      <c r="F17" s="139"/>
      <c r="G17" s="65">
        <f>$D$17</f>
        <v>0</v>
      </c>
      <c r="H17" s="135"/>
      <c r="J17" s="65">
        <f>$D$17</f>
        <v>0</v>
      </c>
      <c r="K17" s="135"/>
      <c r="L17" s="135"/>
      <c r="M17" s="65">
        <f>$D$17</f>
        <v>0</v>
      </c>
      <c r="N17" s="135"/>
    </row>
    <row r="18" spans="3:14" x14ac:dyDescent="0.25">
      <c r="C18" s="43" t="s">
        <v>229</v>
      </c>
      <c r="D18" s="92"/>
      <c r="E18" s="135"/>
      <c r="F18" s="139"/>
      <c r="G18" s="92">
        <f>'Sch. 141N_2025'!$E$9</f>
        <v>0</v>
      </c>
      <c r="H18" s="135"/>
      <c r="J18" s="113">
        <f>$D$18</f>
        <v>0</v>
      </c>
      <c r="K18" s="135"/>
      <c r="L18" s="135"/>
      <c r="M18" s="92">
        <f>'Sch. 141N_2025'!$E$9</f>
        <v>0</v>
      </c>
      <c r="N18" s="135"/>
    </row>
    <row r="19" spans="3:14" x14ac:dyDescent="0.25">
      <c r="C19" s="43" t="s">
        <v>230</v>
      </c>
      <c r="D19" s="92"/>
      <c r="E19" s="135"/>
      <c r="F19" s="139"/>
      <c r="G19" s="113">
        <f>$D$19</f>
        <v>0</v>
      </c>
      <c r="H19" s="135"/>
      <c r="J19" s="92">
        <f>'Sch. 141R_2025'!$E$9</f>
        <v>0</v>
      </c>
      <c r="K19" s="135"/>
      <c r="L19" s="135"/>
      <c r="M19" s="92">
        <f>'Sch. 141R_2025'!$E$9</f>
        <v>0</v>
      </c>
      <c r="N19" s="135"/>
    </row>
    <row r="20" spans="3:14" x14ac:dyDescent="0.25">
      <c r="C20" s="43" t="s">
        <v>231</v>
      </c>
      <c r="D20" s="92"/>
      <c r="E20" s="135"/>
      <c r="F20" s="139"/>
      <c r="G20" s="65">
        <f>$D$20</f>
        <v>0</v>
      </c>
      <c r="H20" s="135"/>
      <c r="J20" s="65">
        <f>$D$20</f>
        <v>0</v>
      </c>
      <c r="K20" s="135"/>
      <c r="L20" s="135"/>
      <c r="M20" s="65">
        <f>$D$20</f>
        <v>0</v>
      </c>
      <c r="N20" s="135"/>
    </row>
    <row r="21" spans="3:14" x14ac:dyDescent="0.25">
      <c r="C21" s="43" t="s">
        <v>232</v>
      </c>
      <c r="D21" s="92"/>
      <c r="E21" s="135"/>
      <c r="F21" s="139"/>
      <c r="G21" s="65">
        <f>$D$21</f>
        <v>0</v>
      </c>
      <c r="H21" s="135"/>
      <c r="J21" s="65">
        <f>$D$21</f>
        <v>0</v>
      </c>
      <c r="K21" s="135"/>
      <c r="L21" s="135"/>
      <c r="M21" s="65">
        <f>$D$21</f>
        <v>0</v>
      </c>
      <c r="N21" s="135"/>
    </row>
    <row r="22" spans="3:14" x14ac:dyDescent="0.25">
      <c r="C22" s="43" t="s">
        <v>233</v>
      </c>
      <c r="D22" s="92"/>
      <c r="E22" s="135"/>
      <c r="F22" s="139"/>
      <c r="G22" s="65">
        <f>$D$22</f>
        <v>0</v>
      </c>
      <c r="H22" s="135"/>
      <c r="J22" s="65">
        <f>$D$22</f>
        <v>0</v>
      </c>
      <c r="K22" s="135"/>
      <c r="L22" s="135"/>
      <c r="M22" s="65">
        <f>$D$22</f>
        <v>0</v>
      </c>
      <c r="N22" s="135"/>
    </row>
    <row r="23" spans="3:14" x14ac:dyDescent="0.25">
      <c r="C23" s="43" t="s">
        <v>234</v>
      </c>
      <c r="D23" s="92"/>
      <c r="E23" s="135"/>
      <c r="F23" s="139"/>
      <c r="G23" s="65">
        <f>$D$23</f>
        <v>0</v>
      </c>
      <c r="H23" s="135"/>
      <c r="J23" s="65">
        <f>$D$23</f>
        <v>0</v>
      </c>
      <c r="K23" s="135"/>
      <c r="L23" s="135"/>
      <c r="M23" s="65">
        <f>$D$23</f>
        <v>0</v>
      </c>
      <c r="N23" s="135"/>
    </row>
    <row r="24" spans="3:14" x14ac:dyDescent="0.25">
      <c r="C24" s="43" t="s">
        <v>14</v>
      </c>
      <c r="D24" s="140">
        <f>SUM(D15:D23)</f>
        <v>0</v>
      </c>
      <c r="E24" s="135">
        <f>ROUND(D24*D$8,2)</f>
        <v>0</v>
      </c>
      <c r="F24" s="139"/>
      <c r="G24" s="140">
        <f>SUM(G15:G23)</f>
        <v>0</v>
      </c>
      <c r="H24" s="135">
        <f>ROUND(G24*G$8,2)</f>
        <v>0</v>
      </c>
      <c r="J24" s="140">
        <f>SUM(J15:J23)</f>
        <v>0</v>
      </c>
      <c r="K24" s="135">
        <f>ROUND(J24*J$8,2)</f>
        <v>0</v>
      </c>
      <c r="L24" s="135"/>
      <c r="M24" s="140">
        <f>SUM(M15:M23)</f>
        <v>0</v>
      </c>
      <c r="N24" s="135">
        <f>ROUND(M24*M$8,2)</f>
        <v>0</v>
      </c>
    </row>
    <row r="25" spans="3:14" x14ac:dyDescent="0.25">
      <c r="N25" s="135"/>
    </row>
    <row r="26" spans="3:14" x14ac:dyDescent="0.25">
      <c r="C26" s="43" t="s">
        <v>235</v>
      </c>
      <c r="D26" s="92"/>
      <c r="E26" s="135">
        <f>ROUND(D26*D$8,2)</f>
        <v>0</v>
      </c>
      <c r="F26" s="139"/>
      <c r="G26" s="65">
        <f>$D$26</f>
        <v>0</v>
      </c>
      <c r="H26" s="135">
        <f>ROUND(G26*G$8,2)</f>
        <v>0</v>
      </c>
      <c r="J26" s="65">
        <f>$D$26</f>
        <v>0</v>
      </c>
      <c r="K26" s="135">
        <f>ROUND(J26*J$8,2)</f>
        <v>0</v>
      </c>
      <c r="L26" s="135"/>
      <c r="M26" s="65">
        <f>$D$26</f>
        <v>0</v>
      </c>
      <c r="N26" s="135">
        <f>ROUND(M26*M$8,2)</f>
        <v>0</v>
      </c>
    </row>
    <row r="27" spans="3:14" x14ac:dyDescent="0.25">
      <c r="D27" s="113"/>
      <c r="E27" s="135"/>
      <c r="F27" s="139"/>
      <c r="G27" s="113"/>
      <c r="H27" s="135"/>
      <c r="J27" s="113"/>
      <c r="K27" s="135"/>
      <c r="L27" s="135"/>
      <c r="M27" s="113"/>
      <c r="N27" s="135"/>
    </row>
    <row r="28" spans="3:14" x14ac:dyDescent="0.25">
      <c r="C28" s="43" t="s">
        <v>236</v>
      </c>
      <c r="D28" s="92"/>
      <c r="E28" s="135"/>
      <c r="F28" s="139"/>
      <c r="G28" s="113">
        <f>$D$28</f>
        <v>0</v>
      </c>
      <c r="H28" s="135"/>
      <c r="J28" s="113">
        <f>$D$28</f>
        <v>0</v>
      </c>
      <c r="K28" s="135"/>
      <c r="L28" s="135"/>
      <c r="M28" s="65">
        <f>$D$28</f>
        <v>0</v>
      </c>
      <c r="N28" s="135"/>
    </row>
    <row r="29" spans="3:14" x14ac:dyDescent="0.25">
      <c r="C29" s="43" t="s">
        <v>237</v>
      </c>
      <c r="D29" s="92"/>
      <c r="E29" s="135"/>
      <c r="F29" s="139"/>
      <c r="G29" s="65">
        <f>$D$29</f>
        <v>0</v>
      </c>
      <c r="H29" s="135"/>
      <c r="J29" s="65">
        <f>$D$29</f>
        <v>0</v>
      </c>
      <c r="K29" s="135"/>
      <c r="L29" s="135"/>
      <c r="M29" s="65">
        <f>$D$29</f>
        <v>0</v>
      </c>
      <c r="N29" s="135"/>
    </row>
    <row r="30" spans="3:14" x14ac:dyDescent="0.25">
      <c r="C30" s="43" t="s">
        <v>14</v>
      </c>
      <c r="D30" s="140">
        <f>SUM(D28:D29)</f>
        <v>0</v>
      </c>
      <c r="E30" s="135">
        <f>ROUND(D30*D$8,2)</f>
        <v>0</v>
      </c>
      <c r="F30" s="139"/>
      <c r="G30" s="140">
        <f>SUM(G28:G29)</f>
        <v>0</v>
      </c>
      <c r="H30" s="135">
        <f>ROUND(G30*G$8,2)</f>
        <v>0</v>
      </c>
      <c r="J30" s="140">
        <f>SUM(J28:J29)</f>
        <v>0</v>
      </c>
      <c r="K30" s="135">
        <f>ROUND(J30*J$8,2)</f>
        <v>0</v>
      </c>
      <c r="L30" s="135"/>
      <c r="M30" s="140">
        <f>SUM(M28:M29)</f>
        <v>0</v>
      </c>
      <c r="N30" s="135">
        <f>ROUND(M30*M$8,2)</f>
        <v>0</v>
      </c>
    </row>
    <row r="31" spans="3:14" x14ac:dyDescent="0.25">
      <c r="C31" s="43" t="s">
        <v>180</v>
      </c>
      <c r="D31" s="140">
        <f>D24+D26+D30</f>
        <v>0</v>
      </c>
      <c r="E31" s="141">
        <f>SUM(E24,E26,E30)</f>
        <v>0</v>
      </c>
      <c r="F31" s="113"/>
      <c r="G31" s="140">
        <f>G24+G26+G30</f>
        <v>0</v>
      </c>
      <c r="H31" s="141">
        <f>SUM(H24,H26,H30)</f>
        <v>0</v>
      </c>
      <c r="J31" s="140">
        <f>J24+J26+J30</f>
        <v>0</v>
      </c>
      <c r="K31" s="141">
        <f>SUM(K24,K26,K30)</f>
        <v>0</v>
      </c>
      <c r="L31" s="135"/>
      <c r="M31" s="140">
        <f>M24+M26+M30</f>
        <v>0</v>
      </c>
      <c r="N31" s="141">
        <f>SUM(N24,N26,N30)</f>
        <v>0</v>
      </c>
    </row>
    <row r="32" spans="3:14" x14ac:dyDescent="0.25">
      <c r="E32" s="135"/>
      <c r="H32" s="135"/>
      <c r="K32" s="135"/>
      <c r="L32" s="135"/>
      <c r="N32" s="135"/>
    </row>
    <row r="33" spans="2:14" x14ac:dyDescent="0.25">
      <c r="B33" s="43" t="s">
        <v>181</v>
      </c>
      <c r="D33" s="137"/>
      <c r="E33" s="135">
        <f>E12+E31</f>
        <v>0</v>
      </c>
      <c r="F33" s="137"/>
      <c r="G33" s="137"/>
      <c r="H33" s="135">
        <f>H12+H31</f>
        <v>0</v>
      </c>
      <c r="J33" s="137"/>
      <c r="K33" s="135">
        <f>K12+K31</f>
        <v>0</v>
      </c>
      <c r="L33" s="135"/>
      <c r="M33" s="137"/>
      <c r="N33" s="135">
        <f>N12+N31</f>
        <v>0</v>
      </c>
    </row>
    <row r="34" spans="2:14" x14ac:dyDescent="0.25">
      <c r="B34" s="43" t="s">
        <v>182</v>
      </c>
      <c r="D34" s="137"/>
      <c r="E34" s="135"/>
      <c r="F34" s="137"/>
      <c r="G34" s="137"/>
      <c r="H34" s="135">
        <f>H33-$E33</f>
        <v>0</v>
      </c>
      <c r="J34" s="137"/>
      <c r="K34" s="135">
        <f>K33-$E33</f>
        <v>0</v>
      </c>
      <c r="L34" s="135"/>
      <c r="M34" s="137"/>
      <c r="N34" s="135">
        <f>N33-$E33</f>
        <v>0</v>
      </c>
    </row>
    <row r="35" spans="2:14" x14ac:dyDescent="0.25">
      <c r="B35" s="43" t="s">
        <v>183</v>
      </c>
      <c r="D35" s="20"/>
      <c r="E35" s="20"/>
      <c r="F35" s="20"/>
      <c r="G35" s="20"/>
      <c r="H35" s="67" t="e">
        <f>H34/$E33</f>
        <v>#DIV/0!</v>
      </c>
      <c r="J35" s="20"/>
      <c r="K35" s="67" t="e">
        <f>K34/$E33</f>
        <v>#DIV/0!</v>
      </c>
      <c r="L35" s="67"/>
      <c r="M35" s="20"/>
      <c r="N35" s="67" t="e">
        <f>N34/$E33</f>
        <v>#DIV/0!</v>
      </c>
    </row>
    <row r="36" spans="2:14" x14ac:dyDescent="0.25">
      <c r="E36" s="135"/>
    </row>
    <row r="37" spans="2:14" ht="17.25" x14ac:dyDescent="0.25">
      <c r="B37" s="43" t="s">
        <v>279</v>
      </c>
    </row>
    <row r="42" spans="2:14" ht="14.25" customHeight="1" x14ac:dyDescent="0.25"/>
  </sheetData>
  <printOptions horizontalCentered="1"/>
  <pageMargins left="0.45" right="0.45" top="1" bottom="1" header="0.5" footer="0.5"/>
  <pageSetup scale="86" orientation="landscape" blackAndWhite="1" r:id="rId1"/>
  <headerFooter alignWithMargins="0">
    <oddFooter>&amp;R&amp;A
 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"/>
  <sheetViews>
    <sheetView workbookViewId="0">
      <selection activeCell="R27" sqref="R27"/>
    </sheetView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N39"/>
  <sheetViews>
    <sheetView zoomScale="90" zoomScaleNormal="90" workbookViewId="0">
      <selection activeCell="I15" sqref="I15"/>
    </sheetView>
  </sheetViews>
  <sheetFormatPr defaultRowHeight="15" x14ac:dyDescent="0.25"/>
  <cols>
    <col min="1" max="1" width="2.85546875" customWidth="1"/>
    <col min="2" max="2" width="37.85546875" customWidth="1"/>
    <col min="3" max="3" width="9.140625" bestFit="1" customWidth="1"/>
    <col min="4" max="5" width="16.5703125" customWidth="1"/>
    <col min="6" max="6" width="12.7109375" bestFit="1" customWidth="1"/>
    <col min="7" max="7" width="2.5703125" customWidth="1"/>
    <col min="8" max="9" width="16.5703125" customWidth="1"/>
    <col min="10" max="10" width="12.7109375" bestFit="1" customWidth="1"/>
    <col min="11" max="11" width="2.5703125" customWidth="1"/>
    <col min="12" max="12" width="11.7109375" bestFit="1" customWidth="1"/>
    <col min="13" max="13" width="9.28515625" customWidth="1"/>
    <col min="14" max="14" width="13.85546875" customWidth="1"/>
  </cols>
  <sheetData>
    <row r="1" spans="2:14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x14ac:dyDescent="0.25">
      <c r="B2" s="42" t="s">
        <v>195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4" x14ac:dyDescent="0.25">
      <c r="B3" s="151" t="s">
        <v>221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2:14" x14ac:dyDescent="0.25">
      <c r="B4" s="151" t="s">
        <v>204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2:14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4" x14ac:dyDescent="0.25">
      <c r="D6" s="216" t="s">
        <v>161</v>
      </c>
      <c r="E6" s="216"/>
      <c r="F6" s="216"/>
      <c r="G6" s="3"/>
      <c r="H6" s="216" t="s">
        <v>131</v>
      </c>
      <c r="I6" s="216"/>
      <c r="J6" s="216"/>
    </row>
    <row r="7" spans="2:14" x14ac:dyDescent="0.25">
      <c r="B7" s="3"/>
      <c r="C7" s="3"/>
      <c r="D7" s="3" t="s">
        <v>15</v>
      </c>
      <c r="E7" s="3" t="s">
        <v>15</v>
      </c>
      <c r="F7" s="3"/>
      <c r="G7" s="3"/>
      <c r="H7" s="3" t="s">
        <v>15</v>
      </c>
      <c r="I7" s="3" t="s">
        <v>15</v>
      </c>
      <c r="J7" s="3"/>
      <c r="K7" s="3"/>
      <c r="L7" s="3"/>
    </row>
    <row r="8" spans="2:14" x14ac:dyDescent="0.25">
      <c r="B8" s="3"/>
      <c r="C8" s="3" t="s">
        <v>17</v>
      </c>
      <c r="D8" s="3" t="s">
        <v>3</v>
      </c>
      <c r="E8" s="3" t="s">
        <v>2</v>
      </c>
      <c r="F8" s="3" t="s">
        <v>162</v>
      </c>
      <c r="G8" s="3"/>
      <c r="H8" s="3" t="s">
        <v>3</v>
      </c>
      <c r="I8" s="3" t="s">
        <v>2</v>
      </c>
      <c r="J8" s="3" t="s">
        <v>162</v>
      </c>
      <c r="K8" s="3"/>
      <c r="L8" s="3" t="s">
        <v>6</v>
      </c>
    </row>
    <row r="9" spans="2:14" x14ac:dyDescent="0.25">
      <c r="B9" s="80" t="s">
        <v>4</v>
      </c>
      <c r="C9" s="80" t="s">
        <v>21</v>
      </c>
      <c r="D9" s="73" t="s">
        <v>212</v>
      </c>
      <c r="E9" s="80" t="str">
        <f>D9</f>
        <v>12ME Dec. 2023</v>
      </c>
      <c r="F9" s="80" t="s">
        <v>163</v>
      </c>
      <c r="G9" s="3"/>
      <c r="H9" s="80" t="str">
        <f>D9</f>
        <v>12ME Dec. 2023</v>
      </c>
      <c r="I9" s="80" t="str">
        <f>D9</f>
        <v>12ME Dec. 2023</v>
      </c>
      <c r="J9" s="80" t="s">
        <v>163</v>
      </c>
      <c r="K9" s="3"/>
      <c r="L9" s="80" t="s">
        <v>164</v>
      </c>
      <c r="N9" s="80" t="s">
        <v>76</v>
      </c>
    </row>
    <row r="10" spans="2:14" x14ac:dyDescent="0.25">
      <c r="B10" s="3" t="s">
        <v>25</v>
      </c>
      <c r="C10" s="3" t="s">
        <v>26</v>
      </c>
      <c r="D10" s="3" t="s">
        <v>27</v>
      </c>
      <c r="E10" s="3" t="s">
        <v>28</v>
      </c>
      <c r="F10" s="74" t="s">
        <v>165</v>
      </c>
      <c r="G10" s="3"/>
      <c r="H10" s="3" t="s">
        <v>132</v>
      </c>
      <c r="I10" s="3" t="s">
        <v>133</v>
      </c>
      <c r="J10" s="74" t="s">
        <v>166</v>
      </c>
      <c r="K10" s="74"/>
      <c r="L10" s="4" t="s">
        <v>167</v>
      </c>
    </row>
    <row r="11" spans="2:14" x14ac:dyDescent="0.25">
      <c r="B11" t="s">
        <v>7</v>
      </c>
      <c r="C11" s="5" t="s">
        <v>30</v>
      </c>
      <c r="D11" s="117">
        <f>'Revenue by Sch_RY#1'!D11</f>
        <v>636369361</v>
      </c>
      <c r="E11" s="118">
        <f>'Revenue by Sch_RY#1'!O11</f>
        <v>754207139.20534039</v>
      </c>
      <c r="F11" s="119">
        <f>E11/D11</f>
        <v>1.1851719856848049</v>
      </c>
      <c r="G11" s="6"/>
      <c r="H11" s="152">
        <f>D11</f>
        <v>636369361</v>
      </c>
      <c r="I11" s="118">
        <f>'Rate Impacts_RY#1'!AA12</f>
        <v>800966197.02315998</v>
      </c>
      <c r="J11" s="119">
        <f>I11/H11</f>
        <v>1.2586498441164895</v>
      </c>
      <c r="K11" s="120"/>
      <c r="L11" s="62">
        <f>(I11-E11)/E11</f>
        <v>6.199763352424191E-2</v>
      </c>
      <c r="N11" s="121">
        <f>L11-'Rate Impacts_RY#1'!AC12</f>
        <v>0</v>
      </c>
    </row>
    <row r="12" spans="2:14" x14ac:dyDescent="0.25">
      <c r="B12" t="s">
        <v>31</v>
      </c>
      <c r="C12" s="5">
        <v>16</v>
      </c>
      <c r="D12" s="117">
        <f>'Revenue by Sch_RY#1'!D12</f>
        <v>8832</v>
      </c>
      <c r="E12" s="118">
        <f>'Revenue by Sch_RY#1'!O12</f>
        <v>10346.180891708256</v>
      </c>
      <c r="F12" s="119">
        <f t="shared" ref="F12:F23" si="0">E12/D12</f>
        <v>1.1714425828474022</v>
      </c>
      <c r="G12" s="6"/>
      <c r="H12" s="152">
        <f t="shared" ref="H12:H23" si="1">D12</f>
        <v>8832</v>
      </c>
      <c r="I12" s="118">
        <f>'Rate Impacts_RY#1'!AA13</f>
        <v>10777.750959999998</v>
      </c>
      <c r="J12" s="119">
        <f t="shared" ref="J12:J23" si="2">I12/H12</f>
        <v>1.2203069474637678</v>
      </c>
      <c r="K12" s="120"/>
      <c r="L12" s="62">
        <f t="shared" ref="L12:L23" si="3">(I12-E12)/E12</f>
        <v>4.1712983061954263E-2</v>
      </c>
      <c r="N12" s="121">
        <f>L12-'Rate Impacts_RY#1'!AC13</f>
        <v>0</v>
      </c>
    </row>
    <row r="13" spans="2:14" x14ac:dyDescent="0.25">
      <c r="B13" t="s">
        <v>8</v>
      </c>
      <c r="C13" s="5">
        <v>31</v>
      </c>
      <c r="D13" s="117">
        <f>'Revenue by Sch_RY#1'!D13</f>
        <v>243192248</v>
      </c>
      <c r="E13" s="118">
        <f>'Revenue by Sch_RY#1'!O13</f>
        <v>263664735.84557974</v>
      </c>
      <c r="F13" s="119">
        <f t="shared" si="0"/>
        <v>1.0841823208344197</v>
      </c>
      <c r="G13" s="6"/>
      <c r="H13" s="152">
        <f t="shared" si="1"/>
        <v>243192248</v>
      </c>
      <c r="I13" s="118">
        <f>'Rate Impacts_RY#1'!AA14</f>
        <v>279536696.79624009</v>
      </c>
      <c r="J13" s="119">
        <f t="shared" si="2"/>
        <v>1.1494473984887876</v>
      </c>
      <c r="K13" s="120"/>
      <c r="L13" s="62">
        <f t="shared" si="3"/>
        <v>6.0197511433444262E-2</v>
      </c>
      <c r="N13" s="121">
        <f>L13-'Rate Impacts_RY#1'!AC14</f>
        <v>0</v>
      </c>
    </row>
    <row r="14" spans="2:14" x14ac:dyDescent="0.25">
      <c r="B14" t="s">
        <v>9</v>
      </c>
      <c r="C14" s="5">
        <v>41</v>
      </c>
      <c r="D14" s="117">
        <f>'Revenue by Sch_RY#1'!D14</f>
        <v>66922885</v>
      </c>
      <c r="E14" s="118">
        <f>'Revenue by Sch_RY#1'!O14</f>
        <v>48031953.478729695</v>
      </c>
      <c r="F14" s="119">
        <f t="shared" si="0"/>
        <v>0.7177209033760229</v>
      </c>
      <c r="G14" s="6"/>
      <c r="H14" s="152">
        <f t="shared" si="1"/>
        <v>66922885</v>
      </c>
      <c r="I14" s="118">
        <f>'Rate Impacts_RY#1'!AA15</f>
        <v>50434906.069650002</v>
      </c>
      <c r="J14" s="119">
        <f t="shared" si="2"/>
        <v>0.75362719448885085</v>
      </c>
      <c r="K14" s="120"/>
      <c r="L14" s="62">
        <f t="shared" si="3"/>
        <v>5.002820865873011E-2</v>
      </c>
      <c r="N14" s="121">
        <f>L14-'Rate Impacts_RY#1'!AC15</f>
        <v>0</v>
      </c>
    </row>
    <row r="15" spans="2:14" x14ac:dyDescent="0.25">
      <c r="B15" t="s">
        <v>10</v>
      </c>
      <c r="C15" s="5">
        <v>85</v>
      </c>
      <c r="D15" s="117">
        <f>'Revenue by Sch_RY#1'!D15</f>
        <v>11124640</v>
      </c>
      <c r="E15" s="118">
        <f>'Revenue by Sch_RY#1'!O15</f>
        <v>6262366.3661821345</v>
      </c>
      <c r="F15" s="119">
        <f t="shared" si="0"/>
        <v>0.56292755236862801</v>
      </c>
      <c r="G15" s="6"/>
      <c r="H15" s="152">
        <f t="shared" si="1"/>
        <v>11124640</v>
      </c>
      <c r="I15" s="118">
        <f>'Rate Impacts_RY#1'!AA16</f>
        <v>6564502.0640471196</v>
      </c>
      <c r="J15" s="119">
        <f t="shared" si="2"/>
        <v>0.59008669620294407</v>
      </c>
      <c r="K15" s="120"/>
      <c r="L15" s="62">
        <f t="shared" si="3"/>
        <v>4.8246250729847159E-2</v>
      </c>
      <c r="N15" s="121">
        <f>L15-'Rate Impacts_RY#1'!AC16</f>
        <v>0</v>
      </c>
    </row>
    <row r="16" spans="2:14" x14ac:dyDescent="0.25">
      <c r="B16" t="s">
        <v>11</v>
      </c>
      <c r="C16" s="5">
        <v>86</v>
      </c>
      <c r="D16" s="117">
        <f>'Revenue by Sch_RY#1'!D16</f>
        <v>5691490</v>
      </c>
      <c r="E16" s="118">
        <f>'Revenue by Sch_RY#1'!O16</f>
        <v>3697688.1502850014</v>
      </c>
      <c r="F16" s="119">
        <f t="shared" si="0"/>
        <v>0.64968719092627791</v>
      </c>
      <c r="G16" s="6"/>
      <c r="H16" s="152">
        <f t="shared" si="1"/>
        <v>5691490</v>
      </c>
      <c r="I16" s="118">
        <f>'Rate Impacts_RY#1'!AA17</f>
        <v>3753152.9061548822</v>
      </c>
      <c r="J16" s="119">
        <f>I16/H16</f>
        <v>0.65943239927591579</v>
      </c>
      <c r="K16" s="120"/>
      <c r="L16" s="62">
        <f t="shared" si="3"/>
        <v>1.4999846827430758E-2</v>
      </c>
      <c r="N16" s="121">
        <f>L16-'Rate Impacts_RY#1'!AC17</f>
        <v>0</v>
      </c>
    </row>
    <row r="17" spans="2:14" x14ac:dyDescent="0.25">
      <c r="B17" t="s">
        <v>12</v>
      </c>
      <c r="C17" s="5">
        <v>87</v>
      </c>
      <c r="D17" s="117">
        <f>'Revenue by Sch_RY#1'!D17</f>
        <v>21819455.762355205</v>
      </c>
      <c r="E17" s="118">
        <f>'Revenue by Sch_RY#1'!O17</f>
        <v>11062369.983882254</v>
      </c>
      <c r="F17" s="119">
        <f t="shared" si="0"/>
        <v>0.50699568790198712</v>
      </c>
      <c r="G17" s="6"/>
      <c r="H17" s="152">
        <f t="shared" si="1"/>
        <v>21819455.762355205</v>
      </c>
      <c r="I17" s="118">
        <f>'Rate Impacts_RY#1'!AA18</f>
        <v>11309317.372549269</v>
      </c>
      <c r="J17" s="119">
        <f t="shared" si="2"/>
        <v>0.51831344904858134</v>
      </c>
      <c r="K17" s="120"/>
      <c r="L17" s="62">
        <f t="shared" si="3"/>
        <v>2.2323190150647182E-2</v>
      </c>
      <c r="N17" s="121">
        <f>L17-'Rate Impacts_RY#1'!AC18</f>
        <v>0</v>
      </c>
    </row>
    <row r="18" spans="2:14" x14ac:dyDescent="0.25">
      <c r="B18" t="s">
        <v>32</v>
      </c>
      <c r="C18" s="5" t="s">
        <v>33</v>
      </c>
      <c r="D18" s="117">
        <f>'Revenue by Sch_RY#1'!D18</f>
        <v>34397</v>
      </c>
      <c r="E18" s="118">
        <f>'Revenue by Sch_RY#1'!O18</f>
        <v>25227.026823518318</v>
      </c>
      <c r="F18" s="119">
        <f t="shared" si="0"/>
        <v>0.73340776298858379</v>
      </c>
      <c r="G18" s="6"/>
      <c r="H18" s="152">
        <f t="shared" si="1"/>
        <v>34397</v>
      </c>
      <c r="I18" s="118">
        <f>'Rate Impacts_RY#1'!AA19</f>
        <v>26449.002720000004</v>
      </c>
      <c r="J18" s="119">
        <f t="shared" si="2"/>
        <v>0.76893341628630418</v>
      </c>
      <c r="K18" s="120"/>
      <c r="L18" s="62">
        <f t="shared" si="3"/>
        <v>4.8439156347290166E-2</v>
      </c>
      <c r="N18" s="121">
        <f>L18-'Rate Impacts_RY#1'!AC19</f>
        <v>0</v>
      </c>
    </row>
    <row r="19" spans="2:14" x14ac:dyDescent="0.25">
      <c r="B19" t="s">
        <v>34</v>
      </c>
      <c r="C19" t="s">
        <v>35</v>
      </c>
      <c r="D19" s="117">
        <f>'Revenue by Sch_RY#1'!D19</f>
        <v>25464521</v>
      </c>
      <c r="E19" s="118">
        <f>'Revenue by Sch_RY#1'!O19</f>
        <v>4847808.8298120676</v>
      </c>
      <c r="F19" s="119">
        <f t="shared" si="0"/>
        <v>0.1903750253072527</v>
      </c>
      <c r="G19" s="6"/>
      <c r="H19" s="152">
        <f t="shared" si="1"/>
        <v>25464521</v>
      </c>
      <c r="I19" s="118">
        <f>'Rate Impacts_RY#1'!AA20</f>
        <v>5426004.6692399988</v>
      </c>
      <c r="J19" s="119">
        <f t="shared" si="2"/>
        <v>0.21308096348012981</v>
      </c>
      <c r="K19" s="120"/>
      <c r="L19" s="62">
        <f t="shared" si="3"/>
        <v>0.11926952149438323</v>
      </c>
      <c r="N19" s="121">
        <f>L19-'Rate Impacts_RY#1'!AC20</f>
        <v>0</v>
      </c>
    </row>
    <row r="20" spans="2:14" x14ac:dyDescent="0.25">
      <c r="B20" t="s">
        <v>36</v>
      </c>
      <c r="C20" t="s">
        <v>37</v>
      </c>
      <c r="D20" s="117">
        <f>'Revenue by Sch_RY#1'!D20</f>
        <v>62787518</v>
      </c>
      <c r="E20" s="118">
        <f>'Revenue by Sch_RY#1'!O20</f>
        <v>6975820.2195017952</v>
      </c>
      <c r="F20" s="119">
        <f t="shared" si="0"/>
        <v>0.11110202221246897</v>
      </c>
      <c r="G20" s="6"/>
      <c r="H20" s="152">
        <f t="shared" si="1"/>
        <v>62787518</v>
      </c>
      <c r="I20" s="118">
        <f>'Rate Impacts_RY#1'!AA21</f>
        <v>7944097.710004732</v>
      </c>
      <c r="J20" s="119">
        <f t="shared" si="2"/>
        <v>0.12652351873512077</v>
      </c>
      <c r="K20" s="120"/>
      <c r="L20" s="62">
        <f t="shared" si="3"/>
        <v>0.13880482295056767</v>
      </c>
      <c r="N20" s="121">
        <f>L20-'Rate Impacts_RY#1'!AC21</f>
        <v>0</v>
      </c>
    </row>
    <row r="21" spans="2:14" x14ac:dyDescent="0.25">
      <c r="B21" t="s">
        <v>38</v>
      </c>
      <c r="C21" t="s">
        <v>39</v>
      </c>
      <c r="D21" s="117">
        <f>'Revenue by Sch_RY#1'!D21</f>
        <v>542409</v>
      </c>
      <c r="E21" s="118">
        <f>'Revenue by Sch_RY#1'!O21</f>
        <v>140883.25711508218</v>
      </c>
      <c r="F21" s="119">
        <f t="shared" si="0"/>
        <v>0.2597362084977981</v>
      </c>
      <c r="G21" s="6"/>
      <c r="H21" s="152">
        <f t="shared" si="1"/>
        <v>542409</v>
      </c>
      <c r="I21" s="118">
        <f>'Rate Impacts_RY#1'!AA22</f>
        <v>149901.84332911271</v>
      </c>
      <c r="J21" s="119">
        <f t="shared" si="2"/>
        <v>0.27636311958155696</v>
      </c>
      <c r="K21" s="120"/>
      <c r="L21" s="62">
        <f t="shared" si="3"/>
        <v>6.401460612642991E-2</v>
      </c>
      <c r="N21" s="121">
        <f>L21-'Rate Impacts_RY#1'!AC22</f>
        <v>0</v>
      </c>
    </row>
    <row r="22" spans="2:14" x14ac:dyDescent="0.25">
      <c r="B22" t="s">
        <v>40</v>
      </c>
      <c r="C22" t="s">
        <v>41</v>
      </c>
      <c r="D22" s="117">
        <f>'Revenue by Sch_RY#1'!D22</f>
        <v>128953412.64547956</v>
      </c>
      <c r="E22" s="118">
        <f>'Revenue by Sch_RY#1'!O22</f>
        <v>6088383.7285085246</v>
      </c>
      <c r="F22" s="119">
        <f t="shared" si="0"/>
        <v>4.7213823997405868E-2</v>
      </c>
      <c r="G22" s="6"/>
      <c r="H22" s="152">
        <f t="shared" si="1"/>
        <v>128953412.64547956</v>
      </c>
      <c r="I22" s="118">
        <f>'Rate Impacts_RY#1'!AA23</f>
        <v>6584698.6986557394</v>
      </c>
      <c r="J22" s="119">
        <f t="shared" si="2"/>
        <v>5.1062616828594379E-2</v>
      </c>
      <c r="K22" s="120"/>
      <c r="L22" s="62">
        <f t="shared" si="3"/>
        <v>8.1518345800585312E-2</v>
      </c>
      <c r="N22" s="121">
        <f>L22-'Rate Impacts_RY#1'!AC23</f>
        <v>0</v>
      </c>
    </row>
    <row r="23" spans="2:14" x14ac:dyDescent="0.25">
      <c r="B23" t="s">
        <v>13</v>
      </c>
      <c r="D23" s="117">
        <f>'Revenue by Sch_RY#1'!D23</f>
        <v>31066760</v>
      </c>
      <c r="E23" s="118">
        <f>'Revenue by Sch_RY#1'!O23</f>
        <v>1694863.0973755296</v>
      </c>
      <c r="F23" s="119">
        <f t="shared" si="0"/>
        <v>5.4555515199381253E-2</v>
      </c>
      <c r="G23" s="6"/>
      <c r="H23" s="152">
        <f t="shared" si="1"/>
        <v>31066760</v>
      </c>
      <c r="I23" s="118">
        <f>'Rate Impacts_RY#1'!AA24</f>
        <v>1679540.0469532297</v>
      </c>
      <c r="J23" s="119">
        <f t="shared" si="2"/>
        <v>5.4062285444418073E-2</v>
      </c>
      <c r="K23" s="120"/>
      <c r="L23" s="62">
        <f t="shared" si="3"/>
        <v>-9.0408779600118748E-3</v>
      </c>
      <c r="N23" s="121">
        <f>L23-'Rate Impacts_RY#1'!AC24</f>
        <v>0</v>
      </c>
    </row>
    <row r="24" spans="2:14" x14ac:dyDescent="0.25">
      <c r="B24" t="s">
        <v>6</v>
      </c>
      <c r="D24" s="122">
        <f>SUM(D11:D23)</f>
        <v>1233977929.407835</v>
      </c>
      <c r="E24" s="11">
        <f>SUM(E11:E23)</f>
        <v>1106709585.3700273</v>
      </c>
      <c r="F24" s="123">
        <f>E24/D24</f>
        <v>0.8968633546801914</v>
      </c>
      <c r="G24" s="6"/>
      <c r="H24" s="122">
        <f>SUM(H11:H23)</f>
        <v>1233977929.407835</v>
      </c>
      <c r="I24" s="11">
        <f>SUM(I11:I23)</f>
        <v>1174386241.9536645</v>
      </c>
      <c r="J24" s="123">
        <f>I24/H24</f>
        <v>0.951707655352663</v>
      </c>
      <c r="K24" s="40"/>
      <c r="L24" s="63">
        <f>(I24-E24)/E24</f>
        <v>6.1151233781904589E-2</v>
      </c>
      <c r="M24" s="8"/>
      <c r="N24" s="121">
        <f>L24-'Rate Impacts_RY#1'!AC25</f>
        <v>4.4408920985006262E-16</v>
      </c>
    </row>
    <row r="25" spans="2:14" s="13" customFormat="1" x14ac:dyDescent="0.25">
      <c r="B25" s="12"/>
      <c r="C25" s="144"/>
      <c r="D25" s="144"/>
      <c r="E25" s="144"/>
      <c r="F25" s="16"/>
      <c r="G25" s="146"/>
      <c r="H25" s="144"/>
      <c r="I25" s="144"/>
      <c r="J25" s="16"/>
      <c r="K25" s="16"/>
      <c r="L25" s="145"/>
      <c r="N25" s="124"/>
    </row>
    <row r="26" spans="2:14" x14ac:dyDescent="0.25">
      <c r="F26" s="40"/>
      <c r="J26" s="40"/>
      <c r="K26" s="40"/>
      <c r="L26" s="8"/>
      <c r="N26" s="124"/>
    </row>
    <row r="27" spans="2:14" s="13" customFormat="1" x14ac:dyDescent="0.25">
      <c r="B27" s="102" t="s">
        <v>160</v>
      </c>
      <c r="C27" s="15"/>
      <c r="D27" s="15"/>
      <c r="E27" s="15"/>
      <c r="F27" s="16"/>
      <c r="H27" s="15"/>
      <c r="I27" s="15"/>
      <c r="J27" s="16"/>
      <c r="K27" s="16"/>
      <c r="L27" s="125"/>
      <c r="N27" s="124"/>
    </row>
    <row r="28" spans="2:14" s="13" customFormat="1" x14ac:dyDescent="0.25">
      <c r="B28" s="12" t="s">
        <v>42</v>
      </c>
      <c r="C28" s="12"/>
      <c r="D28" s="75">
        <f>D11+D12</f>
        <v>636378193</v>
      </c>
      <c r="E28" s="16">
        <f>E11+E12</f>
        <v>754217485.38623214</v>
      </c>
      <c r="F28" s="126">
        <f>E28/D28</f>
        <v>1.1851717951407428</v>
      </c>
      <c r="H28" s="75">
        <f>H11+H12</f>
        <v>636378193</v>
      </c>
      <c r="I28" s="16">
        <f>I11+I12</f>
        <v>800976974.77411997</v>
      </c>
      <c r="J28" s="126">
        <f>I28/H28</f>
        <v>1.2586493119730771</v>
      </c>
      <c r="K28" s="16"/>
      <c r="L28" s="62">
        <f>(I28-E28)/E28</f>
        <v>6.1997355264101925E-2</v>
      </c>
      <c r="M28" s="17"/>
      <c r="N28" s="121">
        <f>L28-'Rate Impacts_RY#1'!AC29</f>
        <v>-6.9388939039072284E-17</v>
      </c>
    </row>
    <row r="29" spans="2:14" s="13" customFormat="1" x14ac:dyDescent="0.25">
      <c r="B29" s="12" t="s">
        <v>43</v>
      </c>
      <c r="C29" s="12"/>
      <c r="D29" s="75">
        <f t="shared" ref="D29:E33" si="4">D13+D18</f>
        <v>243226645</v>
      </c>
      <c r="E29" s="16">
        <f t="shared" si="4"/>
        <v>263689962.87240326</v>
      </c>
      <c r="F29" s="126">
        <f t="shared" ref="F29:F34" si="5">E29/D29</f>
        <v>1.0841327144581683</v>
      </c>
      <c r="H29" s="75">
        <f t="shared" ref="H29:I33" si="6">H13+H18</f>
        <v>243226645</v>
      </c>
      <c r="I29" s="16">
        <f t="shared" si="6"/>
        <v>279563145.79896009</v>
      </c>
      <c r="J29" s="126">
        <f t="shared" ref="J29:J34" si="7">I29/H29</f>
        <v>1.1493935863768547</v>
      </c>
      <c r="K29" s="16"/>
      <c r="L29" s="62">
        <f t="shared" ref="L29:L35" si="8">(I29-E29)/E29</f>
        <v>6.0196386520171376E-2</v>
      </c>
      <c r="N29" s="121">
        <f>L29-'Rate Impacts_RY#1'!AC30</f>
        <v>0</v>
      </c>
    </row>
    <row r="30" spans="2:14" s="13" customFormat="1" x14ac:dyDescent="0.25">
      <c r="B30" s="12" t="s">
        <v>44</v>
      </c>
      <c r="C30" s="12"/>
      <c r="D30" s="75">
        <f t="shared" si="4"/>
        <v>92387406</v>
      </c>
      <c r="E30" s="16">
        <f t="shared" si="4"/>
        <v>52879762.30854176</v>
      </c>
      <c r="F30" s="126">
        <f t="shared" si="5"/>
        <v>0.57236981313818636</v>
      </c>
      <c r="H30" s="75">
        <f t="shared" si="6"/>
        <v>92387406</v>
      </c>
      <c r="I30" s="16">
        <f t="shared" si="6"/>
        <v>55860910.73889</v>
      </c>
      <c r="J30" s="126">
        <f t="shared" si="7"/>
        <v>0.60463772236326241</v>
      </c>
      <c r="K30" s="16"/>
      <c r="L30" s="62">
        <f t="shared" si="8"/>
        <v>5.6375980151988879E-2</v>
      </c>
      <c r="N30" s="121">
        <f>L30-'Rate Impacts_RY#1'!AC31</f>
        <v>0</v>
      </c>
    </row>
    <row r="31" spans="2:14" s="13" customFormat="1" x14ac:dyDescent="0.25">
      <c r="B31" s="12" t="s">
        <v>45</v>
      </c>
      <c r="C31" s="12"/>
      <c r="D31" s="75">
        <f t="shared" si="4"/>
        <v>73912158</v>
      </c>
      <c r="E31" s="16">
        <f t="shared" si="4"/>
        <v>13238186.585683931</v>
      </c>
      <c r="F31" s="126">
        <f t="shared" si="5"/>
        <v>0.17910702303785977</v>
      </c>
      <c r="H31" s="75">
        <f t="shared" si="6"/>
        <v>73912158</v>
      </c>
      <c r="I31" s="16">
        <f t="shared" si="6"/>
        <v>14508599.774051853</v>
      </c>
      <c r="J31" s="126">
        <f t="shared" si="7"/>
        <v>0.19629517208862787</v>
      </c>
      <c r="K31" s="16"/>
      <c r="L31" s="62">
        <f t="shared" si="8"/>
        <v>9.596580167118772E-2</v>
      </c>
      <c r="N31" s="121">
        <f>L31-'Rate Impacts_RY#1'!AC32</f>
        <v>0</v>
      </c>
    </row>
    <row r="32" spans="2:14" s="13" customFormat="1" x14ac:dyDescent="0.25">
      <c r="B32" s="12" t="s">
        <v>46</v>
      </c>
      <c r="C32" s="12"/>
      <c r="D32" s="75">
        <f t="shared" si="4"/>
        <v>6233899</v>
      </c>
      <c r="E32" s="16">
        <f t="shared" si="4"/>
        <v>3838571.4074000837</v>
      </c>
      <c r="F32" s="126">
        <f t="shared" si="5"/>
        <v>0.61575771558058345</v>
      </c>
      <c r="H32" s="75">
        <f t="shared" si="6"/>
        <v>6233899</v>
      </c>
      <c r="I32" s="16">
        <f t="shared" si="6"/>
        <v>3903054.7494839947</v>
      </c>
      <c r="J32" s="126">
        <f t="shared" si="7"/>
        <v>0.62610169806793381</v>
      </c>
      <c r="K32" s="16"/>
      <c r="L32" s="62">
        <f t="shared" si="8"/>
        <v>1.6798786642238443E-2</v>
      </c>
      <c r="N32" s="121">
        <f>L32-'Rate Impacts_RY#1'!AC33</f>
        <v>-9.7144514654701197E-17</v>
      </c>
    </row>
    <row r="33" spans="2:14" s="13" customFormat="1" x14ac:dyDescent="0.25">
      <c r="B33" s="12" t="s">
        <v>47</v>
      </c>
      <c r="C33" s="12"/>
      <c r="D33" s="75">
        <f t="shared" si="4"/>
        <v>150772868.40783477</v>
      </c>
      <c r="E33" s="16">
        <f t="shared" si="4"/>
        <v>17150753.71239078</v>
      </c>
      <c r="F33" s="126">
        <f t="shared" si="5"/>
        <v>0.11375225458998801</v>
      </c>
      <c r="H33" s="75">
        <f t="shared" si="6"/>
        <v>150772868.40783477</v>
      </c>
      <c r="I33" s="16">
        <f t="shared" si="6"/>
        <v>17894016.071205009</v>
      </c>
      <c r="J33" s="126">
        <f t="shared" si="7"/>
        <v>0.11868193701006197</v>
      </c>
      <c r="K33" s="16"/>
      <c r="L33" s="62">
        <f t="shared" si="8"/>
        <v>4.333700846495446E-2</v>
      </c>
      <c r="N33" s="121">
        <f>L33-'Rate Impacts_RY#1'!AC34</f>
        <v>-1.0408340855860843E-16</v>
      </c>
    </row>
    <row r="34" spans="2:14" s="13" customFormat="1" x14ac:dyDescent="0.25">
      <c r="B34" s="12" t="s">
        <v>13</v>
      </c>
      <c r="C34" s="12"/>
      <c r="D34" s="75">
        <f>D23</f>
        <v>31066760</v>
      </c>
      <c r="E34" s="16">
        <f>E23</f>
        <v>1694863.0973755296</v>
      </c>
      <c r="F34" s="126">
        <f t="shared" si="5"/>
        <v>5.4555515199381253E-2</v>
      </c>
      <c r="H34" s="75">
        <f>H23</f>
        <v>31066760</v>
      </c>
      <c r="I34" s="16">
        <f>I23</f>
        <v>1679540.0469532297</v>
      </c>
      <c r="J34" s="126">
        <f t="shared" si="7"/>
        <v>5.4062285444418073E-2</v>
      </c>
      <c r="K34" s="16"/>
      <c r="L34" s="62">
        <f t="shared" si="8"/>
        <v>-9.0408779600118748E-3</v>
      </c>
      <c r="N34" s="121">
        <f>L34-'Rate Impacts_RY#1'!AC35</f>
        <v>0</v>
      </c>
    </row>
    <row r="35" spans="2:14" s="13" customFormat="1" x14ac:dyDescent="0.25">
      <c r="B35" s="12" t="s">
        <v>14</v>
      </c>
      <c r="C35" s="12"/>
      <c r="D35" s="127">
        <f>SUM(D28:D34)</f>
        <v>1233977929.4078348</v>
      </c>
      <c r="E35" s="128">
        <f>SUM(E28:E34)</f>
        <v>1106709585.3700278</v>
      </c>
      <c r="F35" s="129">
        <f>E35/D35</f>
        <v>0.89686335468019196</v>
      </c>
      <c r="H35" s="127">
        <f>SUM(H28:H34)</f>
        <v>1233977929.4078348</v>
      </c>
      <c r="I35" s="128">
        <f>SUM(I28:I34)</f>
        <v>1174386241.9536641</v>
      </c>
      <c r="J35" s="129">
        <f>I35/H35</f>
        <v>0.95170765535266277</v>
      </c>
      <c r="K35" s="16"/>
      <c r="L35" s="63">
        <f t="shared" si="8"/>
        <v>6.1151233781903701E-2</v>
      </c>
      <c r="N35" s="121">
        <f>L35-'Rate Impacts_RY#1'!AC36</f>
        <v>-4.0939474033052647E-16</v>
      </c>
    </row>
    <row r="36" spans="2:14" s="13" customFormat="1" x14ac:dyDescent="0.25">
      <c r="B36" s="12"/>
      <c r="C36" s="12"/>
      <c r="D36" s="12"/>
      <c r="E36" s="12"/>
      <c r="F36" s="16"/>
      <c r="H36" s="12"/>
      <c r="I36" s="12"/>
      <c r="J36" s="16"/>
      <c r="K36" s="16"/>
      <c r="L36" s="149"/>
      <c r="N36" s="121"/>
    </row>
    <row r="37" spans="2:14" x14ac:dyDescent="0.25">
      <c r="B37" s="12" t="s">
        <v>196</v>
      </c>
      <c r="F37" s="14"/>
      <c r="I37" s="40"/>
    </row>
    <row r="38" spans="2:14" x14ac:dyDescent="0.25">
      <c r="F38" s="14"/>
    </row>
    <row r="39" spans="2:14" x14ac:dyDescent="0.25">
      <c r="B39" s="41"/>
    </row>
  </sheetData>
  <mergeCells count="2">
    <mergeCell ref="D6:F6"/>
    <mergeCell ref="H6:J6"/>
  </mergeCells>
  <printOptions horizontalCentered="1"/>
  <pageMargins left="0.7" right="0.7" top="0.75" bottom="0.75" header="0.3" footer="0.3"/>
  <pageSetup scale="74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N39"/>
  <sheetViews>
    <sheetView zoomScale="90" zoomScaleNormal="90" workbookViewId="0">
      <selection activeCell="P34" sqref="P34"/>
    </sheetView>
  </sheetViews>
  <sheetFormatPr defaultRowHeight="15" x14ac:dyDescent="0.25"/>
  <cols>
    <col min="1" max="1" width="2.85546875" customWidth="1"/>
    <col min="2" max="2" width="37.85546875" customWidth="1"/>
    <col min="3" max="3" width="9.140625" bestFit="1" customWidth="1"/>
    <col min="4" max="5" width="16.5703125" customWidth="1"/>
    <col min="6" max="6" width="12.7109375" bestFit="1" customWidth="1"/>
    <col min="7" max="7" width="2.5703125" customWidth="1"/>
    <col min="8" max="9" width="16.5703125" customWidth="1"/>
    <col min="10" max="10" width="12.7109375" bestFit="1" customWidth="1"/>
    <col min="11" max="11" width="2.5703125" customWidth="1"/>
    <col min="12" max="12" width="11.7109375" bestFit="1" customWidth="1"/>
    <col min="13" max="13" width="9.28515625" customWidth="1"/>
    <col min="14" max="14" width="13.85546875" customWidth="1"/>
  </cols>
  <sheetData>
    <row r="1" spans="2:14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x14ac:dyDescent="0.25">
      <c r="B2" s="42" t="s">
        <v>195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4" x14ac:dyDescent="0.25">
      <c r="B3" s="151" t="s">
        <v>223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2:14" x14ac:dyDescent="0.25">
      <c r="B4" s="151" t="s">
        <v>214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2:14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4" x14ac:dyDescent="0.25">
      <c r="D6" s="216" t="s">
        <v>161</v>
      </c>
      <c r="E6" s="216"/>
      <c r="F6" s="216"/>
      <c r="G6" s="3"/>
      <c r="H6" s="216" t="s">
        <v>131</v>
      </c>
      <c r="I6" s="216"/>
      <c r="J6" s="216"/>
    </row>
    <row r="7" spans="2:14" x14ac:dyDescent="0.25">
      <c r="B7" s="3"/>
      <c r="C7" s="3"/>
      <c r="D7" s="3" t="s">
        <v>15</v>
      </c>
      <c r="E7" s="3" t="s">
        <v>15</v>
      </c>
      <c r="F7" s="3"/>
      <c r="G7" s="3"/>
      <c r="H7" s="3" t="s">
        <v>15</v>
      </c>
      <c r="I7" s="3" t="s">
        <v>15</v>
      </c>
      <c r="J7" s="3"/>
      <c r="K7" s="3"/>
      <c r="L7" s="3"/>
    </row>
    <row r="8" spans="2:14" x14ac:dyDescent="0.25">
      <c r="B8" s="3"/>
      <c r="C8" s="3" t="s">
        <v>17</v>
      </c>
      <c r="D8" s="3" t="s">
        <v>3</v>
      </c>
      <c r="E8" s="3" t="s">
        <v>2</v>
      </c>
      <c r="F8" s="3" t="s">
        <v>162</v>
      </c>
      <c r="G8" s="3"/>
      <c r="H8" s="3" t="s">
        <v>3</v>
      </c>
      <c r="I8" s="3" t="s">
        <v>2</v>
      </c>
      <c r="J8" s="3" t="s">
        <v>162</v>
      </c>
      <c r="K8" s="3"/>
      <c r="L8" s="3" t="s">
        <v>6</v>
      </c>
    </row>
    <row r="9" spans="2:14" x14ac:dyDescent="0.25">
      <c r="B9" s="80" t="s">
        <v>4</v>
      </c>
      <c r="C9" s="80" t="s">
        <v>21</v>
      </c>
      <c r="D9" s="73" t="s">
        <v>280</v>
      </c>
      <c r="E9" s="80" t="str">
        <f>D9</f>
        <v>12 ME Dec. 2024</v>
      </c>
      <c r="F9" s="80" t="s">
        <v>163</v>
      </c>
      <c r="G9" s="3"/>
      <c r="H9" s="80" t="str">
        <f>D9</f>
        <v>12 ME Dec. 2024</v>
      </c>
      <c r="I9" s="80" t="str">
        <f>D9</f>
        <v>12 ME Dec. 2024</v>
      </c>
      <c r="J9" s="80" t="s">
        <v>163</v>
      </c>
      <c r="K9" s="3"/>
      <c r="L9" s="80" t="s">
        <v>164</v>
      </c>
      <c r="N9" s="80" t="s">
        <v>76</v>
      </c>
    </row>
    <row r="10" spans="2:14" x14ac:dyDescent="0.25">
      <c r="B10" s="3" t="s">
        <v>25</v>
      </c>
      <c r="C10" s="3" t="s">
        <v>26</v>
      </c>
      <c r="D10" s="3" t="s">
        <v>27</v>
      </c>
      <c r="E10" s="3" t="s">
        <v>28</v>
      </c>
      <c r="F10" s="74" t="s">
        <v>165</v>
      </c>
      <c r="G10" s="3"/>
      <c r="H10" s="3" t="s">
        <v>132</v>
      </c>
      <c r="I10" s="3" t="s">
        <v>133</v>
      </c>
      <c r="J10" s="74" t="s">
        <v>166</v>
      </c>
      <c r="K10" s="74"/>
      <c r="L10" s="4" t="s">
        <v>167</v>
      </c>
    </row>
    <row r="11" spans="2:14" x14ac:dyDescent="0.25">
      <c r="B11" t="s">
        <v>7</v>
      </c>
      <c r="C11" s="5" t="s">
        <v>30</v>
      </c>
      <c r="D11" s="117">
        <f>'Revenue by Sch_RY#2'!D11</f>
        <v>639464549</v>
      </c>
      <c r="E11" s="118">
        <f>'Revenue by Sch_RY#2'!P11</f>
        <v>805695887.19124937</v>
      </c>
      <c r="F11" s="119">
        <f>E11/D11</f>
        <v>1.2599539543688596</v>
      </c>
      <c r="G11" s="6"/>
      <c r="H11" s="152">
        <f>D11</f>
        <v>639464549</v>
      </c>
      <c r="I11" s="118">
        <f>'Rate Impacts_RY#2'!O11</f>
        <v>819009539.10142934</v>
      </c>
      <c r="J11" s="119">
        <f>I11/H11</f>
        <v>1.2807739543688594</v>
      </c>
      <c r="K11" s="120"/>
      <c r="L11" s="62">
        <f>(I11-E11)/E11</f>
        <v>1.6524413394479312E-2</v>
      </c>
      <c r="N11" s="121">
        <f>L11-'Rate Impacts_RY#2'!Q11</f>
        <v>0</v>
      </c>
    </row>
    <row r="12" spans="2:14" x14ac:dyDescent="0.25">
      <c r="B12" t="s">
        <v>31</v>
      </c>
      <c r="C12" s="5">
        <v>16</v>
      </c>
      <c r="D12" s="117">
        <f>'Revenue by Sch_RY#2'!D12</f>
        <v>8832</v>
      </c>
      <c r="E12" s="118">
        <f>'Revenue by Sch_RY#2'!P12</f>
        <v>10777.750959999998</v>
      </c>
      <c r="F12" s="119">
        <f t="shared" ref="F12:F23" si="0">E12/D12</f>
        <v>1.2203069474637678</v>
      </c>
      <c r="G12" s="6"/>
      <c r="H12" s="152">
        <f t="shared" ref="H12:H23" si="1">D12</f>
        <v>8832</v>
      </c>
      <c r="I12" s="118">
        <f>'Rate Impacts_RY#2'!O12</f>
        <v>10961.633199999998</v>
      </c>
      <c r="J12" s="119">
        <f t="shared" ref="J12:J23" si="2">I12/H12</f>
        <v>1.2411269474637678</v>
      </c>
      <c r="K12" s="120"/>
      <c r="L12" s="62">
        <f t="shared" ref="L12:L23" si="3">(I12-E12)/E12</f>
        <v>1.706128121557569E-2</v>
      </c>
      <c r="N12" s="121">
        <f>L12-'Rate Impacts_RY#2'!Q12</f>
        <v>0</v>
      </c>
    </row>
    <row r="13" spans="2:14" x14ac:dyDescent="0.25">
      <c r="B13" t="s">
        <v>8</v>
      </c>
      <c r="C13" s="5">
        <v>31</v>
      </c>
      <c r="D13" s="117">
        <f>'Revenue by Sch_RY#2'!D13</f>
        <v>245936243</v>
      </c>
      <c r="E13" s="118">
        <f>'Revenue by Sch_RY#2'!P13</f>
        <v>282525988.06661838</v>
      </c>
      <c r="F13" s="119">
        <f t="shared" si="0"/>
        <v>1.1487773604259637</v>
      </c>
      <c r="G13" s="6"/>
      <c r="H13" s="152">
        <f t="shared" si="1"/>
        <v>245936243</v>
      </c>
      <c r="I13" s="118">
        <f>'Rate Impacts_RY#2'!O13</f>
        <v>287147130.07258838</v>
      </c>
      <c r="J13" s="119">
        <f t="shared" si="2"/>
        <v>1.1675673604259638</v>
      </c>
      <c r="K13" s="120"/>
      <c r="L13" s="62">
        <f t="shared" si="3"/>
        <v>1.635652011198473E-2</v>
      </c>
      <c r="N13" s="121">
        <f>L13-'Rate Impacts_RY#2'!Q13</f>
        <v>0</v>
      </c>
    </row>
    <row r="14" spans="2:14" x14ac:dyDescent="0.25">
      <c r="B14" t="s">
        <v>9</v>
      </c>
      <c r="C14" s="5">
        <v>41</v>
      </c>
      <c r="D14" s="117">
        <f>'Revenue by Sch_RY#2'!D14</f>
        <v>66890541</v>
      </c>
      <c r="E14" s="118">
        <f>'Revenue by Sch_RY#2'!P14</f>
        <v>50411853.491752848</v>
      </c>
      <c r="F14" s="119">
        <f t="shared" si="0"/>
        <v>0.75364696918437013</v>
      </c>
      <c r="G14" s="6"/>
      <c r="H14" s="152">
        <f t="shared" si="1"/>
        <v>66890541</v>
      </c>
      <c r="I14" s="118">
        <f>'Rate Impacts_RY#2'!O14</f>
        <v>51012530.549932845</v>
      </c>
      <c r="J14" s="119">
        <f t="shared" si="2"/>
        <v>0.76262696918437012</v>
      </c>
      <c r="K14" s="120"/>
      <c r="L14" s="62">
        <f t="shared" si="3"/>
        <v>1.1915393237391381E-2</v>
      </c>
      <c r="N14" s="121">
        <f>L14-'Rate Impacts_RY#2'!Q14</f>
        <v>0</v>
      </c>
    </row>
    <row r="15" spans="2:14" x14ac:dyDescent="0.25">
      <c r="B15" t="s">
        <v>10</v>
      </c>
      <c r="C15" s="5">
        <v>85</v>
      </c>
      <c r="D15" s="117">
        <f>'Revenue by Sch_RY#2'!D15</f>
        <v>10745378</v>
      </c>
      <c r="E15" s="118">
        <f>'Revenue by Sch_RY#2'!P15</f>
        <v>6355026.2474540109</v>
      </c>
      <c r="F15" s="119">
        <f t="shared" si="0"/>
        <v>0.59141951520495706</v>
      </c>
      <c r="G15" s="6"/>
      <c r="H15" s="152">
        <f t="shared" si="1"/>
        <v>10745378</v>
      </c>
      <c r="I15" s="118">
        <f>'Rate Impacts_RY#2'!O15</f>
        <v>6417349.4398540109</v>
      </c>
      <c r="J15" s="119">
        <f t="shared" si="2"/>
        <v>0.59721951520495709</v>
      </c>
      <c r="K15" s="120"/>
      <c r="L15" s="62">
        <f t="shared" si="3"/>
        <v>9.8069134529488924E-3</v>
      </c>
      <c r="N15" s="121">
        <f>L15-'Rate Impacts_RY#2'!Q15</f>
        <v>0</v>
      </c>
    </row>
    <row r="16" spans="2:14" x14ac:dyDescent="0.25">
      <c r="B16" t="s">
        <v>11</v>
      </c>
      <c r="C16" s="5">
        <v>86</v>
      </c>
      <c r="D16" s="117">
        <f>'Revenue by Sch_RY#2'!D16</f>
        <v>5489408</v>
      </c>
      <c r="E16" s="118">
        <f>'Revenue by Sch_RY#2'!P16</f>
        <v>3618488.4794600722</v>
      </c>
      <c r="F16" s="119">
        <f t="shared" si="0"/>
        <v>0.65917645025840166</v>
      </c>
      <c r="G16" s="6"/>
      <c r="H16" s="152">
        <f t="shared" si="1"/>
        <v>5489408</v>
      </c>
      <c r="I16" s="118">
        <f>'Rate Impacts_RY#2'!O16</f>
        <v>3645606.1549800723</v>
      </c>
      <c r="J16" s="119">
        <f>I16/H16</f>
        <v>0.66411645025840171</v>
      </c>
      <c r="K16" s="120"/>
      <c r="L16" s="62">
        <f t="shared" si="3"/>
        <v>7.4941997670934617E-3</v>
      </c>
      <c r="N16" s="121">
        <f>L16-'Rate Impacts_RY#2'!Q16</f>
        <v>0</v>
      </c>
    </row>
    <row r="17" spans="2:14" x14ac:dyDescent="0.25">
      <c r="B17" t="s">
        <v>12</v>
      </c>
      <c r="C17" s="5">
        <v>87</v>
      </c>
      <c r="D17" s="117">
        <f>'Revenue by Sch_RY#2'!D17</f>
        <v>21819455.762355205</v>
      </c>
      <c r="E17" s="118">
        <f>'Revenue by Sch_RY#2'!P17</f>
        <v>11309317.372549269</v>
      </c>
      <c r="F17" s="119">
        <f t="shared" si="0"/>
        <v>0.51831344904858134</v>
      </c>
      <c r="G17" s="6"/>
      <c r="H17" s="152">
        <f t="shared" si="1"/>
        <v>21819455.762355205</v>
      </c>
      <c r="I17" s="118">
        <f>'Rate Impacts_RY#2'!O17</f>
        <v>11363434.651507592</v>
      </c>
      <c r="J17" s="119">
        <f t="shared" si="2"/>
        <v>0.52079367951572664</v>
      </c>
      <c r="K17" s="120"/>
      <c r="L17" s="62">
        <f t="shared" si="3"/>
        <v>4.7851941169923798E-3</v>
      </c>
      <c r="N17" s="121">
        <f>L17-'Rate Impacts_RY#2'!Q17</f>
        <v>0</v>
      </c>
    </row>
    <row r="18" spans="2:14" x14ac:dyDescent="0.25">
      <c r="B18" t="s">
        <v>32</v>
      </c>
      <c r="C18" s="5" t="s">
        <v>33</v>
      </c>
      <c r="D18" s="117">
        <f>'Revenue by Sch_RY#2'!D18</f>
        <v>33867</v>
      </c>
      <c r="E18" s="118">
        <f>'Revenue by Sch_RY#2'!P18</f>
        <v>26176.089889183364</v>
      </c>
      <c r="F18" s="119">
        <f t="shared" si="0"/>
        <v>0.77290843266847853</v>
      </c>
      <c r="G18" s="6"/>
      <c r="H18" s="152">
        <f t="shared" si="1"/>
        <v>33867</v>
      </c>
      <c r="I18" s="118">
        <f>'Rate Impacts_RY#2'!O18</f>
        <v>26816.514859183364</v>
      </c>
      <c r="J18" s="119">
        <f t="shared" si="2"/>
        <v>0.79181843266847862</v>
      </c>
      <c r="K18" s="120"/>
      <c r="L18" s="62">
        <f t="shared" si="3"/>
        <v>2.4466028834376832E-2</v>
      </c>
      <c r="N18" s="121">
        <f>L18-'Rate Impacts_RY#2'!Q18</f>
        <v>0</v>
      </c>
    </row>
    <row r="19" spans="2:14" x14ac:dyDescent="0.25">
      <c r="B19" t="s">
        <v>34</v>
      </c>
      <c r="C19" t="s">
        <v>35</v>
      </c>
      <c r="D19" s="117">
        <f>'Revenue by Sch_RY#2'!D19</f>
        <v>26510234</v>
      </c>
      <c r="E19" s="118">
        <f>'Revenue by Sch_RY#2'!P19</f>
        <v>5563549.1801457489</v>
      </c>
      <c r="F19" s="119">
        <f t="shared" si="0"/>
        <v>0.20986420490086014</v>
      </c>
      <c r="G19" s="6"/>
      <c r="H19" s="152">
        <f t="shared" si="1"/>
        <v>26510234</v>
      </c>
      <c r="I19" s="118">
        <f>'Rate Impacts_RY#2'!O19</f>
        <v>5803466.7978457492</v>
      </c>
      <c r="J19" s="119">
        <f t="shared" si="2"/>
        <v>0.21891420490086014</v>
      </c>
      <c r="K19" s="120"/>
      <c r="L19" s="62">
        <f t="shared" si="3"/>
        <v>4.3123123375304676E-2</v>
      </c>
      <c r="N19" s="121">
        <f>L19-'Rate Impacts_RY#2'!Q19</f>
        <v>0</v>
      </c>
    </row>
    <row r="20" spans="2:14" x14ac:dyDescent="0.25">
      <c r="B20" t="s">
        <v>36</v>
      </c>
      <c r="C20" t="s">
        <v>37</v>
      </c>
      <c r="D20" s="117">
        <f>'Revenue by Sch_RY#2'!D20</f>
        <v>62288926</v>
      </c>
      <c r="E20" s="118">
        <f>'Revenue by Sch_RY#2'!P20</f>
        <v>7894042.8385108421</v>
      </c>
      <c r="F20" s="119">
        <f t="shared" si="0"/>
        <v>0.12673268501227397</v>
      </c>
      <c r="G20" s="6"/>
      <c r="H20" s="152">
        <f t="shared" si="1"/>
        <v>62288926</v>
      </c>
      <c r="I20" s="118">
        <f>'Rate Impacts_RY#2'!O20</f>
        <v>8254695.7200508425</v>
      </c>
      <c r="J20" s="119">
        <f t="shared" si="2"/>
        <v>0.13252268501227396</v>
      </c>
      <c r="K20" s="120"/>
      <c r="L20" s="62">
        <f t="shared" si="3"/>
        <v>4.5686714515984966E-2</v>
      </c>
      <c r="N20" s="121">
        <f>L20-'Rate Impacts_RY#2'!Q20</f>
        <v>0</v>
      </c>
    </row>
    <row r="21" spans="2:14" x14ac:dyDescent="0.25">
      <c r="B21" t="s">
        <v>38</v>
      </c>
      <c r="C21" t="s">
        <v>39</v>
      </c>
      <c r="D21" s="117">
        <f>'Revenue by Sch_RY#2'!D21</f>
        <v>578702</v>
      </c>
      <c r="E21" s="118">
        <f>'Revenue by Sch_RY#2'!P21</f>
        <v>155244.16480140295</v>
      </c>
      <c r="F21" s="119">
        <f t="shared" si="0"/>
        <v>0.26826270654223233</v>
      </c>
      <c r="G21" s="6"/>
      <c r="H21" s="152">
        <f t="shared" si="1"/>
        <v>578702</v>
      </c>
      <c r="I21" s="118">
        <f>'Rate Impacts_RY#2'!O21</f>
        <v>158102.95268140294</v>
      </c>
      <c r="J21" s="119">
        <f t="shared" si="2"/>
        <v>0.27320270654223233</v>
      </c>
      <c r="K21" s="120"/>
      <c r="L21" s="62">
        <f t="shared" si="3"/>
        <v>1.841478475958894E-2</v>
      </c>
      <c r="N21" s="121">
        <f>L21-'Rate Impacts_RY#2'!Q21</f>
        <v>0</v>
      </c>
    </row>
    <row r="22" spans="2:14" x14ac:dyDescent="0.25">
      <c r="B22" t="s">
        <v>40</v>
      </c>
      <c r="C22" t="s">
        <v>41</v>
      </c>
      <c r="D22" s="117">
        <f>'Revenue by Sch_RY#2'!D22</f>
        <v>142008966.64547956</v>
      </c>
      <c r="E22" s="118">
        <f>'Revenue by Sch_RY#2'!P22</f>
        <v>6954392.5986394649</v>
      </c>
      <c r="F22" s="119">
        <f t="shared" si="0"/>
        <v>4.8971503440348695E-2</v>
      </c>
      <c r="G22" s="6"/>
      <c r="H22" s="152">
        <f t="shared" si="1"/>
        <v>142008966.64547956</v>
      </c>
      <c r="I22" s="118">
        <f>'Rate Impacts_RY#2'!O22</f>
        <v>7159231.0621266086</v>
      </c>
      <c r="J22" s="119">
        <f t="shared" si="2"/>
        <v>5.0413936748088445E-2</v>
      </c>
      <c r="K22" s="120"/>
      <c r="L22" s="62">
        <f t="shared" si="3"/>
        <v>2.945454410025939E-2</v>
      </c>
      <c r="N22" s="121">
        <f>L22-'Rate Impacts_RY#2'!Q22</f>
        <v>0</v>
      </c>
    </row>
    <row r="23" spans="2:14" x14ac:dyDescent="0.25">
      <c r="B23" t="s">
        <v>13</v>
      </c>
      <c r="D23" s="117">
        <f>'Revenue by Sch_RY#2'!D23</f>
        <v>30967900</v>
      </c>
      <c r="E23" s="118">
        <f>'Revenue by Sch_RY#2'!P23</f>
        <v>1676822.7883708156</v>
      </c>
      <c r="F23" s="119">
        <f t="shared" si="0"/>
        <v>5.4147126165184453E-2</v>
      </c>
      <c r="G23" s="6"/>
      <c r="H23" s="152">
        <f t="shared" si="1"/>
        <v>30967900</v>
      </c>
      <c r="I23" s="118">
        <f>'Rate Impacts_RY#2'!O23</f>
        <v>1676822.7883708156</v>
      </c>
      <c r="J23" s="119">
        <f t="shared" si="2"/>
        <v>5.4147126165184453E-2</v>
      </c>
      <c r="K23" s="120"/>
      <c r="L23" s="62">
        <f t="shared" si="3"/>
        <v>0</v>
      </c>
      <c r="N23" s="121">
        <f>L23-'Rate Impacts_RY#2'!Q23</f>
        <v>0</v>
      </c>
    </row>
    <row r="24" spans="2:14" x14ac:dyDescent="0.25">
      <c r="B24" t="s">
        <v>6</v>
      </c>
      <c r="D24" s="122">
        <f>SUM(D11:D23)</f>
        <v>1252743002.407835</v>
      </c>
      <c r="E24" s="11">
        <f>SUM(E11:E23)</f>
        <v>1182197566.2604012</v>
      </c>
      <c r="F24" s="123">
        <f>E24/D24</f>
        <v>0.94368722394629878</v>
      </c>
      <c r="G24" s="6"/>
      <c r="H24" s="122">
        <f>SUM(H11:H23)</f>
        <v>1252743002.407835</v>
      </c>
      <c r="I24" s="11">
        <f>SUM(I11:I23)</f>
        <v>1201685687.4394271</v>
      </c>
      <c r="J24" s="123">
        <f>I24/H24</f>
        <v>0.95924358398308895</v>
      </c>
      <c r="K24" s="40"/>
      <c r="L24" s="63">
        <f>(I24-E24)/E24</f>
        <v>1.648465682489255E-2</v>
      </c>
      <c r="M24" s="8"/>
      <c r="N24" s="121">
        <f>L24-'Rate Impacts_RY#2'!Q24</f>
        <v>3.7816971776294395E-16</v>
      </c>
    </row>
    <row r="25" spans="2:14" s="13" customFormat="1" x14ac:dyDescent="0.25">
      <c r="B25" s="12"/>
      <c r="C25" s="144"/>
      <c r="D25" s="144"/>
      <c r="E25" s="144"/>
      <c r="F25" s="16"/>
      <c r="G25" s="146"/>
      <c r="H25" s="144"/>
      <c r="I25" s="144"/>
      <c r="J25" s="16"/>
      <c r="K25" s="16"/>
      <c r="L25" s="145"/>
      <c r="N25" s="124"/>
    </row>
    <row r="26" spans="2:14" x14ac:dyDescent="0.25">
      <c r="F26" s="40"/>
      <c r="J26" s="40"/>
      <c r="K26" s="40"/>
      <c r="L26" s="8"/>
      <c r="N26" s="124"/>
    </row>
    <row r="27" spans="2:14" s="13" customFormat="1" x14ac:dyDescent="0.25">
      <c r="B27" s="102" t="s">
        <v>160</v>
      </c>
      <c r="C27" s="15"/>
      <c r="D27" s="15"/>
      <c r="E27" s="15"/>
      <c r="F27" s="16"/>
      <c r="H27" s="15"/>
      <c r="I27" s="15"/>
      <c r="J27" s="16"/>
      <c r="K27" s="16"/>
      <c r="L27" s="125"/>
      <c r="N27" s="124"/>
    </row>
    <row r="28" spans="2:14" s="13" customFormat="1" x14ac:dyDescent="0.25">
      <c r="B28" s="12" t="s">
        <v>42</v>
      </c>
      <c r="C28" s="12"/>
      <c r="D28" s="75">
        <f>D11+D12</f>
        <v>639473381</v>
      </c>
      <c r="E28" s="16">
        <f>E11+E12</f>
        <v>805706664.94220936</v>
      </c>
      <c r="F28" s="126">
        <f>E28/D28</f>
        <v>1.259953406789593</v>
      </c>
      <c r="H28" s="75">
        <f>H11+H12</f>
        <v>639473381</v>
      </c>
      <c r="I28" s="16">
        <f>I11+I12</f>
        <v>819020500.73462939</v>
      </c>
      <c r="J28" s="126">
        <f>I28/H28</f>
        <v>1.2807734067895931</v>
      </c>
      <c r="K28" s="16"/>
      <c r="L28" s="62">
        <f>(I28-E28)/E28</f>
        <v>1.6524420576035554E-2</v>
      </c>
      <c r="M28" s="17"/>
      <c r="N28" s="121">
        <f>L28-'Rate Impacts_RY#2'!Q28</f>
        <v>6.9388939039072284E-17</v>
      </c>
    </row>
    <row r="29" spans="2:14" s="13" customFormat="1" x14ac:dyDescent="0.25">
      <c r="B29" s="12" t="s">
        <v>43</v>
      </c>
      <c r="C29" s="12"/>
      <c r="D29" s="75">
        <f t="shared" ref="D29:E33" si="4">D13+D18</f>
        <v>245970110</v>
      </c>
      <c r="E29" s="16">
        <f t="shared" si="4"/>
        <v>282552164.15650755</v>
      </c>
      <c r="F29" s="126">
        <f t="shared" ref="F29:F34" si="5">E29/D29</f>
        <v>1.1487256079875214</v>
      </c>
      <c r="H29" s="75">
        <f t="shared" ref="H29:I33" si="6">H13+H18</f>
        <v>245970110</v>
      </c>
      <c r="I29" s="16">
        <f t="shared" si="6"/>
        <v>287173946.58744758</v>
      </c>
      <c r="J29" s="126">
        <f t="shared" ref="J29:J34" si="7">I29/H29</f>
        <v>1.1675156245100171</v>
      </c>
      <c r="K29" s="16"/>
      <c r="L29" s="62">
        <f t="shared" ref="L29:L35" si="8">(I29-E29)/E29</f>
        <v>1.6357271390000736E-2</v>
      </c>
      <c r="N29" s="121">
        <f>L29-'Rate Impacts_RY#2'!Q29</f>
        <v>1.1102230246251565E-16</v>
      </c>
    </row>
    <row r="30" spans="2:14" s="13" customFormat="1" x14ac:dyDescent="0.25">
      <c r="B30" s="12" t="s">
        <v>44</v>
      </c>
      <c r="C30" s="12"/>
      <c r="D30" s="75">
        <f t="shared" si="4"/>
        <v>93400775</v>
      </c>
      <c r="E30" s="16">
        <f t="shared" si="4"/>
        <v>55975402.671898596</v>
      </c>
      <c r="F30" s="126">
        <f t="shared" si="5"/>
        <v>0.59930340697813911</v>
      </c>
      <c r="H30" s="75">
        <f t="shared" si="6"/>
        <v>93400775</v>
      </c>
      <c r="I30" s="16">
        <f t="shared" si="6"/>
        <v>56815997.347778596</v>
      </c>
      <c r="J30" s="126">
        <f t="shared" si="7"/>
        <v>0.60830327529700468</v>
      </c>
      <c r="K30" s="16"/>
      <c r="L30" s="62">
        <f t="shared" si="8"/>
        <v>1.5017215343803231E-2</v>
      </c>
      <c r="N30" s="121">
        <f>L30-'Rate Impacts_RY#2'!Q30</f>
        <v>5.0306980803327406E-17</v>
      </c>
    </row>
    <row r="31" spans="2:14" s="13" customFormat="1" x14ac:dyDescent="0.25">
      <c r="B31" s="12" t="s">
        <v>45</v>
      </c>
      <c r="C31" s="12"/>
      <c r="D31" s="75">
        <f t="shared" si="4"/>
        <v>73034304</v>
      </c>
      <c r="E31" s="16">
        <f t="shared" si="4"/>
        <v>14249069.085964853</v>
      </c>
      <c r="F31" s="126">
        <f t="shared" si="5"/>
        <v>0.19510104574919826</v>
      </c>
      <c r="H31" s="75">
        <f t="shared" si="6"/>
        <v>73034304</v>
      </c>
      <c r="I31" s="16">
        <f t="shared" si="6"/>
        <v>14672045.159904853</v>
      </c>
      <c r="J31" s="126">
        <f t="shared" si="7"/>
        <v>0.20089251702740746</v>
      </c>
      <c r="K31" s="16"/>
      <c r="L31" s="62">
        <f t="shared" si="8"/>
        <v>2.9684470710905984E-2</v>
      </c>
      <c r="N31" s="121">
        <f>L31-'Rate Impacts_RY#2'!Q31</f>
        <v>-6.2450045135165055E-17</v>
      </c>
    </row>
    <row r="32" spans="2:14" s="13" customFormat="1" x14ac:dyDescent="0.25">
      <c r="B32" s="12" t="s">
        <v>46</v>
      </c>
      <c r="C32" s="12"/>
      <c r="D32" s="75">
        <f t="shared" si="4"/>
        <v>6068110</v>
      </c>
      <c r="E32" s="16">
        <f t="shared" si="4"/>
        <v>3773732.6442614752</v>
      </c>
      <c r="F32" s="126">
        <f t="shared" si="5"/>
        <v>0.62189588591200151</v>
      </c>
      <c r="H32" s="75">
        <f t="shared" si="6"/>
        <v>6068110</v>
      </c>
      <c r="I32" s="16">
        <f t="shared" si="6"/>
        <v>3803709.1076614754</v>
      </c>
      <c r="J32" s="126">
        <f t="shared" si="7"/>
        <v>0.62683588591200146</v>
      </c>
      <c r="K32" s="16"/>
      <c r="L32" s="62">
        <f t="shared" si="8"/>
        <v>7.9434518090686513E-3</v>
      </c>
      <c r="N32" s="121">
        <f>L32-'Rate Impacts_RY#2'!Q32</f>
        <v>5.377642775528102E-17</v>
      </c>
    </row>
    <row r="33" spans="2:14" s="13" customFormat="1" x14ac:dyDescent="0.25">
      <c r="B33" s="12" t="s">
        <v>47</v>
      </c>
      <c r="C33" s="12"/>
      <c r="D33" s="75">
        <f t="shared" si="4"/>
        <v>163828422.40783477</v>
      </c>
      <c r="E33" s="16">
        <f t="shared" si="4"/>
        <v>18263709.971188735</v>
      </c>
      <c r="F33" s="126">
        <f t="shared" si="5"/>
        <v>0.11148071685463114</v>
      </c>
      <c r="H33" s="75">
        <f t="shared" si="6"/>
        <v>163828422.40783477</v>
      </c>
      <c r="I33" s="16">
        <f t="shared" si="6"/>
        <v>18522665.7136342</v>
      </c>
      <c r="J33" s="126">
        <f t="shared" si="7"/>
        <v>0.1130613689700548</v>
      </c>
      <c r="K33" s="16"/>
      <c r="L33" s="62">
        <f t="shared" si="8"/>
        <v>1.4178704264028041E-2</v>
      </c>
      <c r="N33" s="121">
        <f>L33-'Rate Impacts_RY#2'!Q33</f>
        <v>-5.2041704279304213E-17</v>
      </c>
    </row>
    <row r="34" spans="2:14" s="13" customFormat="1" x14ac:dyDescent="0.25">
      <c r="B34" s="12" t="s">
        <v>13</v>
      </c>
      <c r="C34" s="12"/>
      <c r="D34" s="75">
        <f>D23</f>
        <v>30967900</v>
      </c>
      <c r="E34" s="16">
        <f>E23</f>
        <v>1676822.7883708156</v>
      </c>
      <c r="F34" s="126">
        <f t="shared" si="5"/>
        <v>5.4147126165184453E-2</v>
      </c>
      <c r="H34" s="75">
        <f>H23</f>
        <v>30967900</v>
      </c>
      <c r="I34" s="16">
        <f>I23</f>
        <v>1676822.7883708156</v>
      </c>
      <c r="J34" s="126">
        <f t="shared" si="7"/>
        <v>5.4147126165184453E-2</v>
      </c>
      <c r="K34" s="16"/>
      <c r="L34" s="62">
        <f t="shared" si="8"/>
        <v>0</v>
      </c>
      <c r="N34" s="121">
        <f>L34-'Rate Impacts_RY#2'!Q34</f>
        <v>0</v>
      </c>
    </row>
    <row r="35" spans="2:14" s="13" customFormat="1" x14ac:dyDescent="0.25">
      <c r="B35" s="12" t="s">
        <v>14</v>
      </c>
      <c r="C35" s="12"/>
      <c r="D35" s="127">
        <f>SUM(D28:D34)</f>
        <v>1252743002.4078348</v>
      </c>
      <c r="E35" s="128">
        <f>SUM(E28:E34)</f>
        <v>1182197566.2604015</v>
      </c>
      <c r="F35" s="129">
        <f>E35/D35</f>
        <v>0.94368722394629911</v>
      </c>
      <c r="H35" s="127">
        <f>SUM(H28:H34)</f>
        <v>1252743002.4078348</v>
      </c>
      <c r="I35" s="128">
        <f>SUM(I28:I34)</f>
        <v>1201685687.4394271</v>
      </c>
      <c r="J35" s="129">
        <f>I35/H35</f>
        <v>0.95924358398308918</v>
      </c>
      <c r="K35" s="16"/>
      <c r="L35" s="63">
        <f t="shared" si="8"/>
        <v>1.6484656824892346E-2</v>
      </c>
      <c r="N35" s="121">
        <f>L35-'Rate Impacts_RY#2'!Q35</f>
        <v>1.8041124150158794E-16</v>
      </c>
    </row>
    <row r="36" spans="2:14" s="13" customFormat="1" x14ac:dyDescent="0.25">
      <c r="B36" s="12"/>
      <c r="C36" s="12"/>
      <c r="D36" s="12"/>
      <c r="E36" s="12"/>
      <c r="F36" s="16"/>
      <c r="H36" s="12"/>
      <c r="I36" s="12"/>
      <c r="J36" s="16"/>
      <c r="K36" s="16"/>
      <c r="L36" s="149"/>
      <c r="N36" s="121"/>
    </row>
    <row r="37" spans="2:14" x14ac:dyDescent="0.25">
      <c r="B37" s="12" t="s">
        <v>260</v>
      </c>
      <c r="F37" s="14"/>
      <c r="I37" s="40"/>
    </row>
    <row r="38" spans="2:14" x14ac:dyDescent="0.25">
      <c r="F38" s="14"/>
    </row>
    <row r="39" spans="2:14" x14ac:dyDescent="0.25">
      <c r="B39" s="41"/>
    </row>
  </sheetData>
  <mergeCells count="2">
    <mergeCell ref="D6:F6"/>
    <mergeCell ref="H6:J6"/>
  </mergeCells>
  <printOptions horizontalCentered="1"/>
  <pageMargins left="0.7" right="0.7" top="0.75" bottom="0.75" header="0.3" footer="0.3"/>
  <pageSetup scale="74" orientation="landscape" blackAndWhite="1" r:id="rId1"/>
  <headerFooter>
    <oddFooter>&amp;L&amp;F 
&amp;A&amp;C&amp;P&amp;R&amp;D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N39"/>
  <sheetViews>
    <sheetView zoomScale="90" zoomScaleNormal="90" workbookViewId="0">
      <selection activeCell="J36" sqref="J36"/>
    </sheetView>
  </sheetViews>
  <sheetFormatPr defaultRowHeight="15" x14ac:dyDescent="0.25"/>
  <cols>
    <col min="1" max="1" width="2.85546875" customWidth="1"/>
    <col min="2" max="2" width="37.85546875" customWidth="1"/>
    <col min="3" max="3" width="9.140625" bestFit="1" customWidth="1"/>
    <col min="4" max="5" width="16.5703125" customWidth="1"/>
    <col min="6" max="6" width="12.7109375" bestFit="1" customWidth="1"/>
    <col min="7" max="7" width="2.5703125" customWidth="1"/>
    <col min="8" max="9" width="16.5703125" customWidth="1"/>
    <col min="10" max="10" width="12.7109375" bestFit="1" customWidth="1"/>
    <col min="11" max="11" width="2.5703125" customWidth="1"/>
    <col min="12" max="12" width="11.7109375" bestFit="1" customWidth="1"/>
    <col min="13" max="13" width="9.28515625" customWidth="1"/>
    <col min="14" max="14" width="13.85546875" customWidth="1"/>
  </cols>
  <sheetData>
    <row r="1" spans="2:14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x14ac:dyDescent="0.25">
      <c r="B2" s="42" t="s">
        <v>195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4" x14ac:dyDescent="0.25">
      <c r="B3" s="151" t="s">
        <v>222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2:14" x14ac:dyDescent="0.25">
      <c r="B4" s="151" t="s">
        <v>219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2:14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14" x14ac:dyDescent="0.25">
      <c r="D6" s="216" t="s">
        <v>161</v>
      </c>
      <c r="E6" s="216"/>
      <c r="F6" s="216"/>
      <c r="G6" s="3"/>
      <c r="H6" s="216" t="s">
        <v>131</v>
      </c>
      <c r="I6" s="216"/>
      <c r="J6" s="216"/>
    </row>
    <row r="7" spans="2:14" x14ac:dyDescent="0.25">
      <c r="B7" s="3"/>
      <c r="C7" s="3"/>
      <c r="D7" s="3" t="s">
        <v>15</v>
      </c>
      <c r="E7" s="3" t="s">
        <v>15</v>
      </c>
      <c r="F7" s="3"/>
      <c r="G7" s="3"/>
      <c r="H7" s="3" t="s">
        <v>15</v>
      </c>
      <c r="I7" s="3" t="s">
        <v>15</v>
      </c>
      <c r="J7" s="3"/>
      <c r="K7" s="3"/>
      <c r="L7" s="3"/>
    </row>
    <row r="8" spans="2:14" x14ac:dyDescent="0.25">
      <c r="B8" s="3"/>
      <c r="C8" s="3" t="s">
        <v>17</v>
      </c>
      <c r="D8" s="3" t="s">
        <v>3</v>
      </c>
      <c r="E8" s="3" t="s">
        <v>2</v>
      </c>
      <c r="F8" s="3" t="s">
        <v>162</v>
      </c>
      <c r="G8" s="3"/>
      <c r="H8" s="3" t="s">
        <v>3</v>
      </c>
      <c r="I8" s="3" t="s">
        <v>2</v>
      </c>
      <c r="J8" s="3" t="s">
        <v>162</v>
      </c>
      <c r="K8" s="3"/>
      <c r="L8" s="3" t="s">
        <v>6</v>
      </c>
    </row>
    <row r="9" spans="2:14" x14ac:dyDescent="0.25">
      <c r="B9" s="80" t="s">
        <v>4</v>
      </c>
      <c r="C9" s="80" t="s">
        <v>21</v>
      </c>
      <c r="D9" s="73" t="s">
        <v>252</v>
      </c>
      <c r="E9" s="80" t="str">
        <f>D9</f>
        <v>12ME Dec. 2025</v>
      </c>
      <c r="F9" s="80" t="s">
        <v>163</v>
      </c>
      <c r="G9" s="3"/>
      <c r="H9" s="80" t="str">
        <f>D9</f>
        <v>12ME Dec. 2025</v>
      </c>
      <c r="I9" s="80" t="str">
        <f>D9</f>
        <v>12ME Dec. 2025</v>
      </c>
      <c r="J9" s="80" t="s">
        <v>163</v>
      </c>
      <c r="K9" s="3"/>
      <c r="L9" s="80" t="s">
        <v>164</v>
      </c>
      <c r="N9" s="80" t="s">
        <v>76</v>
      </c>
    </row>
    <row r="10" spans="2:14" x14ac:dyDescent="0.25">
      <c r="B10" s="3" t="s">
        <v>25</v>
      </c>
      <c r="C10" s="3" t="s">
        <v>26</v>
      </c>
      <c r="D10" s="3" t="s">
        <v>27</v>
      </c>
      <c r="E10" s="3" t="s">
        <v>28</v>
      </c>
      <c r="F10" s="74" t="s">
        <v>165</v>
      </c>
      <c r="G10" s="3"/>
      <c r="H10" s="3" t="s">
        <v>132</v>
      </c>
      <c r="I10" s="3" t="s">
        <v>133</v>
      </c>
      <c r="J10" s="74" t="s">
        <v>166</v>
      </c>
      <c r="K10" s="74"/>
      <c r="L10" s="4" t="s">
        <v>167</v>
      </c>
    </row>
    <row r="11" spans="2:14" x14ac:dyDescent="0.25">
      <c r="B11" t="s">
        <v>7</v>
      </c>
      <c r="C11" s="5" t="s">
        <v>30</v>
      </c>
      <c r="D11" s="117"/>
      <c r="E11" s="118"/>
      <c r="F11" s="119" t="e">
        <f>E11/D11</f>
        <v>#DIV/0!</v>
      </c>
      <c r="G11" s="6"/>
      <c r="H11" s="152">
        <f>D11</f>
        <v>0</v>
      </c>
      <c r="I11" s="118"/>
      <c r="J11" s="119" t="e">
        <f>I11/H11</f>
        <v>#DIV/0!</v>
      </c>
      <c r="K11" s="120"/>
      <c r="L11" s="62" t="e">
        <f>(I11-E11)/E11</f>
        <v>#DIV/0!</v>
      </c>
      <c r="N11" s="121" t="e">
        <f>L11-'Rate Impacts_RY#3'!N11</f>
        <v>#DIV/0!</v>
      </c>
    </row>
    <row r="12" spans="2:14" x14ac:dyDescent="0.25">
      <c r="B12" t="s">
        <v>31</v>
      </c>
      <c r="C12" s="5">
        <v>16</v>
      </c>
      <c r="D12" s="117"/>
      <c r="E12" s="118"/>
      <c r="F12" s="119" t="e">
        <f t="shared" ref="F12:F23" si="0">E12/D12</f>
        <v>#DIV/0!</v>
      </c>
      <c r="G12" s="6"/>
      <c r="H12" s="152">
        <f t="shared" ref="H12:H23" si="1">D12</f>
        <v>0</v>
      </c>
      <c r="I12" s="118"/>
      <c r="J12" s="119" t="e">
        <f t="shared" ref="J12:J23" si="2">I12/H12</f>
        <v>#DIV/0!</v>
      </c>
      <c r="K12" s="120"/>
      <c r="L12" s="62" t="e">
        <f t="shared" ref="L12:L23" si="3">(I12-E12)/E12</f>
        <v>#DIV/0!</v>
      </c>
      <c r="N12" s="121" t="e">
        <f>L12-'Rate Impacts_RY#3'!N12</f>
        <v>#DIV/0!</v>
      </c>
    </row>
    <row r="13" spans="2:14" x14ac:dyDescent="0.25">
      <c r="B13" t="s">
        <v>8</v>
      </c>
      <c r="C13" s="5">
        <v>31</v>
      </c>
      <c r="D13" s="117"/>
      <c r="E13" s="118"/>
      <c r="F13" s="119" t="e">
        <f t="shared" si="0"/>
        <v>#DIV/0!</v>
      </c>
      <c r="G13" s="6"/>
      <c r="H13" s="152">
        <f t="shared" si="1"/>
        <v>0</v>
      </c>
      <c r="I13" s="118"/>
      <c r="J13" s="119" t="e">
        <f t="shared" si="2"/>
        <v>#DIV/0!</v>
      </c>
      <c r="K13" s="120"/>
      <c r="L13" s="62" t="e">
        <f t="shared" si="3"/>
        <v>#DIV/0!</v>
      </c>
      <c r="N13" s="121" t="e">
        <f>L13-'Rate Impacts_RY#3'!N13</f>
        <v>#DIV/0!</v>
      </c>
    </row>
    <row r="14" spans="2:14" x14ac:dyDescent="0.25">
      <c r="B14" t="s">
        <v>9</v>
      </c>
      <c r="C14" s="5">
        <v>41</v>
      </c>
      <c r="D14" s="117"/>
      <c r="E14" s="118"/>
      <c r="F14" s="119" t="e">
        <f t="shared" si="0"/>
        <v>#DIV/0!</v>
      </c>
      <c r="G14" s="6"/>
      <c r="H14" s="152">
        <f t="shared" si="1"/>
        <v>0</v>
      </c>
      <c r="I14" s="118"/>
      <c r="J14" s="119" t="e">
        <f t="shared" si="2"/>
        <v>#DIV/0!</v>
      </c>
      <c r="K14" s="120"/>
      <c r="L14" s="62" t="e">
        <f t="shared" si="3"/>
        <v>#DIV/0!</v>
      </c>
      <c r="N14" s="121" t="e">
        <f>L14-'Rate Impacts_RY#3'!N14</f>
        <v>#DIV/0!</v>
      </c>
    </row>
    <row r="15" spans="2:14" x14ac:dyDescent="0.25">
      <c r="B15" t="s">
        <v>10</v>
      </c>
      <c r="C15" s="5">
        <v>85</v>
      </c>
      <c r="D15" s="117"/>
      <c r="E15" s="118"/>
      <c r="F15" s="119" t="e">
        <f t="shared" si="0"/>
        <v>#DIV/0!</v>
      </c>
      <c r="G15" s="6"/>
      <c r="H15" s="152">
        <f t="shared" si="1"/>
        <v>0</v>
      </c>
      <c r="I15" s="118"/>
      <c r="J15" s="119" t="e">
        <f t="shared" si="2"/>
        <v>#DIV/0!</v>
      </c>
      <c r="K15" s="120"/>
      <c r="L15" s="62" t="e">
        <f t="shared" si="3"/>
        <v>#DIV/0!</v>
      </c>
      <c r="N15" s="121" t="e">
        <f>L15-'Rate Impacts_RY#3'!N15</f>
        <v>#DIV/0!</v>
      </c>
    </row>
    <row r="16" spans="2:14" x14ac:dyDescent="0.25">
      <c r="B16" t="s">
        <v>11</v>
      </c>
      <c r="C16" s="5">
        <v>86</v>
      </c>
      <c r="D16" s="117"/>
      <c r="E16" s="118"/>
      <c r="F16" s="119" t="e">
        <f t="shared" si="0"/>
        <v>#DIV/0!</v>
      </c>
      <c r="G16" s="6"/>
      <c r="H16" s="152">
        <f t="shared" si="1"/>
        <v>0</v>
      </c>
      <c r="I16" s="118"/>
      <c r="J16" s="119" t="e">
        <f>I16/H16</f>
        <v>#DIV/0!</v>
      </c>
      <c r="K16" s="120"/>
      <c r="L16" s="62" t="e">
        <f t="shared" si="3"/>
        <v>#DIV/0!</v>
      </c>
      <c r="N16" s="121" t="e">
        <f>L16-'Rate Impacts_RY#3'!N16</f>
        <v>#DIV/0!</v>
      </c>
    </row>
    <row r="17" spans="2:14" x14ac:dyDescent="0.25">
      <c r="B17" t="s">
        <v>12</v>
      </c>
      <c r="C17" s="5">
        <v>87</v>
      </c>
      <c r="D17" s="117"/>
      <c r="E17" s="118"/>
      <c r="F17" s="119" t="e">
        <f t="shared" si="0"/>
        <v>#DIV/0!</v>
      </c>
      <c r="G17" s="6"/>
      <c r="H17" s="152">
        <f t="shared" si="1"/>
        <v>0</v>
      </c>
      <c r="I17" s="118"/>
      <c r="J17" s="119" t="e">
        <f t="shared" si="2"/>
        <v>#DIV/0!</v>
      </c>
      <c r="K17" s="120"/>
      <c r="L17" s="62" t="e">
        <f t="shared" si="3"/>
        <v>#DIV/0!</v>
      </c>
      <c r="N17" s="121" t="e">
        <f>L17-'Rate Impacts_RY#3'!N17</f>
        <v>#DIV/0!</v>
      </c>
    </row>
    <row r="18" spans="2:14" x14ac:dyDescent="0.25">
      <c r="B18" t="s">
        <v>32</v>
      </c>
      <c r="C18" s="5" t="s">
        <v>33</v>
      </c>
      <c r="D18" s="117"/>
      <c r="E18" s="118"/>
      <c r="F18" s="119" t="e">
        <f t="shared" si="0"/>
        <v>#DIV/0!</v>
      </c>
      <c r="G18" s="6"/>
      <c r="H18" s="152">
        <f t="shared" si="1"/>
        <v>0</v>
      </c>
      <c r="I18" s="118"/>
      <c r="J18" s="119" t="e">
        <f t="shared" si="2"/>
        <v>#DIV/0!</v>
      </c>
      <c r="K18" s="120"/>
      <c r="L18" s="62" t="e">
        <f t="shared" si="3"/>
        <v>#DIV/0!</v>
      </c>
      <c r="N18" s="121" t="e">
        <f>L18-'Rate Impacts_RY#3'!N18</f>
        <v>#DIV/0!</v>
      </c>
    </row>
    <row r="19" spans="2:14" x14ac:dyDescent="0.25">
      <c r="B19" t="s">
        <v>34</v>
      </c>
      <c r="C19" t="s">
        <v>35</v>
      </c>
      <c r="D19" s="117"/>
      <c r="E19" s="118"/>
      <c r="F19" s="119" t="e">
        <f t="shared" si="0"/>
        <v>#DIV/0!</v>
      </c>
      <c r="G19" s="6"/>
      <c r="H19" s="152">
        <f t="shared" si="1"/>
        <v>0</v>
      </c>
      <c r="I19" s="118"/>
      <c r="J19" s="119" t="e">
        <f t="shared" si="2"/>
        <v>#DIV/0!</v>
      </c>
      <c r="K19" s="120"/>
      <c r="L19" s="62" t="e">
        <f t="shared" si="3"/>
        <v>#DIV/0!</v>
      </c>
      <c r="N19" s="121" t="e">
        <f>L19-'Rate Impacts_RY#3'!N19</f>
        <v>#DIV/0!</v>
      </c>
    </row>
    <row r="20" spans="2:14" x14ac:dyDescent="0.25">
      <c r="B20" t="s">
        <v>36</v>
      </c>
      <c r="C20" t="s">
        <v>37</v>
      </c>
      <c r="D20" s="117"/>
      <c r="E20" s="118"/>
      <c r="F20" s="119" t="e">
        <f t="shared" si="0"/>
        <v>#DIV/0!</v>
      </c>
      <c r="G20" s="6"/>
      <c r="H20" s="152">
        <f t="shared" si="1"/>
        <v>0</v>
      </c>
      <c r="I20" s="118"/>
      <c r="J20" s="119" t="e">
        <f t="shared" si="2"/>
        <v>#DIV/0!</v>
      </c>
      <c r="K20" s="120"/>
      <c r="L20" s="62" t="e">
        <f t="shared" si="3"/>
        <v>#DIV/0!</v>
      </c>
      <c r="N20" s="121" t="e">
        <f>L20-'Rate Impacts_RY#3'!N20</f>
        <v>#DIV/0!</v>
      </c>
    </row>
    <row r="21" spans="2:14" x14ac:dyDescent="0.25">
      <c r="B21" t="s">
        <v>38</v>
      </c>
      <c r="C21" t="s">
        <v>39</v>
      </c>
      <c r="D21" s="117"/>
      <c r="E21" s="118"/>
      <c r="F21" s="119" t="e">
        <f t="shared" si="0"/>
        <v>#DIV/0!</v>
      </c>
      <c r="G21" s="6"/>
      <c r="H21" s="152">
        <f t="shared" si="1"/>
        <v>0</v>
      </c>
      <c r="I21" s="118"/>
      <c r="J21" s="119" t="e">
        <f t="shared" si="2"/>
        <v>#DIV/0!</v>
      </c>
      <c r="K21" s="120"/>
      <c r="L21" s="62" t="e">
        <f t="shared" si="3"/>
        <v>#DIV/0!</v>
      </c>
      <c r="N21" s="121" t="e">
        <f>L21-'Rate Impacts_RY#3'!N21</f>
        <v>#DIV/0!</v>
      </c>
    </row>
    <row r="22" spans="2:14" x14ac:dyDescent="0.25">
      <c r="B22" t="s">
        <v>40</v>
      </c>
      <c r="C22" t="s">
        <v>41</v>
      </c>
      <c r="D22" s="117"/>
      <c r="E22" s="118"/>
      <c r="F22" s="119" t="e">
        <f t="shared" si="0"/>
        <v>#DIV/0!</v>
      </c>
      <c r="G22" s="6"/>
      <c r="H22" s="152">
        <f t="shared" si="1"/>
        <v>0</v>
      </c>
      <c r="I22" s="118"/>
      <c r="J22" s="119" t="e">
        <f t="shared" si="2"/>
        <v>#DIV/0!</v>
      </c>
      <c r="K22" s="120"/>
      <c r="L22" s="62" t="e">
        <f t="shared" si="3"/>
        <v>#DIV/0!</v>
      </c>
      <c r="N22" s="121" t="e">
        <f>L22-'Rate Impacts_RY#3'!N22</f>
        <v>#DIV/0!</v>
      </c>
    </row>
    <row r="23" spans="2:14" x14ac:dyDescent="0.25">
      <c r="B23" t="s">
        <v>13</v>
      </c>
      <c r="D23" s="117"/>
      <c r="E23" s="118"/>
      <c r="F23" s="119" t="e">
        <f t="shared" si="0"/>
        <v>#DIV/0!</v>
      </c>
      <c r="G23" s="6"/>
      <c r="H23" s="152">
        <f t="shared" si="1"/>
        <v>0</v>
      </c>
      <c r="I23" s="118"/>
      <c r="J23" s="119" t="e">
        <f t="shared" si="2"/>
        <v>#DIV/0!</v>
      </c>
      <c r="K23" s="120"/>
      <c r="L23" s="62" t="e">
        <f t="shared" si="3"/>
        <v>#DIV/0!</v>
      </c>
      <c r="N23" s="121" t="e">
        <f>L23-'Rate Impacts_RY#3'!N23</f>
        <v>#DIV/0!</v>
      </c>
    </row>
    <row r="24" spans="2:14" x14ac:dyDescent="0.25">
      <c r="B24" t="s">
        <v>6</v>
      </c>
      <c r="D24" s="122">
        <f>SUM(D11:D23)</f>
        <v>0</v>
      </c>
      <c r="E24" s="11">
        <f>SUM(E11:E23)</f>
        <v>0</v>
      </c>
      <c r="F24" s="123" t="e">
        <f>E24/D24</f>
        <v>#DIV/0!</v>
      </c>
      <c r="G24" s="6"/>
      <c r="H24" s="122">
        <f>SUM(H11:H23)</f>
        <v>0</v>
      </c>
      <c r="I24" s="11">
        <f>SUM(I11:I23)</f>
        <v>0</v>
      </c>
      <c r="J24" s="123" t="e">
        <f>I24/H24</f>
        <v>#DIV/0!</v>
      </c>
      <c r="K24" s="40"/>
      <c r="L24" s="63" t="e">
        <f>(I24-E24)/E24</f>
        <v>#DIV/0!</v>
      </c>
      <c r="M24" s="8"/>
      <c r="N24" s="121" t="e">
        <f>L24-'Rate Impacts_RY#3'!N24</f>
        <v>#DIV/0!</v>
      </c>
    </row>
    <row r="25" spans="2:14" s="13" customFormat="1" x14ac:dyDescent="0.25">
      <c r="B25" s="12"/>
      <c r="C25" s="144"/>
      <c r="D25" s="144"/>
      <c r="E25" s="144"/>
      <c r="F25" s="16"/>
      <c r="G25" s="146"/>
      <c r="H25" s="144"/>
      <c r="I25" s="144"/>
      <c r="J25" s="16"/>
      <c r="K25" s="16"/>
      <c r="L25" s="145"/>
      <c r="N25" s="124"/>
    </row>
    <row r="26" spans="2:14" x14ac:dyDescent="0.25">
      <c r="F26" s="40"/>
      <c r="J26" s="40"/>
      <c r="K26" s="40"/>
      <c r="L26" s="8"/>
      <c r="N26" s="124"/>
    </row>
    <row r="27" spans="2:14" s="13" customFormat="1" x14ac:dyDescent="0.25">
      <c r="B27" s="102" t="s">
        <v>160</v>
      </c>
      <c r="C27" s="15"/>
      <c r="D27" s="15"/>
      <c r="E27" s="15"/>
      <c r="F27" s="16"/>
      <c r="H27" s="15"/>
      <c r="I27" s="15"/>
      <c r="J27" s="16"/>
      <c r="K27" s="16"/>
      <c r="L27" s="125"/>
      <c r="N27" s="124"/>
    </row>
    <row r="28" spans="2:14" s="13" customFormat="1" x14ac:dyDescent="0.25">
      <c r="B28" s="12" t="s">
        <v>42</v>
      </c>
      <c r="C28" s="12"/>
      <c r="D28" s="75">
        <f>D11+D12</f>
        <v>0</v>
      </c>
      <c r="E28" s="16">
        <f>E11+E12</f>
        <v>0</v>
      </c>
      <c r="F28" s="126" t="e">
        <f>E28/D28</f>
        <v>#DIV/0!</v>
      </c>
      <c r="H28" s="75">
        <f>H11+H12</f>
        <v>0</v>
      </c>
      <c r="I28" s="16">
        <f>I11+I12</f>
        <v>0</v>
      </c>
      <c r="J28" s="126" t="e">
        <f>I28/H28</f>
        <v>#DIV/0!</v>
      </c>
      <c r="K28" s="16"/>
      <c r="L28" s="62" t="e">
        <f>(I28-E28)/E28</f>
        <v>#DIV/0!</v>
      </c>
      <c r="M28" s="17"/>
      <c r="N28" s="121" t="e">
        <f>L28-'Rate Impacts_RY#3'!N28</f>
        <v>#DIV/0!</v>
      </c>
    </row>
    <row r="29" spans="2:14" s="13" customFormat="1" x14ac:dyDescent="0.25">
      <c r="B29" s="12" t="s">
        <v>43</v>
      </c>
      <c r="C29" s="12"/>
      <c r="D29" s="75">
        <f t="shared" ref="D29:E33" si="4">D13+D18</f>
        <v>0</v>
      </c>
      <c r="E29" s="16">
        <f t="shared" si="4"/>
        <v>0</v>
      </c>
      <c r="F29" s="126" t="e">
        <f t="shared" ref="F29:F34" si="5">E29/D29</f>
        <v>#DIV/0!</v>
      </c>
      <c r="H29" s="75">
        <f t="shared" ref="H29:I33" si="6">H13+H18</f>
        <v>0</v>
      </c>
      <c r="I29" s="16">
        <f t="shared" si="6"/>
        <v>0</v>
      </c>
      <c r="J29" s="126" t="e">
        <f t="shared" ref="J29:J34" si="7">I29/H29</f>
        <v>#DIV/0!</v>
      </c>
      <c r="K29" s="16"/>
      <c r="L29" s="62" t="e">
        <f t="shared" ref="L29:L35" si="8">(I29-E29)/E29</f>
        <v>#DIV/0!</v>
      </c>
      <c r="N29" s="121" t="e">
        <f>L29-'Rate Impacts_RY#3'!N29</f>
        <v>#DIV/0!</v>
      </c>
    </row>
    <row r="30" spans="2:14" s="13" customFormat="1" x14ac:dyDescent="0.25">
      <c r="B30" s="12" t="s">
        <v>44</v>
      </c>
      <c r="C30" s="12"/>
      <c r="D30" s="75">
        <f t="shared" si="4"/>
        <v>0</v>
      </c>
      <c r="E30" s="16">
        <f t="shared" si="4"/>
        <v>0</v>
      </c>
      <c r="F30" s="126" t="e">
        <f t="shared" si="5"/>
        <v>#DIV/0!</v>
      </c>
      <c r="H30" s="75">
        <f t="shared" si="6"/>
        <v>0</v>
      </c>
      <c r="I30" s="16">
        <f t="shared" si="6"/>
        <v>0</v>
      </c>
      <c r="J30" s="126" t="e">
        <f t="shared" si="7"/>
        <v>#DIV/0!</v>
      </c>
      <c r="K30" s="16"/>
      <c r="L30" s="62" t="e">
        <f t="shared" si="8"/>
        <v>#DIV/0!</v>
      </c>
      <c r="N30" s="121" t="e">
        <f>L30-'Rate Impacts_RY#3'!N30</f>
        <v>#DIV/0!</v>
      </c>
    </row>
    <row r="31" spans="2:14" s="13" customFormat="1" x14ac:dyDescent="0.25">
      <c r="B31" s="12" t="s">
        <v>45</v>
      </c>
      <c r="C31" s="12"/>
      <c r="D31" s="75">
        <f t="shared" si="4"/>
        <v>0</v>
      </c>
      <c r="E31" s="16">
        <f t="shared" si="4"/>
        <v>0</v>
      </c>
      <c r="F31" s="126" t="e">
        <f t="shared" si="5"/>
        <v>#DIV/0!</v>
      </c>
      <c r="H31" s="75">
        <f t="shared" si="6"/>
        <v>0</v>
      </c>
      <c r="I31" s="16">
        <f t="shared" si="6"/>
        <v>0</v>
      </c>
      <c r="J31" s="126" t="e">
        <f t="shared" si="7"/>
        <v>#DIV/0!</v>
      </c>
      <c r="K31" s="16"/>
      <c r="L31" s="62" t="e">
        <f t="shared" si="8"/>
        <v>#DIV/0!</v>
      </c>
      <c r="N31" s="121" t="e">
        <f>L31-'Rate Impacts_RY#3'!N31</f>
        <v>#DIV/0!</v>
      </c>
    </row>
    <row r="32" spans="2:14" s="13" customFormat="1" x14ac:dyDescent="0.25">
      <c r="B32" s="12" t="s">
        <v>46</v>
      </c>
      <c r="C32" s="12"/>
      <c r="D32" s="75">
        <f t="shared" si="4"/>
        <v>0</v>
      </c>
      <c r="E32" s="16">
        <f t="shared" si="4"/>
        <v>0</v>
      </c>
      <c r="F32" s="126" t="e">
        <f t="shared" si="5"/>
        <v>#DIV/0!</v>
      </c>
      <c r="H32" s="75">
        <f t="shared" si="6"/>
        <v>0</v>
      </c>
      <c r="I32" s="16">
        <f t="shared" si="6"/>
        <v>0</v>
      </c>
      <c r="J32" s="126" t="e">
        <f t="shared" si="7"/>
        <v>#DIV/0!</v>
      </c>
      <c r="K32" s="16"/>
      <c r="L32" s="62" t="e">
        <f t="shared" si="8"/>
        <v>#DIV/0!</v>
      </c>
      <c r="N32" s="121" t="e">
        <f>L32-'Rate Impacts_RY#3'!N32</f>
        <v>#DIV/0!</v>
      </c>
    </row>
    <row r="33" spans="2:14" s="13" customFormat="1" x14ac:dyDescent="0.25">
      <c r="B33" s="12" t="s">
        <v>47</v>
      </c>
      <c r="C33" s="12"/>
      <c r="D33" s="75">
        <f t="shared" si="4"/>
        <v>0</v>
      </c>
      <c r="E33" s="16">
        <f t="shared" si="4"/>
        <v>0</v>
      </c>
      <c r="F33" s="126" t="e">
        <f t="shared" si="5"/>
        <v>#DIV/0!</v>
      </c>
      <c r="H33" s="75">
        <f t="shared" si="6"/>
        <v>0</v>
      </c>
      <c r="I33" s="16">
        <f t="shared" si="6"/>
        <v>0</v>
      </c>
      <c r="J33" s="126" t="e">
        <f t="shared" si="7"/>
        <v>#DIV/0!</v>
      </c>
      <c r="K33" s="16"/>
      <c r="L33" s="62" t="e">
        <f t="shared" si="8"/>
        <v>#DIV/0!</v>
      </c>
      <c r="N33" s="121" t="e">
        <f>L33-'Rate Impacts_RY#3'!N33</f>
        <v>#DIV/0!</v>
      </c>
    </row>
    <row r="34" spans="2:14" s="13" customFormat="1" x14ac:dyDescent="0.25">
      <c r="B34" s="12" t="s">
        <v>13</v>
      </c>
      <c r="C34" s="12"/>
      <c r="D34" s="75">
        <f>D23</f>
        <v>0</v>
      </c>
      <c r="E34" s="16">
        <f>E23</f>
        <v>0</v>
      </c>
      <c r="F34" s="126" t="e">
        <f t="shared" si="5"/>
        <v>#DIV/0!</v>
      </c>
      <c r="H34" s="75">
        <f>H23</f>
        <v>0</v>
      </c>
      <c r="I34" s="16">
        <f>I23</f>
        <v>0</v>
      </c>
      <c r="J34" s="126" t="e">
        <f t="shared" si="7"/>
        <v>#DIV/0!</v>
      </c>
      <c r="K34" s="16"/>
      <c r="L34" s="62" t="e">
        <f t="shared" si="8"/>
        <v>#DIV/0!</v>
      </c>
      <c r="N34" s="121" t="e">
        <f>L34-'Rate Impacts_RY#3'!N34</f>
        <v>#DIV/0!</v>
      </c>
    </row>
    <row r="35" spans="2:14" s="13" customFormat="1" x14ac:dyDescent="0.25">
      <c r="B35" s="12" t="s">
        <v>14</v>
      </c>
      <c r="C35" s="12"/>
      <c r="D35" s="127">
        <f>SUM(D28:D34)</f>
        <v>0</v>
      </c>
      <c r="E35" s="128">
        <f>SUM(E28:E34)</f>
        <v>0</v>
      </c>
      <c r="F35" s="129" t="e">
        <f>E35/D35</f>
        <v>#DIV/0!</v>
      </c>
      <c r="H35" s="127">
        <f>SUM(H28:H34)</f>
        <v>0</v>
      </c>
      <c r="I35" s="128">
        <f>SUM(I28:I34)</f>
        <v>0</v>
      </c>
      <c r="J35" s="129" t="e">
        <f>I35/H35</f>
        <v>#DIV/0!</v>
      </c>
      <c r="K35" s="16"/>
      <c r="L35" s="63" t="e">
        <f t="shared" si="8"/>
        <v>#DIV/0!</v>
      </c>
      <c r="N35" s="121" t="e">
        <f>L35-'Rate Impacts_RY#3'!N35</f>
        <v>#DIV/0!</v>
      </c>
    </row>
    <row r="36" spans="2:14" s="13" customFormat="1" x14ac:dyDescent="0.25">
      <c r="B36" s="12"/>
      <c r="C36" s="12"/>
      <c r="D36" s="12"/>
      <c r="E36" s="12"/>
      <c r="F36" s="16"/>
      <c r="H36" s="12"/>
      <c r="I36" s="12"/>
      <c r="J36" s="16"/>
      <c r="K36" s="16"/>
      <c r="L36" s="149"/>
      <c r="N36" s="121"/>
    </row>
    <row r="37" spans="2:14" x14ac:dyDescent="0.25">
      <c r="B37" s="12" t="s">
        <v>277</v>
      </c>
      <c r="F37" s="14"/>
      <c r="I37" s="40"/>
    </row>
    <row r="38" spans="2:14" x14ac:dyDescent="0.25">
      <c r="F38" s="14"/>
    </row>
    <row r="39" spans="2:14" x14ac:dyDescent="0.25">
      <c r="B39" s="41"/>
    </row>
  </sheetData>
  <mergeCells count="2">
    <mergeCell ref="D6:F6"/>
    <mergeCell ref="H6:J6"/>
  </mergeCells>
  <printOptions horizontalCentered="1"/>
  <pageMargins left="0.7" right="0.7" top="0.75" bottom="0.75" header="0.3" footer="0.3"/>
  <pageSetup scale="74" orientation="landscape" blackAndWhite="1" r:id="rId1"/>
  <headerFooter>
    <oddFooter>&amp;L&amp;F 
&amp;A&amp;C&amp;P&amp;R&amp;D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"/>
  <sheetViews>
    <sheetView workbookViewId="0">
      <selection activeCell="L32" sqref="L32"/>
    </sheetView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"/>
  <sheetViews>
    <sheetView workbookViewId="0">
      <selection activeCell="L36" sqref="L36"/>
    </sheetView>
  </sheetViews>
  <sheetFormatPr defaultRowHeight="15" x14ac:dyDescent="0.25"/>
  <sheetData/>
  <pageMargins left="0.7" right="0.7" top="0.75" bottom="0.75" header="0.3" footer="0.3"/>
  <customProperties>
    <customPr name="_pios_id" r:id="rId1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P37"/>
  <sheetViews>
    <sheetView zoomScale="90" zoomScaleNormal="90" workbookViewId="0">
      <pane xSplit="3" ySplit="9" topLeftCell="D10" activePane="bottomRight" state="frozenSplit"/>
      <selection activeCell="L36" sqref="L36"/>
      <selection pane="topRight" activeCell="L36" sqref="L36"/>
      <selection pane="bottomLeft" activeCell="L36" sqref="L36"/>
      <selection pane="bottomRight" activeCell="O11" sqref="O11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5.5703125" bestFit="1" customWidth="1"/>
    <col min="6" max="6" width="14.5703125" bestFit="1" customWidth="1"/>
    <col min="7" max="8" width="13.28515625" bestFit="1" customWidth="1"/>
    <col min="9" max="9" width="12.140625" bestFit="1" customWidth="1"/>
    <col min="10" max="10" width="13.28515625" bestFit="1" customWidth="1"/>
    <col min="11" max="11" width="14" bestFit="1" customWidth="1"/>
    <col min="12" max="12" width="12.85546875" bestFit="1" customWidth="1"/>
    <col min="13" max="14" width="13.28515625" bestFit="1" customWidth="1"/>
    <col min="15" max="15" width="15.7109375" bestFit="1" customWidth="1"/>
    <col min="16" max="16" width="13.7109375" bestFit="1" customWidth="1"/>
  </cols>
  <sheetData>
    <row r="1" spans="2:15" x14ac:dyDescent="0.25">
      <c r="B1" s="217" t="s">
        <v>0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2:15" x14ac:dyDescent="0.25">
      <c r="B2" s="217" t="str">
        <f>'Rate Impacts_RY#1'!B2:AC2</f>
        <v>2022 Gas General Rate Case Filing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2:15" x14ac:dyDescent="0.25">
      <c r="B3" s="218" t="s">
        <v>257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2:15" x14ac:dyDescent="0.25">
      <c r="B4" s="218" t="s">
        <v>274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2:15" x14ac:dyDescent="0.25">
      <c r="K5" s="3"/>
      <c r="N5" s="3"/>
    </row>
    <row r="6" spans="2:15" x14ac:dyDescent="0.25">
      <c r="D6" s="3" t="s">
        <v>15</v>
      </c>
      <c r="K6" s="3"/>
      <c r="N6" s="3"/>
    </row>
    <row r="7" spans="2:15" x14ac:dyDescent="0.25">
      <c r="B7" s="3"/>
      <c r="C7" s="3"/>
      <c r="D7" s="3" t="s">
        <v>121</v>
      </c>
      <c r="E7" s="3"/>
      <c r="F7" s="3"/>
      <c r="G7" s="3"/>
      <c r="H7" s="3"/>
      <c r="I7" s="3"/>
      <c r="J7" s="3"/>
      <c r="K7" s="3"/>
      <c r="L7" s="3"/>
      <c r="M7" s="3"/>
      <c r="N7" s="3"/>
      <c r="O7" s="66" t="s">
        <v>212</v>
      </c>
    </row>
    <row r="8" spans="2:15" x14ac:dyDescent="0.25">
      <c r="B8" s="3"/>
      <c r="C8" s="3" t="s">
        <v>17</v>
      </c>
      <c r="D8" s="66" t="s">
        <v>210</v>
      </c>
      <c r="E8" s="3" t="s">
        <v>268</v>
      </c>
      <c r="F8" s="3" t="s">
        <v>18</v>
      </c>
      <c r="G8" s="3" t="s">
        <v>19</v>
      </c>
      <c r="H8" s="3" t="s">
        <v>49</v>
      </c>
      <c r="I8" s="3" t="s">
        <v>80</v>
      </c>
      <c r="J8" s="3" t="s">
        <v>16</v>
      </c>
      <c r="K8" s="3" t="s">
        <v>135</v>
      </c>
      <c r="L8" s="3" t="s">
        <v>171</v>
      </c>
      <c r="M8" s="3" t="s">
        <v>134</v>
      </c>
      <c r="N8" s="3" t="s">
        <v>77</v>
      </c>
      <c r="O8" s="3" t="s">
        <v>136</v>
      </c>
    </row>
    <row r="9" spans="2:15" ht="15" customHeight="1" x14ac:dyDescent="0.25">
      <c r="B9" s="80" t="s">
        <v>4</v>
      </c>
      <c r="C9" s="80" t="s">
        <v>21</v>
      </c>
      <c r="D9" s="73" t="s">
        <v>211</v>
      </c>
      <c r="E9" s="80" t="s">
        <v>137</v>
      </c>
      <c r="F9" s="80" t="s">
        <v>2</v>
      </c>
      <c r="G9" s="80" t="s">
        <v>2</v>
      </c>
      <c r="H9" s="80" t="s">
        <v>2</v>
      </c>
      <c r="I9" s="80" t="s">
        <v>2</v>
      </c>
      <c r="J9" s="80" t="s">
        <v>2</v>
      </c>
      <c r="K9" s="80" t="s">
        <v>2</v>
      </c>
      <c r="L9" s="80" t="s">
        <v>2</v>
      </c>
      <c r="M9" s="80" t="s">
        <v>2</v>
      </c>
      <c r="N9" s="80" t="s">
        <v>2</v>
      </c>
      <c r="O9" s="80" t="s">
        <v>173</v>
      </c>
    </row>
    <row r="10" spans="2:15" x14ac:dyDescent="0.25">
      <c r="B10" s="3" t="s">
        <v>25</v>
      </c>
      <c r="C10" s="3" t="s">
        <v>26</v>
      </c>
      <c r="D10" s="3" t="s">
        <v>27</v>
      </c>
      <c r="E10" s="3" t="s">
        <v>28</v>
      </c>
      <c r="F10" s="3" t="s">
        <v>243</v>
      </c>
      <c r="G10" s="3" t="s">
        <v>132</v>
      </c>
      <c r="H10" s="3" t="s">
        <v>133</v>
      </c>
      <c r="I10" s="4" t="s">
        <v>78</v>
      </c>
      <c r="J10" s="3" t="s">
        <v>129</v>
      </c>
      <c r="K10" s="4" t="s">
        <v>29</v>
      </c>
      <c r="L10" s="4" t="s">
        <v>50</v>
      </c>
      <c r="M10" s="4" t="s">
        <v>79</v>
      </c>
      <c r="N10" s="3" t="s">
        <v>130</v>
      </c>
      <c r="O10" s="4" t="s">
        <v>244</v>
      </c>
    </row>
    <row r="11" spans="2:15" x14ac:dyDescent="0.25">
      <c r="B11" t="s">
        <v>7</v>
      </c>
      <c r="C11" s="5" t="s">
        <v>30</v>
      </c>
      <c r="D11" s="47">
        <f>SUM(Therms_CY2023!P10:P11)</f>
        <v>636369361</v>
      </c>
      <c r="E11" s="37">
        <f>SUM('[2]Margin Exhibit'!$H$12:$H$13)</f>
        <v>383178346.96600038</v>
      </c>
      <c r="F11" s="37">
        <f>'Sch. 101'!G10</f>
        <v>294893561.88999999</v>
      </c>
      <c r="G11" s="37">
        <f>'Sch. 106'!L10</f>
        <v>16660149.869999999</v>
      </c>
      <c r="H11" s="37">
        <f>'Sch. 120'!F9</f>
        <v>12848297.39859</v>
      </c>
      <c r="I11" s="37">
        <f>'Sch. 129'!G9</f>
        <v>2322748.1676500002</v>
      </c>
      <c r="J11" s="37">
        <f>'Sch. 140'!F9</f>
        <v>14477402.962749999</v>
      </c>
      <c r="K11" s="37">
        <f>'Sch. 141X'!F9</f>
        <v>1998199.79354</v>
      </c>
      <c r="L11" s="37">
        <f>'Sch. 141Z'!F9</f>
        <v>-871826.02456999989</v>
      </c>
      <c r="M11" s="37">
        <f>'Sch. 142'!G10</f>
        <v>14331038.01</v>
      </c>
      <c r="N11" s="37">
        <f>'Sch. 149'!F9</f>
        <v>14369220.17138</v>
      </c>
      <c r="O11" s="38">
        <f t="shared" ref="O11:O23" si="0">SUM(E11:N11)</f>
        <v>754207139.20534039</v>
      </c>
    </row>
    <row r="12" spans="2:15" x14ac:dyDescent="0.25">
      <c r="B12" t="s">
        <v>31</v>
      </c>
      <c r="C12" s="5">
        <v>16</v>
      </c>
      <c r="D12" s="47">
        <f>Therms_CY2023!P9</f>
        <v>8832</v>
      </c>
      <c r="E12" s="37">
        <f>'[2]Margin Exhibit'!$H$11</f>
        <v>5427.9056117082582</v>
      </c>
      <c r="F12" s="37">
        <f>'Sch. 101'!G13</f>
        <v>4092.75</v>
      </c>
      <c r="G12" s="37">
        <f>'Sch. 106'!L11</f>
        <v>231.22</v>
      </c>
      <c r="H12" s="37">
        <f>'Sch. 120'!F10</f>
        <v>178.31808000000001</v>
      </c>
      <c r="I12" s="37"/>
      <c r="J12" s="37">
        <f>'Sch. 140'!F10</f>
        <v>200.928</v>
      </c>
      <c r="K12" s="37">
        <f>'Sch. 141X'!F10</f>
        <v>27.732479999999999</v>
      </c>
      <c r="L12" s="37">
        <f>'Sch. 141Z'!F10</f>
        <v>-12.099839999999999</v>
      </c>
      <c r="M12" s="37"/>
      <c r="N12" s="37">
        <f>'Sch. 149'!F10</f>
        <v>199.42655999999999</v>
      </c>
      <c r="O12" s="38">
        <f t="shared" si="0"/>
        <v>10346.180891708256</v>
      </c>
    </row>
    <row r="13" spans="2:15" x14ac:dyDescent="0.25">
      <c r="B13" t="s">
        <v>8</v>
      </c>
      <c r="C13" s="5">
        <v>31</v>
      </c>
      <c r="D13" s="47">
        <f>Therms_CY2023!P12</f>
        <v>243192248</v>
      </c>
      <c r="E13" s="37">
        <f>'[2]Margin Exhibit'!$H$14</f>
        <v>120079168.78333969</v>
      </c>
      <c r="F13" s="37">
        <f>'Sch. 101'!G16</f>
        <v>110803252.03</v>
      </c>
      <c r="G13" s="37">
        <f>'Sch. 106'!L12</f>
        <v>6357045.3600000003</v>
      </c>
      <c r="H13" s="37">
        <f>'Sch. 120'!F11</f>
        <v>4910051.4871199997</v>
      </c>
      <c r="I13" s="37">
        <f>'Sch. 129'!G11</f>
        <v>749032.12384000001</v>
      </c>
      <c r="J13" s="37">
        <f>'Sch. 140'!F11</f>
        <v>6400819.9673600001</v>
      </c>
      <c r="K13" s="37">
        <f>'Sch. 141X'!F11</f>
        <v>860900.55792000005</v>
      </c>
      <c r="L13" s="37">
        <f>'Sch. 141Z'!F11</f>
        <v>-357492.60456000001</v>
      </c>
      <c r="M13" s="37">
        <f>'Sch. 142'!G15</f>
        <v>7850245.7700000005</v>
      </c>
      <c r="N13" s="37">
        <f>'Sch. 149'!F11</f>
        <v>6011712.3705599997</v>
      </c>
      <c r="O13" s="38">
        <f t="shared" si="0"/>
        <v>263664735.84557974</v>
      </c>
    </row>
    <row r="14" spans="2:15" x14ac:dyDescent="0.25">
      <c r="B14" t="s">
        <v>9</v>
      </c>
      <c r="C14" s="5">
        <v>41</v>
      </c>
      <c r="D14" s="47">
        <f>Therms_CY2023!P13</f>
        <v>66922885</v>
      </c>
      <c r="E14" s="37">
        <f>'[2]Margin Exhibit'!$H$16</f>
        <v>16543938.455079695</v>
      </c>
      <c r="F14" s="37">
        <f>'Sch. 101'!G21</f>
        <v>28267719.23</v>
      </c>
      <c r="G14" s="37">
        <f>'Sch. 106'!L13</f>
        <v>1742002.7</v>
      </c>
      <c r="H14" s="37">
        <f>'Sch. 120'!F12</f>
        <v>1351173.0481499999</v>
      </c>
      <c r="I14" s="37">
        <f>'Sch. 129'!G14</f>
        <v>99715.09865</v>
      </c>
      <c r="J14" s="37">
        <f>'Sch. 140'!F12</f>
        <v>588252.15914999996</v>
      </c>
      <c r="K14" s="37">
        <f>'Sch. 141X'!F12</f>
        <v>89007.437050000008</v>
      </c>
      <c r="L14" s="37">
        <f>'Sch. 141Z'!F12</f>
        <v>-37476.815599999994</v>
      </c>
      <c r="M14" s="37">
        <f>'Sch. 142'!G27</f>
        <v>-1365260.29</v>
      </c>
      <c r="N14" s="37">
        <f>'Sch. 149'!F12</f>
        <v>752882.45624999993</v>
      </c>
      <c r="O14" s="38">
        <f t="shared" si="0"/>
        <v>48031953.478729695</v>
      </c>
    </row>
    <row r="15" spans="2:15" x14ac:dyDescent="0.25">
      <c r="B15" t="s">
        <v>10</v>
      </c>
      <c r="C15" s="5">
        <v>85</v>
      </c>
      <c r="D15" s="47">
        <f>Therms_CY2023!P14</f>
        <v>11124640</v>
      </c>
      <c r="E15" s="37">
        <f>'[2]Margin Exhibit'!$H$19</f>
        <v>1238738.0123081778</v>
      </c>
      <c r="F15" s="37">
        <f>'Sch. 101'!G26</f>
        <v>4405833.4399999995</v>
      </c>
      <c r="G15" s="37">
        <f>'Sch. 106'!L14</f>
        <v>288684.40999999997</v>
      </c>
      <c r="H15" s="37">
        <f>'Sch. 120'!F13</f>
        <v>186671.45920000001</v>
      </c>
      <c r="I15" s="37">
        <f>'Sch. 129'!G21</f>
        <v>7830.9006739575234</v>
      </c>
      <c r="J15" s="37">
        <f>'Sch. 140'!F13</f>
        <v>53954.504000000001</v>
      </c>
      <c r="K15" s="37">
        <f>'Sch. 141X'!F13</f>
        <v>9010.9583999999995</v>
      </c>
      <c r="L15" s="37">
        <f>'Sch. 141Z'!F13</f>
        <v>-3003.6527999999998</v>
      </c>
      <c r="M15" s="37"/>
      <c r="N15" s="37">
        <f>'Sch. 149'!F13</f>
        <v>74646.334399999992</v>
      </c>
      <c r="O15" s="38">
        <f t="shared" si="0"/>
        <v>6262366.3661821345</v>
      </c>
    </row>
    <row r="16" spans="2:15" x14ac:dyDescent="0.25">
      <c r="B16" t="s">
        <v>11</v>
      </c>
      <c r="C16" s="5">
        <v>86</v>
      </c>
      <c r="D16" s="47">
        <f>Therms_CY2023!P15</f>
        <v>5691490</v>
      </c>
      <c r="E16" s="37">
        <f>'[2]Margin Exhibit'!$H$21</f>
        <v>1102448.3581850007</v>
      </c>
      <c r="F16" s="37">
        <f>'Sch. 101'!G31</f>
        <v>2321982.29</v>
      </c>
      <c r="G16" s="37">
        <f>'Sch. 106'!L15</f>
        <v>147864.91</v>
      </c>
      <c r="H16" s="37">
        <f>'Sch. 120'!F14</f>
        <v>95503.2022</v>
      </c>
      <c r="I16" s="37">
        <f>'Sch. 129'!G23</f>
        <v>7455.8518999999997</v>
      </c>
      <c r="J16" s="37">
        <f>'Sch. 140'!F14</f>
        <v>61752.666499999999</v>
      </c>
      <c r="K16" s="37">
        <f>'Sch. 141X'!F14</f>
        <v>6943.6178</v>
      </c>
      <c r="L16" s="37">
        <f>'Sch. 141Z'!F14</f>
        <v>-1878.1917000000001</v>
      </c>
      <c r="M16" s="37">
        <f>'Sch. 142'!G43</f>
        <v>-92534.56</v>
      </c>
      <c r="N16" s="37">
        <f>'Sch. 149'!F14</f>
        <v>48150.005400000002</v>
      </c>
      <c r="O16" s="38">
        <f t="shared" si="0"/>
        <v>3697688.1502850014</v>
      </c>
    </row>
    <row r="17" spans="2:16" x14ac:dyDescent="0.25">
      <c r="B17" t="s">
        <v>12</v>
      </c>
      <c r="C17" s="5">
        <v>87</v>
      </c>
      <c r="D17" s="47">
        <f>Therms_CY2023!P16</f>
        <v>21819455.762355205</v>
      </c>
      <c r="E17" s="37">
        <f>'[2]Margin Exhibit'!$H$23</f>
        <v>1315417.0653802957</v>
      </c>
      <c r="F17" s="37">
        <f>'Sch. 101'!G36</f>
        <v>8662542.1300000008</v>
      </c>
      <c r="G17" s="37">
        <f>'Sch. 106'!L16</f>
        <v>566214.88</v>
      </c>
      <c r="H17" s="37">
        <f>'Sch. 120'!F15</f>
        <v>366130.46769232035</v>
      </c>
      <c r="I17" s="37">
        <f>'Sch. 129'!G33</f>
        <v>6529.6708747268322</v>
      </c>
      <c r="J17" s="37">
        <f>'Sch. 140'!F15</f>
        <v>57603.36321261774</v>
      </c>
      <c r="K17" s="37">
        <f>'Sch. 141X'!F15</f>
        <v>9382.3659778127385</v>
      </c>
      <c r="L17" s="37">
        <f>'Sch. 141Z'!F15</f>
        <v>-3054.7238067297285</v>
      </c>
      <c r="M17" s="37"/>
      <c r="N17" s="37">
        <f>'Sch. 149'!F15</f>
        <v>81604.764551208456</v>
      </c>
      <c r="O17" s="38">
        <f t="shared" si="0"/>
        <v>11062369.983882254</v>
      </c>
    </row>
    <row r="18" spans="2:16" x14ac:dyDescent="0.25">
      <c r="B18" t="s">
        <v>32</v>
      </c>
      <c r="C18" s="5" t="s">
        <v>33</v>
      </c>
      <c r="D18" s="47">
        <f>Therms_CY2023!P17</f>
        <v>34397</v>
      </c>
      <c r="E18" s="37">
        <f>'[2]Margin Exhibit'!$H$15</f>
        <v>22222.109393518316</v>
      </c>
      <c r="F18" s="55"/>
      <c r="G18" s="55"/>
      <c r="H18" s="37"/>
      <c r="I18" s="37">
        <f>'Sch. 129'!G12</f>
        <v>105.94275999999999</v>
      </c>
      <c r="J18" s="37">
        <f>'Sch. 140'!F16</f>
        <v>905.32903999999996</v>
      </c>
      <c r="K18" s="37">
        <f>'Sch. 141X'!F16</f>
        <v>121.76538000000001</v>
      </c>
      <c r="L18" s="37">
        <f>'Sch. 141Z'!F16</f>
        <v>-50.563589999999998</v>
      </c>
      <c r="M18" s="37">
        <f>'Sch. 142'!G18</f>
        <v>1072.1500000000001</v>
      </c>
      <c r="N18" s="37">
        <f>'Sch. 149'!F16</f>
        <v>850.29383999999993</v>
      </c>
      <c r="O18" s="38">
        <f t="shared" si="0"/>
        <v>25227.026823518318</v>
      </c>
    </row>
    <row r="19" spans="2:16" x14ac:dyDescent="0.25">
      <c r="B19" t="s">
        <v>34</v>
      </c>
      <c r="C19" t="s">
        <v>35</v>
      </c>
      <c r="D19" s="47">
        <f>Therms_CY2023!P18</f>
        <v>25464521</v>
      </c>
      <c r="E19" s="37">
        <f>'[2]Margin Exhibit'!$H$17</f>
        <v>4707911.3815120682</v>
      </c>
      <c r="F19" s="55"/>
      <c r="G19" s="55"/>
      <c r="H19" s="37"/>
      <c r="I19" s="37">
        <f>'Sch. 129'!G15</f>
        <v>37942.136290000002</v>
      </c>
      <c r="J19" s="37">
        <f>'Sch. 140'!F17</f>
        <v>223833.13958999998</v>
      </c>
      <c r="K19" s="37">
        <f>'Sch. 141X'!F17</f>
        <v>33867.81293</v>
      </c>
      <c r="L19" s="37">
        <f>'Sch. 141Z'!F17</f>
        <v>-14260.131759999998</v>
      </c>
      <c r="M19" s="37">
        <f>'Sch. 142'!G35</f>
        <v>-427961.37</v>
      </c>
      <c r="N19" s="37">
        <f>'Sch. 149'!F17</f>
        <v>286475.86125000002</v>
      </c>
      <c r="O19" s="38">
        <f t="shared" si="0"/>
        <v>4847808.8298120676</v>
      </c>
    </row>
    <row r="20" spans="2:16" x14ac:dyDescent="0.25">
      <c r="B20" t="s">
        <v>36</v>
      </c>
      <c r="C20" t="s">
        <v>37</v>
      </c>
      <c r="D20" s="47">
        <f>Therms_CY2023!P19</f>
        <v>62787518</v>
      </c>
      <c r="E20" s="37">
        <f>'[2]Margin Exhibit'!$H$20</f>
        <v>6174279.9156339392</v>
      </c>
      <c r="F20" s="55"/>
      <c r="G20" s="55"/>
      <c r="H20" s="37"/>
      <c r="I20" s="37">
        <f>'Sch. 129'!G39</f>
        <v>41811.336067854994</v>
      </c>
      <c r="J20" s="37">
        <f>'Sch. 140'!F18</f>
        <v>304519.46230000001</v>
      </c>
      <c r="K20" s="37">
        <f>'Sch. 141X'!F18</f>
        <v>50857.889579999995</v>
      </c>
      <c r="L20" s="37">
        <f>'Sch. 141Z'!F18</f>
        <v>-16952.629860000001</v>
      </c>
      <c r="M20" s="37"/>
      <c r="N20" s="37">
        <f>'Sch. 149'!F18</f>
        <v>421304.24578</v>
      </c>
      <c r="O20" s="38">
        <f t="shared" si="0"/>
        <v>6975820.2195017952</v>
      </c>
    </row>
    <row r="21" spans="2:16" x14ac:dyDescent="0.25">
      <c r="B21" t="s">
        <v>38</v>
      </c>
      <c r="C21" t="s">
        <v>39</v>
      </c>
      <c r="D21" s="47">
        <f>Therms_CY2023!P20</f>
        <v>542409</v>
      </c>
      <c r="E21" s="37">
        <f>'[2]Margin Exhibit'!$H$22</f>
        <v>139313.39952508218</v>
      </c>
      <c r="F21" s="55"/>
      <c r="G21" s="55"/>
      <c r="H21" s="37"/>
      <c r="I21" s="37">
        <f>'Sch. 129'!G24</f>
        <v>710.55579</v>
      </c>
      <c r="J21" s="37">
        <f>'Sch. 140'!F19</f>
        <v>5885.1376500000006</v>
      </c>
      <c r="K21" s="37">
        <f>'Sch. 141X'!F19</f>
        <v>661.73897999999997</v>
      </c>
      <c r="L21" s="37">
        <f>'Sch. 141Z'!F19</f>
        <v>-178.99497</v>
      </c>
      <c r="M21" s="37">
        <f>'Sch. 142'!G50</f>
        <v>-10097.36</v>
      </c>
      <c r="N21" s="37">
        <f>'Sch. 149'!F19</f>
        <v>4588.7801399999998</v>
      </c>
      <c r="O21" s="38">
        <f t="shared" si="0"/>
        <v>140883.25711508218</v>
      </c>
    </row>
    <row r="22" spans="2:16" x14ac:dyDescent="0.25">
      <c r="B22" t="s">
        <v>40</v>
      </c>
      <c r="C22" t="s">
        <v>41</v>
      </c>
      <c r="D22" s="47">
        <f>Therms_CY2023!P21</f>
        <v>128953412.64547956</v>
      </c>
      <c r="E22" s="37">
        <f>'[2]Margin Exhibit'!$H$24</f>
        <v>5198994.1830287995</v>
      </c>
      <c r="F22" s="37"/>
      <c r="G22" s="37"/>
      <c r="H22" s="37"/>
      <c r="I22" s="37">
        <f>'Sch. 129'!G48</f>
        <v>29270.283134376732</v>
      </c>
      <c r="J22" s="37">
        <f>'Sch. 140'!F20</f>
        <v>340437.00938406604</v>
      </c>
      <c r="K22" s="37">
        <f>'Sch. 141X'!F20</f>
        <v>55449.96743755621</v>
      </c>
      <c r="L22" s="37">
        <f>'Sch. 141Z'!F20</f>
        <v>-18053.477770367135</v>
      </c>
      <c r="M22" s="37"/>
      <c r="N22" s="37">
        <f>'Sch. 149'!F20</f>
        <v>482285.76329409354</v>
      </c>
      <c r="O22" s="38">
        <f t="shared" si="0"/>
        <v>6088383.7285085246</v>
      </c>
    </row>
    <row r="23" spans="2:16" x14ac:dyDescent="0.25">
      <c r="B23" t="s">
        <v>13</v>
      </c>
      <c r="D23" s="47">
        <f>Therms_CY2023!P22</f>
        <v>31066760</v>
      </c>
      <c r="E23" s="37">
        <f>'[2]Margin Exhibit'!$H$25</f>
        <v>1620924.2085755297</v>
      </c>
      <c r="F23" s="37"/>
      <c r="G23" s="37"/>
      <c r="H23" s="37"/>
      <c r="I23" s="37"/>
      <c r="J23" s="37">
        <f>'Sch. 140'!F21</f>
        <v>40697.455600000001</v>
      </c>
      <c r="K23" s="37">
        <f>'Sch. 141X'!F21</f>
        <v>6524.0196000000005</v>
      </c>
      <c r="L23" s="37">
        <f>'Sch. 141Z'!F21</f>
        <v>-2174.6731999999997</v>
      </c>
      <c r="M23" s="37"/>
      <c r="N23" s="37">
        <f>'Sch. 149'!F21</f>
        <v>28892.086800000001</v>
      </c>
      <c r="O23" s="38">
        <f t="shared" si="0"/>
        <v>1694863.0973755296</v>
      </c>
    </row>
    <row r="24" spans="2:16" x14ac:dyDescent="0.25">
      <c r="B24" t="s">
        <v>6</v>
      </c>
      <c r="D24" s="10">
        <f>SUM(D11:D23)</f>
        <v>1233977929.407835</v>
      </c>
      <c r="E24" s="11">
        <f>SUM(E11:E23)</f>
        <v>541327130.74357378</v>
      </c>
      <c r="F24" s="11">
        <f t="shared" ref="F24:H24" si="1">SUM(F11:F23)</f>
        <v>449358983.75999999</v>
      </c>
      <c r="G24" s="11">
        <f t="shared" si="1"/>
        <v>25762193.349999998</v>
      </c>
      <c r="H24" s="11">
        <f t="shared" si="1"/>
        <v>19758005.381032318</v>
      </c>
      <c r="I24" s="11">
        <f>SUM(I11:I23)</f>
        <v>3303152.0676309164</v>
      </c>
      <c r="J24" s="11">
        <f>SUM(J11:J23)</f>
        <v>22556264.084536683</v>
      </c>
      <c r="K24" s="11">
        <f>SUM(K11:K23)</f>
        <v>3120955.6570753693</v>
      </c>
      <c r="L24" s="11">
        <f>SUM(L11:L23)</f>
        <v>-1326414.5840270973</v>
      </c>
      <c r="M24" s="11">
        <f t="shared" ref="M24:O24" si="2">SUM(M11:M23)</f>
        <v>20286502.350000001</v>
      </c>
      <c r="N24" s="11">
        <f t="shared" si="2"/>
        <v>22562812.560205296</v>
      </c>
      <c r="O24" s="39">
        <f t="shared" si="2"/>
        <v>1106709585.3700273</v>
      </c>
      <c r="P24" s="8"/>
    </row>
    <row r="25" spans="2:16" x14ac:dyDescent="0.25">
      <c r="D25" s="14"/>
      <c r="I25" s="8"/>
      <c r="L25" s="8"/>
      <c r="M25" s="8"/>
      <c r="O25" s="8"/>
    </row>
    <row r="26" spans="2:16" s="13" customFormat="1" x14ac:dyDescent="0.25">
      <c r="B26" s="102" t="s">
        <v>160</v>
      </c>
      <c r="C26" s="15"/>
    </row>
    <row r="27" spans="2:16" s="13" customFormat="1" x14ac:dyDescent="0.25">
      <c r="B27" s="12" t="s">
        <v>42</v>
      </c>
      <c r="C27" s="12"/>
      <c r="D27" s="75">
        <f>D11+D12</f>
        <v>636378193</v>
      </c>
      <c r="E27" s="16">
        <f>E11+E12</f>
        <v>383183774.87161207</v>
      </c>
      <c r="F27" s="16">
        <f t="shared" ref="F27:N27" si="3">F11+F12</f>
        <v>294897654.63999999</v>
      </c>
      <c r="G27" s="16">
        <f t="shared" si="3"/>
        <v>16660381.09</v>
      </c>
      <c r="H27" s="16">
        <f t="shared" si="3"/>
        <v>12848475.716670001</v>
      </c>
      <c r="I27" s="16">
        <f t="shared" si="3"/>
        <v>2322748.1676500002</v>
      </c>
      <c r="J27" s="16">
        <f t="shared" si="3"/>
        <v>14477603.890749998</v>
      </c>
      <c r="K27" s="16">
        <f t="shared" si="3"/>
        <v>1998227.52602</v>
      </c>
      <c r="L27" s="16">
        <f t="shared" si="3"/>
        <v>-871838.12440999993</v>
      </c>
      <c r="M27" s="16">
        <f t="shared" si="3"/>
        <v>14331038.01</v>
      </c>
      <c r="N27" s="16">
        <f t="shared" si="3"/>
        <v>14369419.59794</v>
      </c>
      <c r="O27" s="16">
        <f>O11+O12</f>
        <v>754217485.38623214</v>
      </c>
      <c r="P27" s="17"/>
    </row>
    <row r="28" spans="2:16" s="13" customFormat="1" x14ac:dyDescent="0.25">
      <c r="B28" s="12" t="s">
        <v>43</v>
      </c>
      <c r="C28" s="12"/>
      <c r="D28" s="75">
        <f t="shared" ref="D28:N32" si="4">D13+D18</f>
        <v>243226645</v>
      </c>
      <c r="E28" s="16">
        <f t="shared" si="4"/>
        <v>120101390.89273322</v>
      </c>
      <c r="F28" s="16">
        <f t="shared" si="4"/>
        <v>110803252.03</v>
      </c>
      <c r="G28" s="16">
        <f t="shared" si="4"/>
        <v>6357045.3600000003</v>
      </c>
      <c r="H28" s="16">
        <f t="shared" si="4"/>
        <v>4910051.4871199997</v>
      </c>
      <c r="I28" s="16">
        <f t="shared" si="4"/>
        <v>749138.06660000002</v>
      </c>
      <c r="J28" s="16">
        <f t="shared" si="4"/>
        <v>6401725.2964000003</v>
      </c>
      <c r="K28" s="16">
        <f t="shared" si="4"/>
        <v>861022.32330000005</v>
      </c>
      <c r="L28" s="16">
        <f t="shared" si="4"/>
        <v>-357543.16814999998</v>
      </c>
      <c r="M28" s="16">
        <f t="shared" si="4"/>
        <v>7851317.9200000009</v>
      </c>
      <c r="N28" s="16">
        <f t="shared" si="4"/>
        <v>6012562.6644000001</v>
      </c>
      <c r="O28" s="16">
        <f>O13+O18</f>
        <v>263689962.87240326</v>
      </c>
    </row>
    <row r="29" spans="2:16" s="13" customFormat="1" x14ac:dyDescent="0.25">
      <c r="B29" s="12" t="s">
        <v>44</v>
      </c>
      <c r="C29" s="12"/>
      <c r="D29" s="75">
        <f t="shared" si="4"/>
        <v>92387406</v>
      </c>
      <c r="E29" s="16">
        <f t="shared" si="4"/>
        <v>21251849.836591765</v>
      </c>
      <c r="F29" s="16">
        <f t="shared" si="4"/>
        <v>28267719.23</v>
      </c>
      <c r="G29" s="16">
        <f t="shared" si="4"/>
        <v>1742002.7</v>
      </c>
      <c r="H29" s="16">
        <f t="shared" si="4"/>
        <v>1351173.0481499999</v>
      </c>
      <c r="I29" s="16">
        <f t="shared" si="4"/>
        <v>137657.23493999999</v>
      </c>
      <c r="J29" s="16">
        <f t="shared" si="4"/>
        <v>812085.29874</v>
      </c>
      <c r="K29" s="16">
        <f t="shared" si="4"/>
        <v>122875.24998000001</v>
      </c>
      <c r="L29" s="16">
        <f t="shared" si="4"/>
        <v>-51736.947359999991</v>
      </c>
      <c r="M29" s="16">
        <f t="shared" si="4"/>
        <v>-1793221.6600000001</v>
      </c>
      <c r="N29" s="16">
        <f t="shared" si="4"/>
        <v>1039358.3174999999</v>
      </c>
      <c r="O29" s="16">
        <f>O14+O19</f>
        <v>52879762.30854176</v>
      </c>
    </row>
    <row r="30" spans="2:16" s="13" customFormat="1" x14ac:dyDescent="0.25">
      <c r="B30" s="12" t="s">
        <v>45</v>
      </c>
      <c r="C30" s="12"/>
      <c r="D30" s="75">
        <f t="shared" si="4"/>
        <v>73912158</v>
      </c>
      <c r="E30" s="16">
        <f t="shared" si="4"/>
        <v>7413017.9279421167</v>
      </c>
      <c r="F30" s="16">
        <f t="shared" si="4"/>
        <v>4405833.4399999995</v>
      </c>
      <c r="G30" s="16">
        <f t="shared" si="4"/>
        <v>288684.40999999997</v>
      </c>
      <c r="H30" s="16">
        <f t="shared" si="4"/>
        <v>186671.45920000001</v>
      </c>
      <c r="I30" s="16">
        <f t="shared" si="4"/>
        <v>49642.236741812521</v>
      </c>
      <c r="J30" s="16">
        <f t="shared" si="4"/>
        <v>358473.96630000003</v>
      </c>
      <c r="K30" s="16">
        <f t="shared" si="4"/>
        <v>59868.847979999991</v>
      </c>
      <c r="L30" s="16">
        <f t="shared" si="4"/>
        <v>-19956.282660000001</v>
      </c>
      <c r="M30" s="16">
        <f t="shared" si="4"/>
        <v>0</v>
      </c>
      <c r="N30" s="16">
        <f t="shared" si="4"/>
        <v>495950.58017999999</v>
      </c>
      <c r="O30" s="16">
        <f>O15+O20</f>
        <v>13238186.585683931</v>
      </c>
    </row>
    <row r="31" spans="2:16" s="13" customFormat="1" x14ac:dyDescent="0.25">
      <c r="B31" s="12" t="s">
        <v>46</v>
      </c>
      <c r="C31" s="12"/>
      <c r="D31" s="75">
        <f t="shared" si="4"/>
        <v>6233899</v>
      </c>
      <c r="E31" s="16">
        <f t="shared" si="4"/>
        <v>1241761.7577100829</v>
      </c>
      <c r="F31" s="16">
        <f t="shared" si="4"/>
        <v>2321982.29</v>
      </c>
      <c r="G31" s="16">
        <f t="shared" si="4"/>
        <v>147864.91</v>
      </c>
      <c r="H31" s="16">
        <f t="shared" si="4"/>
        <v>95503.2022</v>
      </c>
      <c r="I31" s="16">
        <f t="shared" si="4"/>
        <v>8166.40769</v>
      </c>
      <c r="J31" s="16">
        <f t="shared" si="4"/>
        <v>67637.804149999996</v>
      </c>
      <c r="K31" s="16">
        <f t="shared" si="4"/>
        <v>7605.3567800000001</v>
      </c>
      <c r="L31" s="16">
        <f t="shared" si="4"/>
        <v>-2057.18667</v>
      </c>
      <c r="M31" s="16">
        <f t="shared" si="4"/>
        <v>-102631.92</v>
      </c>
      <c r="N31" s="16">
        <f t="shared" si="4"/>
        <v>52738.785540000004</v>
      </c>
      <c r="O31" s="16">
        <f>O16+O21</f>
        <v>3838571.4074000837</v>
      </c>
    </row>
    <row r="32" spans="2:16" s="13" customFormat="1" x14ac:dyDescent="0.25">
      <c r="B32" s="12" t="s">
        <v>47</v>
      </c>
      <c r="C32" s="12"/>
      <c r="D32" s="75">
        <f t="shared" si="4"/>
        <v>150772868.40783477</v>
      </c>
      <c r="E32" s="16">
        <f t="shared" si="4"/>
        <v>6514411.2484090952</v>
      </c>
      <c r="F32" s="16">
        <f t="shared" si="4"/>
        <v>8662542.1300000008</v>
      </c>
      <c r="G32" s="16">
        <f t="shared" si="4"/>
        <v>566214.88</v>
      </c>
      <c r="H32" s="16">
        <f t="shared" si="4"/>
        <v>366130.46769232035</v>
      </c>
      <c r="I32" s="16">
        <f t="shared" si="4"/>
        <v>35799.954009103567</v>
      </c>
      <c r="J32" s="16">
        <f t="shared" si="4"/>
        <v>398040.3725966838</v>
      </c>
      <c r="K32" s="16">
        <f t="shared" si="4"/>
        <v>64832.33341536895</v>
      </c>
      <c r="L32" s="16">
        <f t="shared" si="4"/>
        <v>-21108.201577096865</v>
      </c>
      <c r="M32" s="16">
        <f t="shared" si="4"/>
        <v>0</v>
      </c>
      <c r="N32" s="16">
        <f t="shared" si="4"/>
        <v>563890.52784530201</v>
      </c>
      <c r="O32" s="16">
        <f>O17+O22</f>
        <v>17150753.71239078</v>
      </c>
    </row>
    <row r="33" spans="2:15" s="13" customFormat="1" x14ac:dyDescent="0.25">
      <c r="B33" s="12" t="s">
        <v>13</v>
      </c>
      <c r="C33" s="12"/>
      <c r="D33" s="75">
        <f>D23</f>
        <v>31066760</v>
      </c>
      <c r="E33" s="16">
        <f>E23</f>
        <v>1620924.2085755297</v>
      </c>
      <c r="F33" s="16">
        <f t="shared" ref="F33:N33" si="5">F23</f>
        <v>0</v>
      </c>
      <c r="G33" s="16">
        <f t="shared" si="5"/>
        <v>0</v>
      </c>
      <c r="H33" s="16">
        <f t="shared" si="5"/>
        <v>0</v>
      </c>
      <c r="I33" s="16">
        <f t="shared" si="5"/>
        <v>0</v>
      </c>
      <c r="J33" s="16">
        <f t="shared" si="5"/>
        <v>40697.455600000001</v>
      </c>
      <c r="K33" s="16">
        <f t="shared" si="5"/>
        <v>6524.0196000000005</v>
      </c>
      <c r="L33" s="16">
        <f t="shared" si="5"/>
        <v>-2174.6731999999997</v>
      </c>
      <c r="M33" s="16">
        <f t="shared" si="5"/>
        <v>0</v>
      </c>
      <c r="N33" s="16">
        <f t="shared" si="5"/>
        <v>28892.086800000001</v>
      </c>
      <c r="O33" s="16">
        <f>O23</f>
        <v>1694863.0973755296</v>
      </c>
    </row>
    <row r="34" spans="2:15" s="13" customFormat="1" x14ac:dyDescent="0.25">
      <c r="B34" s="12" t="s">
        <v>14</v>
      </c>
      <c r="C34" s="12"/>
      <c r="D34" s="142">
        <f>SUM(D27:D33)</f>
        <v>1233977929.4078348</v>
      </c>
      <c r="E34" s="18">
        <f>SUM(E27:E33)</f>
        <v>541327130.7435739</v>
      </c>
      <c r="F34" s="18">
        <f t="shared" ref="F34:N34" si="6">SUM(F27:F33)</f>
        <v>449358983.75999999</v>
      </c>
      <c r="G34" s="18">
        <f t="shared" si="6"/>
        <v>25762193.349999998</v>
      </c>
      <c r="H34" s="18">
        <f t="shared" si="6"/>
        <v>19758005.381032318</v>
      </c>
      <c r="I34" s="18">
        <f t="shared" si="6"/>
        <v>3303152.0676309159</v>
      </c>
      <c r="J34" s="18">
        <f t="shared" si="6"/>
        <v>22556264.084536683</v>
      </c>
      <c r="K34" s="18">
        <f t="shared" si="6"/>
        <v>3120955.6570753693</v>
      </c>
      <c r="L34" s="18">
        <f t="shared" si="6"/>
        <v>-1326414.5840270971</v>
      </c>
      <c r="M34" s="18">
        <f t="shared" si="6"/>
        <v>20286502.349999998</v>
      </c>
      <c r="N34" s="18">
        <f t="shared" si="6"/>
        <v>22562812.560205303</v>
      </c>
      <c r="O34" s="18">
        <f>SUM(O27:O33)</f>
        <v>1106709585.3700278</v>
      </c>
    </row>
    <row r="35" spans="2:15" s="13" customFormat="1" x14ac:dyDescent="0.25"/>
    <row r="36" spans="2:15" ht="17.25" x14ac:dyDescent="0.25">
      <c r="B36" t="s">
        <v>256</v>
      </c>
      <c r="E36" s="40"/>
      <c r="I36" s="14"/>
      <c r="L36" s="14"/>
      <c r="M36" s="14"/>
      <c r="O36" s="14"/>
    </row>
    <row r="37" spans="2:15" ht="17.25" x14ac:dyDescent="0.25">
      <c r="B37" t="s">
        <v>203</v>
      </c>
    </row>
  </sheetData>
  <mergeCells count="4">
    <mergeCell ref="B1:O1"/>
    <mergeCell ref="B2:O2"/>
    <mergeCell ref="B3:O3"/>
    <mergeCell ref="B4:O4"/>
  </mergeCells>
  <printOptions horizontalCentered="1"/>
  <pageMargins left="0.45" right="0.45" top="0.75" bottom="0.75" header="0.3" footer="0.3"/>
  <pageSetup paperSize="5" scale="63" orientation="landscape" blackAndWhite="1" r:id="rId1"/>
  <headerFooter>
    <oddFooter>&amp;L&amp;F 
&amp;A&amp;C&amp;P&amp;R&amp;D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Q38"/>
  <sheetViews>
    <sheetView zoomScale="90" zoomScaleNormal="90" workbookViewId="0">
      <pane xSplit="3" ySplit="9" topLeftCell="D10" activePane="bottomRight" state="frozenSplit"/>
      <selection activeCell="L36" sqref="L36"/>
      <selection pane="topRight" activeCell="L36" sqref="L36"/>
      <selection pane="bottomLeft" activeCell="L36" sqref="L36"/>
      <selection pane="bottomRight" activeCell="J37" sqref="J37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5.5703125" bestFit="1" customWidth="1"/>
    <col min="6" max="6" width="14.5703125" bestFit="1" customWidth="1"/>
    <col min="7" max="8" width="13.28515625" bestFit="1" customWidth="1"/>
    <col min="9" max="9" width="12.140625" bestFit="1" customWidth="1"/>
    <col min="10" max="10" width="13.28515625" bestFit="1" customWidth="1"/>
    <col min="11" max="12" width="13.28515625" customWidth="1"/>
    <col min="13" max="13" width="14" bestFit="1" customWidth="1"/>
    <col min="14" max="14" width="12.85546875" bestFit="1" customWidth="1"/>
    <col min="15" max="15" width="13.28515625" bestFit="1" customWidth="1"/>
    <col min="16" max="16" width="15.7109375" bestFit="1" customWidth="1"/>
    <col min="17" max="17" width="13.7109375" bestFit="1" customWidth="1"/>
  </cols>
  <sheetData>
    <row r="1" spans="2:16" x14ac:dyDescent="0.25">
      <c r="B1" s="217" t="s">
        <v>0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</row>
    <row r="2" spans="2:16" x14ac:dyDescent="0.25">
      <c r="B2" s="217" t="str">
        <f>'Rate Impacts_RY#1'!B2:AC2</f>
        <v>2022 Gas General Rate Case Filing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</row>
    <row r="3" spans="2:16" x14ac:dyDescent="0.25">
      <c r="B3" s="218" t="s">
        <v>257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</row>
    <row r="4" spans="2:16" x14ac:dyDescent="0.25">
      <c r="B4" s="218" t="s">
        <v>275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</row>
    <row r="5" spans="2:16" x14ac:dyDescent="0.25">
      <c r="M5" s="3"/>
    </row>
    <row r="6" spans="2:16" x14ac:dyDescent="0.25">
      <c r="D6" s="3" t="s">
        <v>15</v>
      </c>
      <c r="M6" s="3"/>
    </row>
    <row r="7" spans="2:16" x14ac:dyDescent="0.25">
      <c r="B7" s="3"/>
      <c r="C7" s="3"/>
      <c r="D7" s="3" t="s">
        <v>121</v>
      </c>
      <c r="E7" s="190"/>
      <c r="F7" s="3"/>
      <c r="G7" s="3"/>
      <c r="H7" s="3"/>
      <c r="I7" s="3"/>
      <c r="J7" s="3"/>
      <c r="K7" s="3"/>
      <c r="L7" s="3"/>
      <c r="M7" s="3"/>
      <c r="N7" s="3"/>
      <c r="O7" s="3"/>
      <c r="P7" s="66" t="s">
        <v>220</v>
      </c>
    </row>
    <row r="8" spans="2:16" x14ac:dyDescent="0.25">
      <c r="B8" s="3"/>
      <c r="C8" s="3" t="s">
        <v>17</v>
      </c>
      <c r="D8" s="66" t="s">
        <v>269</v>
      </c>
      <c r="E8" s="3" t="s">
        <v>268</v>
      </c>
      <c r="F8" s="3" t="s">
        <v>18</v>
      </c>
      <c r="G8" s="3" t="s">
        <v>19</v>
      </c>
      <c r="H8" s="3" t="s">
        <v>49</v>
      </c>
      <c r="I8" s="3" t="s">
        <v>80</v>
      </c>
      <c r="J8" s="3" t="s">
        <v>16</v>
      </c>
      <c r="K8" s="191" t="s">
        <v>391</v>
      </c>
      <c r="L8" s="3" t="s">
        <v>272</v>
      </c>
      <c r="M8" s="3" t="s">
        <v>273</v>
      </c>
      <c r="N8" s="3" t="s">
        <v>171</v>
      </c>
      <c r="O8" s="3" t="s">
        <v>134</v>
      </c>
      <c r="P8" s="3" t="s">
        <v>136</v>
      </c>
    </row>
    <row r="9" spans="2:16" ht="15" customHeight="1" x14ac:dyDescent="0.25">
      <c r="B9" s="80" t="s">
        <v>4</v>
      </c>
      <c r="C9" s="80" t="s">
        <v>21</v>
      </c>
      <c r="D9" s="73" t="s">
        <v>270</v>
      </c>
      <c r="E9" s="80" t="s">
        <v>137</v>
      </c>
      <c r="F9" s="80" t="s">
        <v>2</v>
      </c>
      <c r="G9" s="80" t="s">
        <v>2</v>
      </c>
      <c r="H9" s="80" t="s">
        <v>2</v>
      </c>
      <c r="I9" s="80" t="s">
        <v>2</v>
      </c>
      <c r="J9" s="80" t="s">
        <v>2</v>
      </c>
      <c r="K9" s="192" t="s">
        <v>393</v>
      </c>
      <c r="L9" s="80" t="s">
        <v>137</v>
      </c>
      <c r="M9" s="80" t="s">
        <v>137</v>
      </c>
      <c r="N9" s="80" t="s">
        <v>2</v>
      </c>
      <c r="O9" s="80" t="s">
        <v>2</v>
      </c>
      <c r="P9" s="80" t="s">
        <v>173</v>
      </c>
    </row>
    <row r="10" spans="2:16" x14ac:dyDescent="0.25">
      <c r="B10" s="3" t="s">
        <v>25</v>
      </c>
      <c r="C10" s="3" t="s">
        <v>26</v>
      </c>
      <c r="D10" s="3" t="s">
        <v>27</v>
      </c>
      <c r="E10" s="3" t="s">
        <v>28</v>
      </c>
      <c r="F10" s="3" t="s">
        <v>243</v>
      </c>
      <c r="G10" s="3" t="s">
        <v>132</v>
      </c>
      <c r="H10" s="3" t="s">
        <v>133</v>
      </c>
      <c r="I10" s="4" t="s">
        <v>78</v>
      </c>
      <c r="J10" s="3" t="s">
        <v>129</v>
      </c>
      <c r="K10" s="194" t="s">
        <v>29</v>
      </c>
      <c r="L10" s="4" t="s">
        <v>50</v>
      </c>
      <c r="M10" s="4" t="s">
        <v>79</v>
      </c>
      <c r="N10" s="4" t="s">
        <v>130</v>
      </c>
      <c r="O10" s="3" t="s">
        <v>394</v>
      </c>
      <c r="P10" s="4" t="s">
        <v>395</v>
      </c>
    </row>
    <row r="11" spans="2:16" x14ac:dyDescent="0.25">
      <c r="B11" t="s">
        <v>7</v>
      </c>
      <c r="C11" s="5" t="s">
        <v>30</v>
      </c>
      <c r="D11" s="47">
        <f>SUM(Therms_CY2024!P10:P11)</f>
        <v>639464549</v>
      </c>
      <c r="E11" s="37">
        <f>'[1]Exh JDT-5 (JDT-MYRP)'!$N$18</f>
        <v>417201989.73536998</v>
      </c>
      <c r="F11" s="120">
        <f>('Revenue by Sch_RY#1'!F11/'Revenue by Sch_RY#1'!D11)*'Revenue by Sch_RY#2'!D11</f>
        <v>296327872.00921261</v>
      </c>
      <c r="G11" s="37">
        <f>('Revenue by Sch_RY#1'!G11/'Revenue by Sch_RY#1'!D11)*'Revenue by Sch_RY#2'!D11</f>
        <v>16741181.891835231</v>
      </c>
      <c r="H11" s="37">
        <f>('Revenue by Sch_RY#1'!H11/'Revenue by Sch_RY#1'!D11)*'Revenue by Sch_RY#2'!D11</f>
        <v>12910789.244309999</v>
      </c>
      <c r="I11" s="37">
        <f>('Revenue by Sch_RY#1'!I11/'Revenue by Sch_RY#1'!D11)*'Revenue by Sch_RY#2'!D11</f>
        <v>2334045.6038500001</v>
      </c>
      <c r="J11" s="37">
        <f>('Revenue by Sch_RY#1'!J11/'Revenue by Sch_RY#1'!D11)*'Revenue by Sch_RY#2'!D11</f>
        <v>14547818.48975</v>
      </c>
      <c r="K11" s="197">
        <f>'Sch. 141D_2024'!F9</f>
        <v>2084654.4297399998</v>
      </c>
      <c r="L11" s="37">
        <f>'Sch. 141N_2024'!F9</f>
        <v>-1087089.7333</v>
      </c>
      <c r="M11" s="37">
        <f>'Sch. 141R_2024'!F9</f>
        <v>31109950.308849998</v>
      </c>
      <c r="N11" s="37">
        <f>('Revenue by Sch_RY#1'!L11/'Revenue by Sch_RY#1'!D11)*'Revenue by Sch_RY#2'!D11</f>
        <v>-876066.43212999997</v>
      </c>
      <c r="O11" s="37">
        <f>('Revenue by Sch_RY#1'!M11/'Revenue by Sch_RY#1'!D11)*'Revenue by Sch_RY#2'!D11</f>
        <v>14400741.643761363</v>
      </c>
      <c r="P11" s="38">
        <f t="shared" ref="P11:P23" si="0">SUM(E11:O11)</f>
        <v>805695887.19124937</v>
      </c>
    </row>
    <row r="12" spans="2:16" x14ac:dyDescent="0.25">
      <c r="B12" t="s">
        <v>31</v>
      </c>
      <c r="C12" s="5">
        <v>16</v>
      </c>
      <c r="D12" s="47">
        <f>Therms_CY2024!P9</f>
        <v>8832</v>
      </c>
      <c r="E12" s="37">
        <f>'[1]Exh JDT-5 (JDT-MYRP)'!$N$34</f>
        <v>5643.18</v>
      </c>
      <c r="F12" s="120">
        <f>('Revenue by Sch_RY#1'!F12/'Revenue by Sch_RY#1'!D12)*'Revenue by Sch_RY#2'!D12</f>
        <v>4092.7500000000005</v>
      </c>
      <c r="G12" s="37">
        <f>('Revenue by Sch_RY#1'!G12/'Revenue by Sch_RY#1'!D12)*'Revenue by Sch_RY#2'!D12</f>
        <v>231.21999999999997</v>
      </c>
      <c r="H12" s="37">
        <f>('Revenue by Sch_RY#1'!H12/'Revenue by Sch_RY#1'!D12)*'Revenue by Sch_RY#2'!D12</f>
        <v>178.31808000000001</v>
      </c>
      <c r="I12" s="37">
        <f>('Revenue by Sch_RY#1'!I12/'Revenue by Sch_RY#1'!D12)*'Revenue by Sch_RY#2'!D12</f>
        <v>0</v>
      </c>
      <c r="J12" s="37">
        <f>('Revenue by Sch_RY#1'!J12/'Revenue by Sch_RY#1'!D12)*'Revenue by Sch_RY#2'!D12</f>
        <v>200.928</v>
      </c>
      <c r="K12" s="197">
        <f>'Sch. 141D_2024'!F10</f>
        <v>28.79232</v>
      </c>
      <c r="L12" s="37">
        <f>'Sch. 141N_2024'!F10</f>
        <v>-15.014399999999998</v>
      </c>
      <c r="M12" s="37">
        <f>'Sch. 141R_2024'!F10</f>
        <v>429.67680000000001</v>
      </c>
      <c r="N12" s="37">
        <f>('Revenue by Sch_RY#1'!L12/'Revenue by Sch_RY#1'!D12)*'Revenue by Sch_RY#2'!D12</f>
        <v>-12.099839999999999</v>
      </c>
      <c r="O12" s="37"/>
      <c r="P12" s="38">
        <f t="shared" si="0"/>
        <v>10777.750959999998</v>
      </c>
    </row>
    <row r="13" spans="2:16" x14ac:dyDescent="0.25">
      <c r="B13" t="s">
        <v>8</v>
      </c>
      <c r="C13" s="5">
        <v>31</v>
      </c>
      <c r="D13" s="47">
        <f>Therms_CY2024!P12</f>
        <v>245936243</v>
      </c>
      <c r="E13" s="37">
        <f>'[1]Exh JDT-5 (JDT-MYRP)'!$N$48</f>
        <v>132871324.84063001</v>
      </c>
      <c r="F13" s="120">
        <f>('Revenue by Sch_RY#1'!F13/'Revenue by Sch_RY#1'!D13)*'Revenue by Sch_RY#2'!D13</f>
        <v>112053471.03185758</v>
      </c>
      <c r="G13" s="37">
        <f>('Revenue by Sch_RY#1'!G13/'Revenue by Sch_RY#1'!D13)*'Revenue by Sch_RY#2'!D13</f>
        <v>6428773.3892693091</v>
      </c>
      <c r="H13" s="37">
        <f>('Revenue by Sch_RY#1'!H13/'Revenue by Sch_RY#1'!D13)*'Revenue by Sch_RY#2'!D13</f>
        <v>4965452.7461700002</v>
      </c>
      <c r="I13" s="37">
        <f>('Revenue by Sch_RY#1'!I13/'Revenue by Sch_RY#1'!D13)*'Revenue by Sch_RY#2'!D13</f>
        <v>757483.62844000012</v>
      </c>
      <c r="J13" s="37">
        <f>('Revenue by Sch_RY#1'!J13/'Revenue by Sch_RY#1'!D13)*'Revenue by Sch_RY#2'!D13</f>
        <v>6473041.9157600002</v>
      </c>
      <c r="K13" s="197">
        <f>'Sch. 141D_2024'!F11</f>
        <v>740268.09143000003</v>
      </c>
      <c r="L13" s="37">
        <f>'Sch. 141N_2024'!F11</f>
        <v>-386119.90151</v>
      </c>
      <c r="M13" s="37">
        <f>'Sch. 141R_2024'!F11</f>
        <v>11044996.67313</v>
      </c>
      <c r="N13" s="37">
        <f>('Revenue by Sch_RY#1'!L13/'Revenue by Sch_RY#1'!D13)*'Revenue by Sch_RY#2'!D13</f>
        <v>-361526.27720999997</v>
      </c>
      <c r="O13" s="37">
        <f>('Revenue by Sch_RY#1'!M13/'Revenue by Sch_RY#1'!D13)*'Revenue by Sch_RY#2'!D13</f>
        <v>7938821.9286514521</v>
      </c>
      <c r="P13" s="38">
        <f t="shared" si="0"/>
        <v>282525988.06661838</v>
      </c>
    </row>
    <row r="14" spans="2:16" x14ac:dyDescent="0.25">
      <c r="B14" t="s">
        <v>9</v>
      </c>
      <c r="C14" s="5">
        <v>41</v>
      </c>
      <c r="D14" s="47">
        <f>Therms_CY2024!P13</f>
        <v>66890541</v>
      </c>
      <c r="E14" s="37">
        <f>'[1]Exh JDT-5 (JDT-MYRP)'!$N$79</f>
        <v>18242726.17379</v>
      </c>
      <c r="F14" s="120">
        <f>('Revenue by Sch_RY#1'!F14/'Revenue by Sch_RY#1'!D14)*'Revenue by Sch_RY#2'!D14</f>
        <v>28254057.369624808</v>
      </c>
      <c r="G14" s="37">
        <f>('Revenue by Sch_RY#1'!G14/'Revenue by Sch_RY#1'!D14)*'Revenue by Sch_RY#2'!D14</f>
        <v>1741160.7856783327</v>
      </c>
      <c r="H14" s="37">
        <f>('Revenue by Sch_RY#1'!H14/'Revenue by Sch_RY#1'!D14)*'Revenue by Sch_RY#2'!D14</f>
        <v>1350520.0227900001</v>
      </c>
      <c r="I14" s="37">
        <f>('Revenue by Sch_RY#1'!I14/'Revenue by Sch_RY#1'!D14)*'Revenue by Sch_RY#2'!D14</f>
        <v>99666.906090000004</v>
      </c>
      <c r="J14" s="37">
        <f>('Revenue by Sch_RY#1'!J14/'Revenue by Sch_RY#1'!D14)*'Revenue by Sch_RY#2'!D14</f>
        <v>587967.85538999992</v>
      </c>
      <c r="K14" s="197">
        <f>'Sch. 141D_2024'!F12</f>
        <v>151841.52807</v>
      </c>
      <c r="L14" s="37">
        <f>'Sch. 141N_2024'!F12</f>
        <v>-50167.905749999998</v>
      </c>
      <c r="M14" s="37">
        <f>'Sch. 141R_2024'!F12</f>
        <v>1436139.91527</v>
      </c>
      <c r="N14" s="37">
        <f>('Revenue by Sch_RY#1'!L14/'Revenue by Sch_RY#1'!D14)*'Revenue by Sch_RY#2'!D14</f>
        <v>-37458.702959999995</v>
      </c>
      <c r="O14" s="37">
        <f>('Revenue by Sch_RY#1'!M14/'Revenue by Sch_RY#1'!D14)*'Revenue by Sch_RY#2'!D14</f>
        <v>-1364600.4562402964</v>
      </c>
      <c r="P14" s="38">
        <f t="shared" si="0"/>
        <v>50411853.491752848</v>
      </c>
    </row>
    <row r="15" spans="2:16" x14ac:dyDescent="0.25">
      <c r="B15" t="s">
        <v>10</v>
      </c>
      <c r="C15" s="5">
        <v>85</v>
      </c>
      <c r="D15" s="47">
        <f>Therms_CY2024!P14</f>
        <v>10745378</v>
      </c>
      <c r="E15" s="37">
        <f>'[1]Exh JDT-5 (JDT-MYRP)'!$N$116</f>
        <v>1431314.4706233121</v>
      </c>
      <c r="F15" s="120">
        <f>('Revenue by Sch_RY#1'!F15/'Revenue by Sch_RY#1'!D15)*'Revenue by Sch_RY#2'!D15</f>
        <v>4255629.4601749191</v>
      </c>
      <c r="G15" s="37">
        <f>('Revenue by Sch_RY#1'!G15/'Revenue by Sch_RY#1'!D15)*'Revenue by Sch_RY#2'!D15</f>
        <v>278842.56103181583</v>
      </c>
      <c r="H15" s="37">
        <f>('Revenue by Sch_RY#1'!H15/'Revenue by Sch_RY#1'!D15)*'Revenue by Sch_RY#2'!D15</f>
        <v>180307.44284</v>
      </c>
      <c r="I15" s="37">
        <f>('Revenue by Sch_RY#1'!I15/'Revenue by Sch_RY#1'!D15)*'Revenue by Sch_RY#2'!D15</f>
        <v>7563.9290639632691</v>
      </c>
      <c r="J15" s="37">
        <f>('Revenue by Sch_RY#1'!J15/'Revenue by Sch_RY#1'!D15)*'Revenue by Sch_RY#2'!D15</f>
        <v>52115.083299999998</v>
      </c>
      <c r="K15" s="197">
        <f>'Sch. 141D_2024'!F13</f>
        <v>19771.49552</v>
      </c>
      <c r="L15" s="37">
        <f>'Sch. 141N_2024'!F13</f>
        <v>-4835.4201000000003</v>
      </c>
      <c r="M15" s="37">
        <f>'Sch. 141R_2024'!F13</f>
        <v>137218.47706</v>
      </c>
      <c r="N15" s="37">
        <f>('Revenue by Sch_RY#1'!L15/'Revenue by Sch_RY#1'!D15)*'Revenue by Sch_RY#2'!D15</f>
        <v>-2901.2520600000003</v>
      </c>
      <c r="O15" s="37"/>
      <c r="P15" s="38">
        <f t="shared" si="0"/>
        <v>6355026.2474540109</v>
      </c>
    </row>
    <row r="16" spans="2:16" x14ac:dyDescent="0.25">
      <c r="B16" t="s">
        <v>11</v>
      </c>
      <c r="C16" s="5">
        <v>86</v>
      </c>
      <c r="D16" s="47">
        <f>Therms_CY2024!P15</f>
        <v>5489408</v>
      </c>
      <c r="E16" s="37">
        <f>'[1]Exh JDT-5 (JDT-MYRP)'!$N$152</f>
        <v>1110674.3605023497</v>
      </c>
      <c r="F16" s="120">
        <f>('Revenue by Sch_RY#1'!F16/'Revenue by Sch_RY#1'!D16)*'Revenue by Sch_RY#2'!D16</f>
        <v>2239538.0047376556</v>
      </c>
      <c r="G16" s="37">
        <f>('Revenue by Sch_RY#1'!G16/'Revenue by Sch_RY#1'!D16)*'Revenue by Sch_RY#2'!D16</f>
        <v>142614.81964710119</v>
      </c>
      <c r="H16" s="37">
        <f>('Revenue by Sch_RY#1'!H16/'Revenue by Sch_RY#1'!D16)*'Revenue by Sch_RY#2'!D16</f>
        <v>92112.266239999997</v>
      </c>
      <c r="I16" s="37">
        <f>('Revenue by Sch_RY#1'!I16/'Revenue by Sch_RY#1'!D16)*'Revenue by Sch_RY#2'!D16</f>
        <v>7191.1244799999995</v>
      </c>
      <c r="J16" s="37">
        <f>('Revenue by Sch_RY#1'!J16/'Revenue by Sch_RY#1'!D16)*'Revenue by Sch_RY#2'!D16</f>
        <v>59560.076800000003</v>
      </c>
      <c r="K16" s="197">
        <f>'Sch. 141D_2024'!F14</f>
        <v>2689.8099199999997</v>
      </c>
      <c r="L16" s="37">
        <f>'Sch. 141N_2024'!F14</f>
        <v>-1976.1868800000002</v>
      </c>
      <c r="M16" s="37">
        <f>'Sch. 141R_2024'!F14</f>
        <v>57144.737280000001</v>
      </c>
      <c r="N16" s="37">
        <f>('Revenue by Sch_RY#1'!L16/'Revenue by Sch_RY#1'!D16)*'Revenue by Sch_RY#2'!D16</f>
        <v>-1811.5046399999999</v>
      </c>
      <c r="O16" s="37">
        <f>('Revenue by Sch_RY#1'!M16/'Revenue by Sch_RY#1'!D16)*'Revenue by Sch_RY#2'!D16</f>
        <v>-89249.028627034393</v>
      </c>
      <c r="P16" s="38">
        <f t="shared" si="0"/>
        <v>3618488.4794600722</v>
      </c>
    </row>
    <row r="17" spans="2:17" x14ac:dyDescent="0.25">
      <c r="B17" t="s">
        <v>12</v>
      </c>
      <c r="C17" s="5">
        <v>87</v>
      </c>
      <c r="D17" s="47">
        <f>Therms_CY2024!P16</f>
        <v>21819455.762355205</v>
      </c>
      <c r="E17" s="37">
        <f>'[1]Exh JDT-5 (JDT-MYRP)'!$N$191</f>
        <v>1509134.6199999999</v>
      </c>
      <c r="F17" s="120">
        <f>('Revenue by Sch_RY#1'!F17/'Revenue by Sch_RY#1'!D17)*'Revenue by Sch_RY#2'!D17</f>
        <v>8662542.1300000008</v>
      </c>
      <c r="G17" s="37">
        <f>('Revenue by Sch_RY#1'!G17/'Revenue by Sch_RY#1'!D17)*'Revenue by Sch_RY#2'!D17</f>
        <v>566214.88</v>
      </c>
      <c r="H17" s="37">
        <f>('Revenue by Sch_RY#1'!H17/'Revenue by Sch_RY#1'!D17)*'Revenue by Sch_RY#2'!D17</f>
        <v>366130.46769232035</v>
      </c>
      <c r="I17" s="37">
        <f>('Revenue by Sch_RY#1'!I17/'Revenue by Sch_RY#1'!D17)*'Revenue by Sch_RY#2'!D17</f>
        <v>6529.6708747268322</v>
      </c>
      <c r="J17" s="37">
        <f>('Revenue by Sch_RY#1'!J17/'Revenue by Sch_RY#1'!D17)*'Revenue by Sch_RY#2'!D17</f>
        <v>57603.36321261774</v>
      </c>
      <c r="K17" s="197">
        <f>'Sch. 141D_2024'!F23</f>
        <v>17428.370257522623</v>
      </c>
      <c r="L17" s="37">
        <f>'Sch. 141N_2024'!F23</f>
        <v>-4525.2510166006559</v>
      </c>
      <c r="M17" s="37">
        <f>'Sch. 141R_2024'!F23</f>
        <v>131313.84533541062</v>
      </c>
      <c r="N17" s="37">
        <f>('Revenue by Sch_RY#1'!L17/'Revenue by Sch_RY#1'!D17)*'Revenue by Sch_RY#2'!D17</f>
        <v>-3054.7238067297285</v>
      </c>
      <c r="O17" s="37"/>
      <c r="P17" s="38">
        <f t="shared" si="0"/>
        <v>11309317.372549269</v>
      </c>
    </row>
    <row r="18" spans="2:17" x14ac:dyDescent="0.25">
      <c r="B18" t="s">
        <v>32</v>
      </c>
      <c r="C18" s="5" t="s">
        <v>33</v>
      </c>
      <c r="D18" s="47">
        <f>Therms_CY2024!P17</f>
        <v>33867</v>
      </c>
      <c r="E18" s="37">
        <f>'[1]Exh JDT-5 (JDT-MYRP)'!$N$58</f>
        <v>22706.758830000002</v>
      </c>
      <c r="F18" s="55"/>
      <c r="G18" s="55"/>
      <c r="H18" s="37"/>
      <c r="I18" s="37">
        <f>('Revenue by Sch_RY#1'!I18/'Revenue by Sch_RY#1'!D18)*'Revenue by Sch_RY#2'!D18</f>
        <v>104.31035999999999</v>
      </c>
      <c r="J18" s="37">
        <f>('Revenue by Sch_RY#1'!J18/'Revenue by Sch_RY#1'!D18)*'Revenue by Sch_RY#2'!D18</f>
        <v>891.37943999999993</v>
      </c>
      <c r="K18" s="197"/>
      <c r="L18" s="37">
        <f>'Sch. 141N_2024'!F25</f>
        <v>-53.171190000000003</v>
      </c>
      <c r="M18" s="37">
        <f>'Sch. 141R_2024'!F25</f>
        <v>1520.9669699999999</v>
      </c>
      <c r="N18" s="37">
        <f>('Revenue by Sch_RY#1'!L18/'Revenue by Sch_RY#1'!D18)*'Revenue by Sch_RY#2'!D18</f>
        <v>-49.784489999999998</v>
      </c>
      <c r="O18" s="37">
        <f>('Revenue by Sch_RY#1'!M18/'Revenue by Sch_RY#1'!D18)*'Revenue by Sch_RY#2'!D18</f>
        <v>1055.6299691833592</v>
      </c>
      <c r="P18" s="38">
        <f t="shared" si="0"/>
        <v>26176.089889183364</v>
      </c>
    </row>
    <row r="19" spans="2:17" x14ac:dyDescent="0.25">
      <c r="B19" t="s">
        <v>34</v>
      </c>
      <c r="C19" t="s">
        <v>35</v>
      </c>
      <c r="D19" s="47">
        <f>Therms_CY2024!P18</f>
        <v>26510234</v>
      </c>
      <c r="E19" s="37">
        <f>'[1]Exh JDT-5 (JDT-MYRP)'!$N$96</f>
        <v>5202113.47</v>
      </c>
      <c r="F19" s="55"/>
      <c r="G19" s="55"/>
      <c r="H19" s="37"/>
      <c r="I19" s="37">
        <f>('Revenue by Sch_RY#1'!I19/'Revenue by Sch_RY#1'!D19)*'Revenue by Sch_RY#2'!D19</f>
        <v>39500.248659999997</v>
      </c>
      <c r="J19" s="37">
        <f>('Revenue by Sch_RY#1'!J19/'Revenue by Sch_RY#1'!D19)*'Revenue by Sch_RY#2'!D19</f>
        <v>233024.95685999998</v>
      </c>
      <c r="K19" s="197"/>
      <c r="L19" s="37">
        <f>'Sch. 141N_2024'!F26</f>
        <v>-19882.675500000001</v>
      </c>
      <c r="M19" s="37">
        <f>'Sch. 141R_2024'!F26</f>
        <v>569174.72398000001</v>
      </c>
      <c r="N19" s="37">
        <f>('Revenue by Sch_RY#1'!L19/'Revenue by Sch_RY#1'!D19)*'Revenue by Sch_RY#2'!D19</f>
        <v>-14845.731039999999</v>
      </c>
      <c r="O19" s="37">
        <f>('Revenue by Sch_RY#1'!M19/'Revenue by Sch_RY#1'!D19)*'Revenue by Sch_RY#2'!D19</f>
        <v>-445535.81281425164</v>
      </c>
      <c r="P19" s="38">
        <f t="shared" si="0"/>
        <v>5563549.1801457489</v>
      </c>
    </row>
    <row r="20" spans="2:17" x14ac:dyDescent="0.25">
      <c r="B20" t="s">
        <v>36</v>
      </c>
      <c r="C20" t="s">
        <v>37</v>
      </c>
      <c r="D20" s="47">
        <f>Therms_CY2024!P19</f>
        <v>62288926</v>
      </c>
      <c r="E20" s="37">
        <f>'[1]Exh JDT-5 (JDT-MYRP)'!$N$133</f>
        <v>6799880.6744118314</v>
      </c>
      <c r="F20" s="55"/>
      <c r="G20" s="55"/>
      <c r="H20" s="37"/>
      <c r="I20" s="37">
        <f>('Revenue by Sch_RY#1'!I20/'Revenue by Sch_RY#1'!D20)*'Revenue by Sch_RY#2'!D20</f>
        <v>41479.314699009934</v>
      </c>
      <c r="J20" s="37">
        <f>('Revenue by Sch_RY#1'!J20/'Revenue by Sch_RY#1'!D20)*'Revenue by Sch_RY#2'!D20</f>
        <v>302101.29110000003</v>
      </c>
      <c r="K20" s="197"/>
      <c r="L20" s="37">
        <f>'Sch. 141N_2024'!F27</f>
        <v>-28030.0167</v>
      </c>
      <c r="M20" s="37">
        <f>'Sch. 141R_2024'!F27</f>
        <v>795429.58502</v>
      </c>
      <c r="N20" s="37">
        <f>('Revenue by Sch_RY#1'!L20/'Revenue by Sch_RY#1'!D20)*'Revenue by Sch_RY#2'!D20</f>
        <v>-16818.010020000002</v>
      </c>
      <c r="O20" s="37"/>
      <c r="P20" s="38">
        <f t="shared" si="0"/>
        <v>7894042.8385108421</v>
      </c>
    </row>
    <row r="21" spans="2:17" x14ac:dyDescent="0.25">
      <c r="B21" t="s">
        <v>38</v>
      </c>
      <c r="C21" t="s">
        <v>39</v>
      </c>
      <c r="D21" s="47">
        <f>Therms_CY2024!P20</f>
        <v>578702</v>
      </c>
      <c r="E21" s="37">
        <f>'[1]Exh JDT-5 (JDT-MYRP)'!$N$168</f>
        <v>153355.14710239385</v>
      </c>
      <c r="F21" s="55"/>
      <c r="G21" s="55"/>
      <c r="H21" s="37"/>
      <c r="I21" s="37">
        <f>('Revenue by Sch_RY#1'!I21/'Revenue by Sch_RY#1'!D21)*'Revenue by Sch_RY#2'!D21</f>
        <v>758.09961999999996</v>
      </c>
      <c r="J21" s="37">
        <f>('Revenue by Sch_RY#1'!J21/'Revenue by Sch_RY#1'!D21)*'Revenue by Sch_RY#2'!D21</f>
        <v>6278.9166999999998</v>
      </c>
      <c r="K21" s="197"/>
      <c r="L21" s="37">
        <f>'Sch. 141N_2024'!F28</f>
        <v>-208.33272000000002</v>
      </c>
      <c r="M21" s="37">
        <f>'Sch. 141R_2024'!F28</f>
        <v>6024.2878200000005</v>
      </c>
      <c r="N21" s="37">
        <f>('Revenue by Sch_RY#1'!L21/'Revenue by Sch_RY#1'!D21)*'Revenue by Sch_RY#2'!D21</f>
        <v>-190.97165999999999</v>
      </c>
      <c r="O21" s="37">
        <f>('Revenue by Sch_RY#1'!M21/'Revenue by Sch_RY#1'!D21)*'Revenue by Sch_RY#2'!D21</f>
        <v>-10772.982060990877</v>
      </c>
      <c r="P21" s="38">
        <f t="shared" si="0"/>
        <v>155244.16480140295</v>
      </c>
    </row>
    <row r="22" spans="2:17" x14ac:dyDescent="0.25">
      <c r="B22" t="s">
        <v>40</v>
      </c>
      <c r="C22" t="s">
        <v>41</v>
      </c>
      <c r="D22" s="47">
        <f>Therms_CY2024!P21</f>
        <v>142008966.64547956</v>
      </c>
      <c r="E22" s="37">
        <f>'[1]Exh JDT-5 (JDT-MYRP)'!$N$211</f>
        <v>6088113.25</v>
      </c>
      <c r="F22" s="37"/>
      <c r="G22" s="37"/>
      <c r="H22" s="37"/>
      <c r="I22" s="37">
        <f>('Revenue by Sch_RY#1'!I22/'Revenue by Sch_RY#1'!D22)*'Revenue by Sch_RY#2'!D22</f>
        <v>32233.677078100642</v>
      </c>
      <c r="J22" s="37">
        <f>('Revenue by Sch_RY#1'!J22/'Revenue by Sch_RY#1'!D22)*'Revenue by Sch_RY#2'!D22</f>
        <v>374903.67194406601</v>
      </c>
      <c r="K22" s="197"/>
      <c r="L22" s="37">
        <f>'Sch. 141N_2024'!F37</f>
        <v>-17212.103482264389</v>
      </c>
      <c r="M22" s="37">
        <f>'Sch. 141R_2024'!F37</f>
        <v>496235.35842992895</v>
      </c>
      <c r="N22" s="37">
        <f>('Revenue by Sch_RY#1'!L22/'Revenue by Sch_RY#1'!D22)*'Revenue by Sch_RY#2'!D22</f>
        <v>-19881.255330367138</v>
      </c>
      <c r="O22" s="37"/>
      <c r="P22" s="38">
        <f t="shared" si="0"/>
        <v>6954392.5986394649</v>
      </c>
    </row>
    <row r="23" spans="2:17" x14ac:dyDescent="0.25">
      <c r="B23" t="s">
        <v>13</v>
      </c>
      <c r="D23" s="47">
        <f>Therms_CY2024!P22</f>
        <v>30967900</v>
      </c>
      <c r="E23" s="37">
        <f>'[1]Exh JDT-5 (JDT-MYRP)'!$N$215</f>
        <v>1638422.5923708156</v>
      </c>
      <c r="F23" s="37"/>
      <c r="G23" s="37"/>
      <c r="H23" s="37"/>
      <c r="I23" s="37"/>
      <c r="J23" s="37">
        <f>('Revenue by Sch_RY#1'!J23/'Revenue by Sch_RY#1'!D23)*'Revenue by Sch_RY#2'!D23</f>
        <v>40567.949000000001</v>
      </c>
      <c r="K23" s="197"/>
      <c r="L23" s="37">
        <f>'Sch. 141N_2024'!F39</f>
        <v>0</v>
      </c>
      <c r="M23" s="37">
        <f>'Sch. 141R_2024'!F39</f>
        <v>0</v>
      </c>
      <c r="N23" s="37">
        <f>('Revenue by Sch_RY#1'!L23/'Revenue by Sch_RY#1'!D23)*'Revenue by Sch_RY#2'!D23</f>
        <v>-2167.7529999999997</v>
      </c>
      <c r="O23" s="37"/>
      <c r="P23" s="38">
        <f t="shared" si="0"/>
        <v>1676822.7883708156</v>
      </c>
    </row>
    <row r="24" spans="2:17" x14ac:dyDescent="0.25">
      <c r="B24" t="s">
        <v>6</v>
      </c>
      <c r="D24" s="10">
        <f>SUM(D11:D23)</f>
        <v>1252743002.407835</v>
      </c>
      <c r="E24" s="11">
        <f>SUM(E11:E23)</f>
        <v>592277399.27363062</v>
      </c>
      <c r="F24" s="11">
        <f t="shared" ref="F24:H24" si="1">SUM(F11:F23)</f>
        <v>451797202.7556076</v>
      </c>
      <c r="G24" s="11">
        <f t="shared" si="1"/>
        <v>25899019.547461789</v>
      </c>
      <c r="H24" s="11">
        <f t="shared" si="1"/>
        <v>19865490.508122317</v>
      </c>
      <c r="I24" s="11">
        <f t="shared" ref="I24:N24" si="2">SUM(I11:I23)</f>
        <v>3326556.5132158017</v>
      </c>
      <c r="J24" s="11">
        <f t="shared" si="2"/>
        <v>22736075.877256684</v>
      </c>
      <c r="K24" s="203">
        <f t="shared" si="2"/>
        <v>3016682.5172575219</v>
      </c>
      <c r="L24" s="11">
        <f t="shared" si="2"/>
        <v>-1600115.7125488648</v>
      </c>
      <c r="M24" s="11">
        <f t="shared" si="2"/>
        <v>45785578.555945329</v>
      </c>
      <c r="N24" s="11">
        <f t="shared" si="2"/>
        <v>-1336784.4981870968</v>
      </c>
      <c r="O24" s="11">
        <f t="shared" ref="O24:P24" si="3">SUM(O11:O23)</f>
        <v>20430460.922639426</v>
      </c>
      <c r="P24" s="39">
        <f t="shared" si="3"/>
        <v>1182197566.2604012</v>
      </c>
      <c r="Q24" s="8"/>
    </row>
    <row r="25" spans="2:17" x14ac:dyDescent="0.25">
      <c r="D25" s="14"/>
      <c r="I25" s="8"/>
      <c r="K25" s="204"/>
      <c r="N25" s="8"/>
      <c r="O25" s="8"/>
      <c r="P25" s="8"/>
    </row>
    <row r="26" spans="2:17" s="13" customFormat="1" x14ac:dyDescent="0.25">
      <c r="B26" s="102" t="s">
        <v>160</v>
      </c>
      <c r="C26" s="15"/>
      <c r="K26" s="200"/>
    </row>
    <row r="27" spans="2:17" s="13" customFormat="1" x14ac:dyDescent="0.25">
      <c r="B27" s="12" t="s">
        <v>42</v>
      </c>
      <c r="C27" s="12"/>
      <c r="D27" s="75">
        <f>D11+D12</f>
        <v>639473381</v>
      </c>
      <c r="E27" s="16">
        <f>E11+E12</f>
        <v>417207632.91536999</v>
      </c>
      <c r="F27" s="16">
        <f t="shared" ref="F27:O27" si="4">F11+F12</f>
        <v>296331964.75921261</v>
      </c>
      <c r="G27" s="16">
        <f t="shared" si="4"/>
        <v>16741413.111835232</v>
      </c>
      <c r="H27" s="16">
        <f t="shared" si="4"/>
        <v>12910967.56239</v>
      </c>
      <c r="I27" s="16">
        <f t="shared" si="4"/>
        <v>2334045.6038500001</v>
      </c>
      <c r="J27" s="16">
        <f t="shared" si="4"/>
        <v>14548019.417749999</v>
      </c>
      <c r="K27" s="201">
        <f t="shared" ref="K27:L27" si="5">K11+K12</f>
        <v>2084683.2220599998</v>
      </c>
      <c r="L27" s="16">
        <f t="shared" si="5"/>
        <v>-1087104.7476999999</v>
      </c>
      <c r="M27" s="16">
        <f t="shared" si="4"/>
        <v>31110379.985649999</v>
      </c>
      <c r="N27" s="16">
        <f t="shared" si="4"/>
        <v>-876078.53197000001</v>
      </c>
      <c r="O27" s="16">
        <f t="shared" si="4"/>
        <v>14400741.643761363</v>
      </c>
      <c r="P27" s="16">
        <f>P11+P12</f>
        <v>805706664.94220936</v>
      </c>
      <c r="Q27" s="17"/>
    </row>
    <row r="28" spans="2:17" s="13" customFormat="1" x14ac:dyDescent="0.25">
      <c r="B28" s="12" t="s">
        <v>43</v>
      </c>
      <c r="C28" s="12"/>
      <c r="D28" s="75">
        <f t="shared" ref="D28:O32" si="6">D13+D18</f>
        <v>245970110</v>
      </c>
      <c r="E28" s="16">
        <f t="shared" si="6"/>
        <v>132894031.59946001</v>
      </c>
      <c r="F28" s="16">
        <f t="shared" si="6"/>
        <v>112053471.03185758</v>
      </c>
      <c r="G28" s="16">
        <f t="shared" si="6"/>
        <v>6428773.3892693091</v>
      </c>
      <c r="H28" s="16">
        <f t="shared" si="6"/>
        <v>4965452.7461700002</v>
      </c>
      <c r="I28" s="16">
        <f t="shared" si="6"/>
        <v>757587.93880000012</v>
      </c>
      <c r="J28" s="16">
        <f t="shared" si="6"/>
        <v>6473933.2952000005</v>
      </c>
      <c r="K28" s="201">
        <f t="shared" ref="K28:L28" si="7">K13+K18</f>
        <v>740268.09143000003</v>
      </c>
      <c r="L28" s="16">
        <f t="shared" si="7"/>
        <v>-386173.07270000002</v>
      </c>
      <c r="M28" s="16">
        <f t="shared" si="6"/>
        <v>11046517.6401</v>
      </c>
      <c r="N28" s="16">
        <f t="shared" si="6"/>
        <v>-361576.06169999996</v>
      </c>
      <c r="O28" s="16">
        <f t="shared" si="6"/>
        <v>7939877.5586206354</v>
      </c>
      <c r="P28" s="16">
        <f>P13+P18</f>
        <v>282552164.15650755</v>
      </c>
    </row>
    <row r="29" spans="2:17" s="13" customFormat="1" x14ac:dyDescent="0.25">
      <c r="B29" s="12" t="s">
        <v>44</v>
      </c>
      <c r="C29" s="12"/>
      <c r="D29" s="75">
        <f t="shared" si="6"/>
        <v>93400775</v>
      </c>
      <c r="E29" s="16">
        <f t="shared" si="6"/>
        <v>23444839.643789999</v>
      </c>
      <c r="F29" s="16">
        <f t="shared" si="6"/>
        <v>28254057.369624808</v>
      </c>
      <c r="G29" s="16">
        <f t="shared" si="6"/>
        <v>1741160.7856783327</v>
      </c>
      <c r="H29" s="16">
        <f t="shared" si="6"/>
        <v>1350520.0227900001</v>
      </c>
      <c r="I29" s="16">
        <f t="shared" si="6"/>
        <v>139167.15474999999</v>
      </c>
      <c r="J29" s="16">
        <f t="shared" si="6"/>
        <v>820992.81224999996</v>
      </c>
      <c r="K29" s="201">
        <f t="shared" ref="K29:L29" si="8">K14+K19</f>
        <v>151841.52807</v>
      </c>
      <c r="L29" s="16">
        <f t="shared" si="8"/>
        <v>-70050.581250000003</v>
      </c>
      <c r="M29" s="16">
        <f t="shared" si="6"/>
        <v>2005314.63925</v>
      </c>
      <c r="N29" s="16">
        <f t="shared" si="6"/>
        <v>-52304.433999999994</v>
      </c>
      <c r="O29" s="16">
        <f t="shared" si="6"/>
        <v>-1810136.2690545479</v>
      </c>
      <c r="P29" s="16">
        <f>P14+P19</f>
        <v>55975402.671898596</v>
      </c>
    </row>
    <row r="30" spans="2:17" s="13" customFormat="1" x14ac:dyDescent="0.25">
      <c r="B30" s="12" t="s">
        <v>45</v>
      </c>
      <c r="C30" s="12"/>
      <c r="D30" s="75">
        <f t="shared" si="6"/>
        <v>73034304</v>
      </c>
      <c r="E30" s="16">
        <f t="shared" si="6"/>
        <v>8231195.1450351439</v>
      </c>
      <c r="F30" s="16">
        <f t="shared" si="6"/>
        <v>4255629.4601749191</v>
      </c>
      <c r="G30" s="16">
        <f t="shared" si="6"/>
        <v>278842.56103181583</v>
      </c>
      <c r="H30" s="16">
        <f t="shared" si="6"/>
        <v>180307.44284</v>
      </c>
      <c r="I30" s="16">
        <f t="shared" si="6"/>
        <v>49043.243762973201</v>
      </c>
      <c r="J30" s="16">
        <f t="shared" si="6"/>
        <v>354216.37440000003</v>
      </c>
      <c r="K30" s="201">
        <f t="shared" ref="K30:L30" si="9">K15+K20</f>
        <v>19771.49552</v>
      </c>
      <c r="L30" s="16">
        <f t="shared" si="9"/>
        <v>-32865.436800000003</v>
      </c>
      <c r="M30" s="16">
        <f t="shared" si="6"/>
        <v>932648.06208000006</v>
      </c>
      <c r="N30" s="16">
        <f t="shared" si="6"/>
        <v>-19719.26208</v>
      </c>
      <c r="O30" s="16">
        <f t="shared" si="6"/>
        <v>0</v>
      </c>
      <c r="P30" s="16">
        <f>P15+P20</f>
        <v>14249069.085964853</v>
      </c>
    </row>
    <row r="31" spans="2:17" s="13" customFormat="1" x14ac:dyDescent="0.25">
      <c r="B31" s="12" t="s">
        <v>46</v>
      </c>
      <c r="C31" s="12"/>
      <c r="D31" s="75">
        <f t="shared" si="6"/>
        <v>6068110</v>
      </c>
      <c r="E31" s="16">
        <f t="shared" si="6"/>
        <v>1264029.5076047436</v>
      </c>
      <c r="F31" s="16">
        <f t="shared" si="6"/>
        <v>2239538.0047376556</v>
      </c>
      <c r="G31" s="16">
        <f t="shared" si="6"/>
        <v>142614.81964710119</v>
      </c>
      <c r="H31" s="16">
        <f t="shared" si="6"/>
        <v>92112.266239999997</v>
      </c>
      <c r="I31" s="16">
        <f t="shared" si="6"/>
        <v>7949.2240999999995</v>
      </c>
      <c r="J31" s="16">
        <f t="shared" si="6"/>
        <v>65838.993499999997</v>
      </c>
      <c r="K31" s="201">
        <f t="shared" ref="K31:L31" si="10">K16+K21</f>
        <v>2689.8099199999997</v>
      </c>
      <c r="L31" s="16">
        <f t="shared" si="10"/>
        <v>-2184.5196000000001</v>
      </c>
      <c r="M31" s="16">
        <f t="shared" si="6"/>
        <v>63169.025099999999</v>
      </c>
      <c r="N31" s="16">
        <f t="shared" si="6"/>
        <v>-2002.4762999999998</v>
      </c>
      <c r="O31" s="16">
        <f t="shared" si="6"/>
        <v>-100022.01068802527</v>
      </c>
      <c r="P31" s="16">
        <f>P16+P21</f>
        <v>3773732.6442614752</v>
      </c>
    </row>
    <row r="32" spans="2:17" s="13" customFormat="1" x14ac:dyDescent="0.25">
      <c r="B32" s="12" t="s">
        <v>47</v>
      </c>
      <c r="C32" s="12"/>
      <c r="D32" s="75">
        <f t="shared" si="6"/>
        <v>163828422.40783477</v>
      </c>
      <c r="E32" s="16">
        <f t="shared" si="6"/>
        <v>7597247.8700000001</v>
      </c>
      <c r="F32" s="16">
        <f t="shared" si="6"/>
        <v>8662542.1300000008</v>
      </c>
      <c r="G32" s="16">
        <f t="shared" si="6"/>
        <v>566214.88</v>
      </c>
      <c r="H32" s="16">
        <f t="shared" si="6"/>
        <v>366130.46769232035</v>
      </c>
      <c r="I32" s="16">
        <f t="shared" si="6"/>
        <v>38763.347952827477</v>
      </c>
      <c r="J32" s="16">
        <f t="shared" si="6"/>
        <v>432507.03515668376</v>
      </c>
      <c r="K32" s="201">
        <f>K17+K22</f>
        <v>17428.370257522623</v>
      </c>
      <c r="L32" s="16">
        <f>L17+L22</f>
        <v>-21737.354498865046</v>
      </c>
      <c r="M32" s="16">
        <f>M17+M22</f>
        <v>627549.20376533957</v>
      </c>
      <c r="N32" s="16">
        <f t="shared" si="6"/>
        <v>-22935.979137096867</v>
      </c>
      <c r="O32" s="16">
        <f t="shared" si="6"/>
        <v>0</v>
      </c>
      <c r="P32" s="16">
        <f>P17+P22</f>
        <v>18263709.971188735</v>
      </c>
    </row>
    <row r="33" spans="2:16" s="13" customFormat="1" x14ac:dyDescent="0.25">
      <c r="B33" s="12" t="s">
        <v>13</v>
      </c>
      <c r="C33" s="12"/>
      <c r="D33" s="75">
        <f>D23</f>
        <v>30967900</v>
      </c>
      <c r="E33" s="16">
        <f>E23</f>
        <v>1638422.5923708156</v>
      </c>
      <c r="F33" s="16">
        <f t="shared" ref="F33:O33" si="11">F23</f>
        <v>0</v>
      </c>
      <c r="G33" s="16">
        <f t="shared" si="11"/>
        <v>0</v>
      </c>
      <c r="H33" s="16">
        <f t="shared" si="11"/>
        <v>0</v>
      </c>
      <c r="I33" s="16">
        <f t="shared" si="11"/>
        <v>0</v>
      </c>
      <c r="J33" s="16">
        <f t="shared" si="11"/>
        <v>40567.949000000001</v>
      </c>
      <c r="K33" s="201">
        <f t="shared" ref="K33:L33" si="12">K23</f>
        <v>0</v>
      </c>
      <c r="L33" s="16">
        <f t="shared" si="12"/>
        <v>0</v>
      </c>
      <c r="M33" s="16">
        <f t="shared" si="11"/>
        <v>0</v>
      </c>
      <c r="N33" s="16">
        <f t="shared" si="11"/>
        <v>-2167.7529999999997</v>
      </c>
      <c r="O33" s="16">
        <f t="shared" si="11"/>
        <v>0</v>
      </c>
      <c r="P33" s="16">
        <f>P23</f>
        <v>1676822.7883708156</v>
      </c>
    </row>
    <row r="34" spans="2:16" s="13" customFormat="1" x14ac:dyDescent="0.25">
      <c r="B34" s="12" t="s">
        <v>14</v>
      </c>
      <c r="C34" s="12"/>
      <c r="D34" s="142">
        <f>SUM(D27:D33)</f>
        <v>1252743002.4078348</v>
      </c>
      <c r="E34" s="18">
        <f>SUM(E27:E33)</f>
        <v>592277399.27363074</v>
      </c>
      <c r="F34" s="18">
        <f t="shared" ref="F34:O34" si="13">SUM(F27:F33)</f>
        <v>451797202.7556076</v>
      </c>
      <c r="G34" s="18">
        <f t="shared" si="13"/>
        <v>25899019.547461789</v>
      </c>
      <c r="H34" s="18">
        <f t="shared" si="13"/>
        <v>19865490.508122317</v>
      </c>
      <c r="I34" s="18">
        <f t="shared" si="13"/>
        <v>3326556.5132158007</v>
      </c>
      <c r="J34" s="18">
        <f t="shared" si="13"/>
        <v>22736075.877256684</v>
      </c>
      <c r="K34" s="202">
        <f t="shared" ref="K34" si="14">SUM(K27:K33)</f>
        <v>3016682.5172575219</v>
      </c>
      <c r="L34" s="18">
        <f t="shared" si="13"/>
        <v>-1600115.7125488652</v>
      </c>
      <c r="M34" s="18">
        <f t="shared" si="13"/>
        <v>45785578.555945344</v>
      </c>
      <c r="N34" s="18">
        <f t="shared" si="13"/>
        <v>-1336784.4981870966</v>
      </c>
      <c r="O34" s="18">
        <f t="shared" si="13"/>
        <v>20430460.922639426</v>
      </c>
      <c r="P34" s="18">
        <f>SUM(P27:P33)</f>
        <v>1182197566.2604015</v>
      </c>
    </row>
    <row r="35" spans="2:16" s="13" customFormat="1" x14ac:dyDescent="0.25"/>
    <row r="36" spans="2:16" ht="17.25" x14ac:dyDescent="0.25">
      <c r="B36" t="s">
        <v>392</v>
      </c>
      <c r="E36" s="40"/>
      <c r="I36" s="14"/>
      <c r="N36" s="14"/>
      <c r="O36" s="14"/>
      <c r="P36" s="14"/>
    </row>
    <row r="37" spans="2:16" ht="17.25" x14ac:dyDescent="0.25">
      <c r="B37" t="s">
        <v>285</v>
      </c>
    </row>
    <row r="38" spans="2:16" x14ac:dyDescent="0.25">
      <c r="B38" s="189" t="s">
        <v>388</v>
      </c>
    </row>
  </sheetData>
  <mergeCells count="4">
    <mergeCell ref="B1:P1"/>
    <mergeCell ref="B2:P2"/>
    <mergeCell ref="B3:P3"/>
    <mergeCell ref="B4:P4"/>
  </mergeCells>
  <printOptions horizontalCentered="1"/>
  <pageMargins left="0.45" right="0.45" top="0.75" bottom="0.75" header="0.3" footer="0.3"/>
  <pageSetup paperSize="5" scale="74" orientation="landscape" blackAndWhite="1" r:id="rId1"/>
  <headerFooter>
    <oddFooter>&amp;L&amp;F 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P37"/>
  <sheetViews>
    <sheetView zoomScale="90" zoomScaleNormal="90" workbookViewId="0">
      <pane xSplit="3" ySplit="9" topLeftCell="D10" activePane="bottomRight" state="frozenSplit"/>
      <selection activeCell="L36" sqref="L36"/>
      <selection pane="topRight" activeCell="L36" sqref="L36"/>
      <selection pane="bottomLeft" activeCell="L36" sqref="L36"/>
      <selection pane="bottomRight" activeCell="Q26" sqref="Q26"/>
    </sheetView>
  </sheetViews>
  <sheetFormatPr defaultRowHeight="15" x14ac:dyDescent="0.25"/>
  <cols>
    <col min="1" max="1" width="2.85546875" customWidth="1"/>
    <col min="2" max="2" width="37.5703125" customWidth="1"/>
    <col min="3" max="3" width="8.42578125" bestFit="1" customWidth="1"/>
    <col min="4" max="4" width="15" bestFit="1" customWidth="1"/>
    <col min="5" max="5" width="15.5703125" bestFit="1" customWidth="1"/>
    <col min="6" max="6" width="14.5703125" bestFit="1" customWidth="1"/>
    <col min="7" max="8" width="13.28515625" bestFit="1" customWidth="1"/>
    <col min="9" max="9" width="12.140625" bestFit="1" customWidth="1"/>
    <col min="10" max="10" width="13.28515625" bestFit="1" customWidth="1"/>
    <col min="11" max="11" width="14" bestFit="1" customWidth="1"/>
    <col min="12" max="12" width="14.5703125" bestFit="1" customWidth="1"/>
    <col min="13" max="13" width="12.85546875" bestFit="1" customWidth="1"/>
    <col min="14" max="14" width="13.28515625" bestFit="1" customWidth="1"/>
    <col min="15" max="15" width="15.7109375" bestFit="1" customWidth="1"/>
    <col min="16" max="16" width="13.7109375" bestFit="1" customWidth="1"/>
  </cols>
  <sheetData>
    <row r="1" spans="2:15" x14ac:dyDescent="0.25">
      <c r="B1" s="217" t="s">
        <v>0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</row>
    <row r="2" spans="2:15" x14ac:dyDescent="0.25">
      <c r="B2" s="217" t="str">
        <f>'Rate Impacts_RY#1'!B2:AC2</f>
        <v>2022 Gas General Rate Case Filing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2:15" x14ac:dyDescent="0.25">
      <c r="B3" s="218" t="s">
        <v>257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2:15" x14ac:dyDescent="0.25">
      <c r="B4" s="218" t="s">
        <v>282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5" spans="2:15" x14ac:dyDescent="0.25">
      <c r="L5" s="3"/>
    </row>
    <row r="6" spans="2:15" x14ac:dyDescent="0.25">
      <c r="D6" s="3" t="s">
        <v>15</v>
      </c>
      <c r="L6" s="3"/>
    </row>
    <row r="7" spans="2:15" x14ac:dyDescent="0.25">
      <c r="B7" s="3"/>
      <c r="C7" s="3"/>
      <c r="D7" s="3" t="s">
        <v>121</v>
      </c>
      <c r="E7" s="3"/>
      <c r="F7" s="3"/>
      <c r="G7" s="3"/>
      <c r="H7" s="3"/>
      <c r="I7" s="3"/>
      <c r="J7" s="3"/>
      <c r="K7" s="3"/>
      <c r="L7" s="3"/>
      <c r="M7" s="3"/>
      <c r="N7" s="3"/>
      <c r="O7" s="66" t="s">
        <v>252</v>
      </c>
    </row>
    <row r="8" spans="2:15" x14ac:dyDescent="0.25">
      <c r="B8" s="3"/>
      <c r="C8" s="3" t="s">
        <v>17</v>
      </c>
      <c r="D8" s="66" t="s">
        <v>283</v>
      </c>
      <c r="E8" s="3" t="s">
        <v>268</v>
      </c>
      <c r="F8" s="3" t="s">
        <v>18</v>
      </c>
      <c r="G8" s="3" t="s">
        <v>19</v>
      </c>
      <c r="H8" s="3" t="s">
        <v>49</v>
      </c>
      <c r="I8" s="3" t="s">
        <v>80</v>
      </c>
      <c r="J8" s="3" t="s">
        <v>16</v>
      </c>
      <c r="K8" s="3" t="s">
        <v>272</v>
      </c>
      <c r="L8" s="3" t="s">
        <v>273</v>
      </c>
      <c r="M8" s="3" t="s">
        <v>171</v>
      </c>
      <c r="N8" s="3" t="s">
        <v>134</v>
      </c>
      <c r="O8" s="3" t="s">
        <v>136</v>
      </c>
    </row>
    <row r="9" spans="2:15" ht="15" customHeight="1" x14ac:dyDescent="0.25">
      <c r="B9" s="80" t="s">
        <v>4</v>
      </c>
      <c r="C9" s="80" t="s">
        <v>21</v>
      </c>
      <c r="D9" s="73" t="s">
        <v>284</v>
      </c>
      <c r="E9" s="80" t="s">
        <v>137</v>
      </c>
      <c r="F9" s="80" t="s">
        <v>2</v>
      </c>
      <c r="G9" s="80" t="s">
        <v>2</v>
      </c>
      <c r="H9" s="80" t="s">
        <v>2</v>
      </c>
      <c r="I9" s="80" t="s">
        <v>2</v>
      </c>
      <c r="J9" s="80" t="s">
        <v>2</v>
      </c>
      <c r="K9" s="80" t="s">
        <v>137</v>
      </c>
      <c r="L9" s="80" t="s">
        <v>137</v>
      </c>
      <c r="M9" s="80" t="s">
        <v>2</v>
      </c>
      <c r="N9" s="80" t="s">
        <v>2</v>
      </c>
      <c r="O9" s="80" t="s">
        <v>173</v>
      </c>
    </row>
    <row r="10" spans="2:15" x14ac:dyDescent="0.25">
      <c r="B10" s="3" t="s">
        <v>25</v>
      </c>
      <c r="C10" s="3" t="s">
        <v>26</v>
      </c>
      <c r="D10" s="3" t="s">
        <v>27</v>
      </c>
      <c r="E10" s="3" t="s">
        <v>28</v>
      </c>
      <c r="F10" s="3" t="s">
        <v>243</v>
      </c>
      <c r="G10" s="3" t="s">
        <v>132</v>
      </c>
      <c r="H10" s="3" t="s">
        <v>133</v>
      </c>
      <c r="I10" s="4" t="s">
        <v>78</v>
      </c>
      <c r="J10" s="3" t="s">
        <v>129</v>
      </c>
      <c r="K10" s="4" t="s">
        <v>29</v>
      </c>
      <c r="L10" s="4" t="s">
        <v>50</v>
      </c>
      <c r="M10" s="4" t="s">
        <v>79</v>
      </c>
      <c r="N10" s="3" t="s">
        <v>130</v>
      </c>
      <c r="O10" s="4" t="s">
        <v>244</v>
      </c>
    </row>
    <row r="11" spans="2:15" x14ac:dyDescent="0.25">
      <c r="B11" t="s">
        <v>7</v>
      </c>
      <c r="C11" s="5" t="s">
        <v>30</v>
      </c>
      <c r="D11" s="47"/>
      <c r="E11" s="37"/>
      <c r="F11" s="120"/>
      <c r="G11" s="37"/>
      <c r="H11" s="37"/>
      <c r="I11" s="37"/>
      <c r="J11" s="37"/>
      <c r="K11" s="37"/>
      <c r="L11" s="37"/>
      <c r="M11" s="37"/>
      <c r="N11" s="37"/>
      <c r="O11" s="38">
        <f t="shared" ref="O11:O23" si="0">SUM(E11:N11)</f>
        <v>0</v>
      </c>
    </row>
    <row r="12" spans="2:15" x14ac:dyDescent="0.25">
      <c r="B12" t="s">
        <v>31</v>
      </c>
      <c r="C12" s="5">
        <v>16</v>
      </c>
      <c r="D12" s="47"/>
      <c r="E12" s="37"/>
      <c r="F12" s="120"/>
      <c r="G12" s="37"/>
      <c r="H12" s="37"/>
      <c r="I12" s="37"/>
      <c r="J12" s="37"/>
      <c r="K12" s="37"/>
      <c r="L12" s="37"/>
      <c r="M12" s="37"/>
      <c r="N12" s="37"/>
      <c r="O12" s="38">
        <f t="shared" si="0"/>
        <v>0</v>
      </c>
    </row>
    <row r="13" spans="2:15" x14ac:dyDescent="0.25">
      <c r="B13" t="s">
        <v>8</v>
      </c>
      <c r="C13" s="5">
        <v>31</v>
      </c>
      <c r="D13" s="47"/>
      <c r="E13" s="37"/>
      <c r="F13" s="120"/>
      <c r="G13" s="37"/>
      <c r="H13" s="37"/>
      <c r="I13" s="37"/>
      <c r="J13" s="37"/>
      <c r="K13" s="37"/>
      <c r="L13" s="37"/>
      <c r="M13" s="37"/>
      <c r="N13" s="37"/>
      <c r="O13" s="38">
        <f t="shared" si="0"/>
        <v>0</v>
      </c>
    </row>
    <row r="14" spans="2:15" x14ac:dyDescent="0.25">
      <c r="B14" t="s">
        <v>9</v>
      </c>
      <c r="C14" s="5">
        <v>41</v>
      </c>
      <c r="D14" s="47"/>
      <c r="E14" s="37"/>
      <c r="F14" s="120"/>
      <c r="G14" s="37"/>
      <c r="H14" s="37"/>
      <c r="I14" s="37"/>
      <c r="J14" s="37"/>
      <c r="K14" s="37"/>
      <c r="L14" s="37"/>
      <c r="M14" s="37"/>
      <c r="N14" s="37"/>
      <c r="O14" s="38">
        <f t="shared" si="0"/>
        <v>0</v>
      </c>
    </row>
    <row r="15" spans="2:15" x14ac:dyDescent="0.25">
      <c r="B15" t="s">
        <v>10</v>
      </c>
      <c r="C15" s="5">
        <v>85</v>
      </c>
      <c r="D15" s="47"/>
      <c r="E15" s="37"/>
      <c r="F15" s="120"/>
      <c r="G15" s="37"/>
      <c r="H15" s="37"/>
      <c r="I15" s="37"/>
      <c r="J15" s="37"/>
      <c r="K15" s="37"/>
      <c r="L15" s="37"/>
      <c r="M15" s="37"/>
      <c r="N15" s="37"/>
      <c r="O15" s="38">
        <f t="shared" si="0"/>
        <v>0</v>
      </c>
    </row>
    <row r="16" spans="2:15" x14ac:dyDescent="0.25">
      <c r="B16" t="s">
        <v>11</v>
      </c>
      <c r="C16" s="5">
        <v>86</v>
      </c>
      <c r="D16" s="47"/>
      <c r="E16" s="37"/>
      <c r="F16" s="120"/>
      <c r="G16" s="37"/>
      <c r="H16" s="37"/>
      <c r="I16" s="37"/>
      <c r="J16" s="37"/>
      <c r="K16" s="37"/>
      <c r="L16" s="37"/>
      <c r="M16" s="37"/>
      <c r="N16" s="37"/>
      <c r="O16" s="38">
        <f t="shared" si="0"/>
        <v>0</v>
      </c>
    </row>
    <row r="17" spans="2:16" x14ac:dyDescent="0.25">
      <c r="B17" t="s">
        <v>12</v>
      </c>
      <c r="C17" s="5">
        <v>87</v>
      </c>
      <c r="D17" s="47"/>
      <c r="E17" s="37"/>
      <c r="F17" s="120"/>
      <c r="G17" s="37"/>
      <c r="H17" s="37"/>
      <c r="I17" s="37"/>
      <c r="J17" s="37"/>
      <c r="K17" s="37"/>
      <c r="L17" s="37"/>
      <c r="M17" s="37"/>
      <c r="N17" s="37"/>
      <c r="O17" s="38">
        <f t="shared" si="0"/>
        <v>0</v>
      </c>
    </row>
    <row r="18" spans="2:16" x14ac:dyDescent="0.25">
      <c r="B18" t="s">
        <v>32</v>
      </c>
      <c r="C18" s="5" t="s">
        <v>33</v>
      </c>
      <c r="D18" s="47"/>
      <c r="E18" s="37"/>
      <c r="F18" s="55"/>
      <c r="G18" s="55"/>
      <c r="H18" s="37"/>
      <c r="I18" s="37"/>
      <c r="J18" s="37"/>
      <c r="K18" s="37"/>
      <c r="L18" s="37"/>
      <c r="M18" s="37"/>
      <c r="N18" s="37"/>
      <c r="O18" s="38">
        <f t="shared" si="0"/>
        <v>0</v>
      </c>
    </row>
    <row r="19" spans="2:16" x14ac:dyDescent="0.25">
      <c r="B19" t="s">
        <v>34</v>
      </c>
      <c r="C19" t="s">
        <v>35</v>
      </c>
      <c r="D19" s="47"/>
      <c r="E19" s="37"/>
      <c r="F19" s="55"/>
      <c r="G19" s="55"/>
      <c r="H19" s="37"/>
      <c r="I19" s="37"/>
      <c r="J19" s="37"/>
      <c r="K19" s="37"/>
      <c r="L19" s="37"/>
      <c r="M19" s="37"/>
      <c r="N19" s="37"/>
      <c r="O19" s="38">
        <f t="shared" si="0"/>
        <v>0</v>
      </c>
    </row>
    <row r="20" spans="2:16" x14ac:dyDescent="0.25">
      <c r="B20" t="s">
        <v>36</v>
      </c>
      <c r="C20" t="s">
        <v>37</v>
      </c>
      <c r="D20" s="47"/>
      <c r="E20" s="37"/>
      <c r="F20" s="55"/>
      <c r="G20" s="55"/>
      <c r="H20" s="37"/>
      <c r="I20" s="37"/>
      <c r="J20" s="37"/>
      <c r="K20" s="37"/>
      <c r="L20" s="37"/>
      <c r="M20" s="37"/>
      <c r="N20" s="37"/>
      <c r="O20" s="38">
        <f t="shared" si="0"/>
        <v>0</v>
      </c>
    </row>
    <row r="21" spans="2:16" x14ac:dyDescent="0.25">
      <c r="B21" t="s">
        <v>38</v>
      </c>
      <c r="C21" t="s">
        <v>39</v>
      </c>
      <c r="D21" s="47"/>
      <c r="E21" s="37"/>
      <c r="F21" s="55"/>
      <c r="G21" s="55"/>
      <c r="H21" s="37"/>
      <c r="I21" s="37"/>
      <c r="J21" s="37"/>
      <c r="K21" s="37"/>
      <c r="L21" s="37"/>
      <c r="M21" s="37"/>
      <c r="N21" s="37"/>
      <c r="O21" s="38">
        <f t="shared" si="0"/>
        <v>0</v>
      </c>
    </row>
    <row r="22" spans="2:16" x14ac:dyDescent="0.25">
      <c r="B22" t="s">
        <v>40</v>
      </c>
      <c r="C22" t="s">
        <v>41</v>
      </c>
      <c r="D22" s="4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8">
        <f t="shared" si="0"/>
        <v>0</v>
      </c>
    </row>
    <row r="23" spans="2:16" x14ac:dyDescent="0.25">
      <c r="B23" t="s">
        <v>13</v>
      </c>
      <c r="D23" s="4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8">
        <f t="shared" si="0"/>
        <v>0</v>
      </c>
    </row>
    <row r="24" spans="2:16" x14ac:dyDescent="0.25">
      <c r="B24" t="s">
        <v>6</v>
      </c>
      <c r="D24" s="10">
        <f>SUM(D11:D23)</f>
        <v>0</v>
      </c>
      <c r="E24" s="11">
        <f>SUM(E11:E23)</f>
        <v>0</v>
      </c>
      <c r="F24" s="11">
        <f t="shared" ref="F24:H24" si="1">SUM(F11:F23)</f>
        <v>0</v>
      </c>
      <c r="G24" s="11">
        <f t="shared" si="1"/>
        <v>0</v>
      </c>
      <c r="H24" s="11">
        <f t="shared" si="1"/>
        <v>0</v>
      </c>
      <c r="I24" s="11">
        <f>SUM(I11:I23)</f>
        <v>0</v>
      </c>
      <c r="J24" s="11">
        <f>SUM(J11:J23)</f>
        <v>0</v>
      </c>
      <c r="K24" s="11">
        <f>SUM(K11:K23)</f>
        <v>0</v>
      </c>
      <c r="L24" s="11">
        <f>SUM(L11:L23)</f>
        <v>0</v>
      </c>
      <c r="M24" s="11">
        <f>SUM(M11:M23)</f>
        <v>0</v>
      </c>
      <c r="N24" s="11">
        <f t="shared" ref="N24:O24" si="2">SUM(N11:N23)</f>
        <v>0</v>
      </c>
      <c r="O24" s="39">
        <f t="shared" si="2"/>
        <v>0</v>
      </c>
      <c r="P24" s="8"/>
    </row>
    <row r="25" spans="2:16" x14ac:dyDescent="0.25">
      <c r="D25" s="14"/>
      <c r="I25" s="8"/>
      <c r="M25" s="8"/>
      <c r="N25" s="8"/>
      <c r="O25" s="8"/>
    </row>
    <row r="26" spans="2:16" s="13" customFormat="1" x14ac:dyDescent="0.25">
      <c r="B26" s="102" t="s">
        <v>160</v>
      </c>
      <c r="C26" s="15"/>
    </row>
    <row r="27" spans="2:16" s="13" customFormat="1" x14ac:dyDescent="0.25">
      <c r="B27" s="12" t="s">
        <v>42</v>
      </c>
      <c r="C27" s="12"/>
      <c r="D27" s="75">
        <f>D11+D12</f>
        <v>0</v>
      </c>
      <c r="E27" s="16">
        <f>E11+E12</f>
        <v>0</v>
      </c>
      <c r="F27" s="16">
        <f t="shared" ref="F27:N27" si="3">F11+F12</f>
        <v>0</v>
      </c>
      <c r="G27" s="16">
        <f t="shared" si="3"/>
        <v>0</v>
      </c>
      <c r="H27" s="16">
        <f t="shared" si="3"/>
        <v>0</v>
      </c>
      <c r="I27" s="16">
        <f t="shared" si="3"/>
        <v>0</v>
      </c>
      <c r="J27" s="16">
        <f t="shared" si="3"/>
        <v>0</v>
      </c>
      <c r="K27" s="16">
        <f t="shared" ref="K27" si="4">K11+K12</f>
        <v>0</v>
      </c>
      <c r="L27" s="16">
        <f t="shared" si="3"/>
        <v>0</v>
      </c>
      <c r="M27" s="16">
        <f t="shared" si="3"/>
        <v>0</v>
      </c>
      <c r="N27" s="16">
        <f t="shared" si="3"/>
        <v>0</v>
      </c>
      <c r="O27" s="16">
        <f>O11+O12</f>
        <v>0</v>
      </c>
      <c r="P27" s="17"/>
    </row>
    <row r="28" spans="2:16" s="13" customFormat="1" x14ac:dyDescent="0.25">
      <c r="B28" s="12" t="s">
        <v>43</v>
      </c>
      <c r="C28" s="12"/>
      <c r="D28" s="75">
        <f t="shared" ref="D28:N32" si="5">D13+D18</f>
        <v>0</v>
      </c>
      <c r="E28" s="16">
        <f t="shared" si="5"/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16">
        <f t="shared" ref="K28" si="6">K13+K18</f>
        <v>0</v>
      </c>
      <c r="L28" s="16">
        <f t="shared" si="5"/>
        <v>0</v>
      </c>
      <c r="M28" s="16">
        <f t="shared" si="5"/>
        <v>0</v>
      </c>
      <c r="N28" s="16">
        <f t="shared" si="5"/>
        <v>0</v>
      </c>
      <c r="O28" s="16">
        <f>O13+O18</f>
        <v>0</v>
      </c>
    </row>
    <row r="29" spans="2:16" s="13" customFormat="1" x14ac:dyDescent="0.25">
      <c r="B29" s="12" t="s">
        <v>44</v>
      </c>
      <c r="C29" s="12"/>
      <c r="D29" s="75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  <c r="H29" s="16">
        <f t="shared" si="5"/>
        <v>0</v>
      </c>
      <c r="I29" s="16">
        <f t="shared" si="5"/>
        <v>0</v>
      </c>
      <c r="J29" s="16">
        <f t="shared" si="5"/>
        <v>0</v>
      </c>
      <c r="K29" s="16">
        <f t="shared" ref="K29" si="7">K14+K19</f>
        <v>0</v>
      </c>
      <c r="L29" s="16">
        <f t="shared" si="5"/>
        <v>0</v>
      </c>
      <c r="M29" s="16">
        <f t="shared" si="5"/>
        <v>0</v>
      </c>
      <c r="N29" s="16">
        <f t="shared" si="5"/>
        <v>0</v>
      </c>
      <c r="O29" s="16">
        <f>O14+O19</f>
        <v>0</v>
      </c>
    </row>
    <row r="30" spans="2:16" s="13" customFormat="1" x14ac:dyDescent="0.25">
      <c r="B30" s="12" t="s">
        <v>45</v>
      </c>
      <c r="C30" s="12"/>
      <c r="D30" s="75">
        <f t="shared" si="5"/>
        <v>0</v>
      </c>
      <c r="E30" s="16">
        <f t="shared" si="5"/>
        <v>0</v>
      </c>
      <c r="F30" s="16">
        <f t="shared" si="5"/>
        <v>0</v>
      </c>
      <c r="G30" s="16">
        <f t="shared" si="5"/>
        <v>0</v>
      </c>
      <c r="H30" s="16">
        <f t="shared" si="5"/>
        <v>0</v>
      </c>
      <c r="I30" s="16">
        <f t="shared" si="5"/>
        <v>0</v>
      </c>
      <c r="J30" s="16">
        <f t="shared" si="5"/>
        <v>0</v>
      </c>
      <c r="K30" s="16">
        <f t="shared" ref="K30" si="8">K15+K20</f>
        <v>0</v>
      </c>
      <c r="L30" s="16">
        <f t="shared" si="5"/>
        <v>0</v>
      </c>
      <c r="M30" s="16">
        <f t="shared" si="5"/>
        <v>0</v>
      </c>
      <c r="N30" s="16">
        <f t="shared" si="5"/>
        <v>0</v>
      </c>
      <c r="O30" s="16">
        <f>O15+O20</f>
        <v>0</v>
      </c>
    </row>
    <row r="31" spans="2:16" s="13" customFormat="1" x14ac:dyDescent="0.25">
      <c r="B31" s="12" t="s">
        <v>46</v>
      </c>
      <c r="C31" s="12"/>
      <c r="D31" s="75">
        <f t="shared" si="5"/>
        <v>0</v>
      </c>
      <c r="E31" s="16">
        <f t="shared" si="5"/>
        <v>0</v>
      </c>
      <c r="F31" s="16">
        <f t="shared" si="5"/>
        <v>0</v>
      </c>
      <c r="G31" s="16">
        <f t="shared" si="5"/>
        <v>0</v>
      </c>
      <c r="H31" s="16">
        <f t="shared" si="5"/>
        <v>0</v>
      </c>
      <c r="I31" s="16">
        <f t="shared" si="5"/>
        <v>0</v>
      </c>
      <c r="J31" s="16">
        <f t="shared" si="5"/>
        <v>0</v>
      </c>
      <c r="K31" s="16">
        <f t="shared" ref="K31" si="9">K16+K21</f>
        <v>0</v>
      </c>
      <c r="L31" s="16">
        <f t="shared" si="5"/>
        <v>0</v>
      </c>
      <c r="M31" s="16">
        <f t="shared" si="5"/>
        <v>0</v>
      </c>
      <c r="N31" s="16">
        <f t="shared" si="5"/>
        <v>0</v>
      </c>
      <c r="O31" s="16">
        <f>O16+O21</f>
        <v>0</v>
      </c>
    </row>
    <row r="32" spans="2:16" s="13" customFormat="1" x14ac:dyDescent="0.25">
      <c r="B32" s="12" t="s">
        <v>47</v>
      </c>
      <c r="C32" s="12"/>
      <c r="D32" s="75">
        <f t="shared" si="5"/>
        <v>0</v>
      </c>
      <c r="E32" s="16">
        <f t="shared" si="5"/>
        <v>0</v>
      </c>
      <c r="F32" s="16">
        <f t="shared" si="5"/>
        <v>0</v>
      </c>
      <c r="G32" s="16">
        <f t="shared" si="5"/>
        <v>0</v>
      </c>
      <c r="H32" s="16">
        <f t="shared" si="5"/>
        <v>0</v>
      </c>
      <c r="I32" s="16">
        <f t="shared" si="5"/>
        <v>0</v>
      </c>
      <c r="J32" s="16">
        <f t="shared" si="5"/>
        <v>0</v>
      </c>
      <c r="K32" s="16">
        <f t="shared" ref="K32" si="10">K17+K22</f>
        <v>0</v>
      </c>
      <c r="L32" s="16">
        <f t="shared" si="5"/>
        <v>0</v>
      </c>
      <c r="M32" s="16">
        <f t="shared" si="5"/>
        <v>0</v>
      </c>
      <c r="N32" s="16">
        <f t="shared" si="5"/>
        <v>0</v>
      </c>
      <c r="O32" s="16">
        <f>O17+O22</f>
        <v>0</v>
      </c>
    </row>
    <row r="33" spans="2:15" s="13" customFormat="1" x14ac:dyDescent="0.25">
      <c r="B33" s="12" t="s">
        <v>13</v>
      </c>
      <c r="C33" s="12"/>
      <c r="D33" s="75">
        <f>D23</f>
        <v>0</v>
      </c>
      <c r="E33" s="16">
        <f>E23</f>
        <v>0</v>
      </c>
      <c r="F33" s="16">
        <f t="shared" ref="F33:N33" si="11">F23</f>
        <v>0</v>
      </c>
      <c r="G33" s="16">
        <f t="shared" si="11"/>
        <v>0</v>
      </c>
      <c r="H33" s="16">
        <f t="shared" si="11"/>
        <v>0</v>
      </c>
      <c r="I33" s="16">
        <f t="shared" si="11"/>
        <v>0</v>
      </c>
      <c r="J33" s="16">
        <f t="shared" si="11"/>
        <v>0</v>
      </c>
      <c r="K33" s="16">
        <f t="shared" ref="K33" si="12">K23</f>
        <v>0</v>
      </c>
      <c r="L33" s="16">
        <f t="shared" si="11"/>
        <v>0</v>
      </c>
      <c r="M33" s="16">
        <f t="shared" si="11"/>
        <v>0</v>
      </c>
      <c r="N33" s="16">
        <f t="shared" si="11"/>
        <v>0</v>
      </c>
      <c r="O33" s="16">
        <f>O23</f>
        <v>0</v>
      </c>
    </row>
    <row r="34" spans="2:15" s="13" customFormat="1" x14ac:dyDescent="0.25">
      <c r="B34" s="12" t="s">
        <v>14</v>
      </c>
      <c r="C34" s="12"/>
      <c r="D34" s="142">
        <f>SUM(D27:D33)</f>
        <v>0</v>
      </c>
      <c r="E34" s="18">
        <f>SUM(E27:E33)</f>
        <v>0</v>
      </c>
      <c r="F34" s="18">
        <f t="shared" ref="F34:N34" si="13">SUM(F27:F33)</f>
        <v>0</v>
      </c>
      <c r="G34" s="18">
        <f t="shared" si="13"/>
        <v>0</v>
      </c>
      <c r="H34" s="18">
        <f t="shared" si="13"/>
        <v>0</v>
      </c>
      <c r="I34" s="18">
        <f t="shared" si="13"/>
        <v>0</v>
      </c>
      <c r="J34" s="18">
        <f t="shared" si="13"/>
        <v>0</v>
      </c>
      <c r="K34" s="18">
        <f t="shared" si="13"/>
        <v>0</v>
      </c>
      <c r="L34" s="18">
        <f t="shared" si="13"/>
        <v>0</v>
      </c>
      <c r="M34" s="18">
        <f t="shared" si="13"/>
        <v>0</v>
      </c>
      <c r="N34" s="18">
        <f t="shared" si="13"/>
        <v>0</v>
      </c>
      <c r="O34" s="18">
        <f>SUM(O27:O33)</f>
        <v>0</v>
      </c>
    </row>
    <row r="35" spans="2:15" s="13" customFormat="1" x14ac:dyDescent="0.25"/>
    <row r="36" spans="2:15" ht="17.25" x14ac:dyDescent="0.25">
      <c r="B36" t="s">
        <v>338</v>
      </c>
      <c r="E36" s="40"/>
      <c r="I36" s="14"/>
      <c r="M36" s="14"/>
      <c r="N36" s="14"/>
      <c r="O36" s="14"/>
    </row>
    <row r="37" spans="2:15" ht="17.25" x14ac:dyDescent="0.25">
      <c r="B37" t="s">
        <v>286</v>
      </c>
    </row>
  </sheetData>
  <mergeCells count="4">
    <mergeCell ref="B1:O1"/>
    <mergeCell ref="B2:O2"/>
    <mergeCell ref="B3:O3"/>
    <mergeCell ref="B4:O4"/>
  </mergeCells>
  <printOptions horizontalCentered="1"/>
  <pageMargins left="0.45" right="0.45" top="0.75" bottom="0.75" header="0.3" footer="0.3"/>
  <pageSetup paperSize="5" scale="63" orientation="landscape" blackAndWhite="1" r:id="rId1"/>
  <headerFooter>
    <oddFooter>&amp;L&amp;F 
&amp;A&amp;C&amp;P&amp;R&amp;D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"/>
  <sheetViews>
    <sheetView workbookViewId="0">
      <selection activeCell="F38" sqref="F38"/>
    </sheetView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42"/>
  <sheetViews>
    <sheetView zoomScale="90" zoomScaleNormal="90" workbookViewId="0">
      <pane ySplit="8" topLeftCell="A9" activePane="bottomLeft" state="frozen"/>
      <selection pane="bottomLeft" activeCell="L39" sqref="L39"/>
    </sheetView>
  </sheetViews>
  <sheetFormatPr defaultColWidth="8.7109375" defaultRowHeight="15" x14ac:dyDescent="0.25"/>
  <cols>
    <col min="1" max="1" width="3.28515625" customWidth="1"/>
    <col min="2" max="2" width="38.7109375" customWidth="1"/>
    <col min="3" max="3" width="9.140625" bestFit="1" customWidth="1"/>
    <col min="4" max="4" width="18.5703125" bestFit="1" customWidth="1"/>
    <col min="5" max="6" width="13.7109375" customWidth="1"/>
    <col min="7" max="9" width="14.42578125" customWidth="1"/>
    <col min="10" max="10" width="7.85546875" bestFit="1" customWidth="1"/>
    <col min="12" max="12" width="12.28515625" bestFit="1" customWidth="1"/>
  </cols>
  <sheetData>
    <row r="1" spans="1:12" s="43" customFormat="1" ht="15" customHeight="1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42"/>
    </row>
    <row r="2" spans="1:12" s="43" customFormat="1" ht="15" customHeight="1" x14ac:dyDescent="0.25">
      <c r="A2" s="218" t="s">
        <v>146</v>
      </c>
      <c r="B2" s="218"/>
      <c r="C2" s="218"/>
      <c r="D2" s="218"/>
      <c r="E2" s="218"/>
      <c r="F2" s="218"/>
      <c r="G2" s="218"/>
      <c r="H2" s="218"/>
      <c r="I2" s="218"/>
      <c r="J2" s="218"/>
      <c r="K2" s="42"/>
    </row>
    <row r="3" spans="1:12" s="43" customFormat="1" ht="15" customHeight="1" x14ac:dyDescent="0.25">
      <c r="A3" s="218" t="s">
        <v>147</v>
      </c>
      <c r="B3" s="218"/>
      <c r="C3" s="218"/>
      <c r="D3" s="218"/>
      <c r="E3" s="218"/>
      <c r="F3" s="218"/>
      <c r="G3" s="218"/>
      <c r="H3" s="218"/>
      <c r="I3" s="218"/>
      <c r="J3" s="218"/>
      <c r="K3" s="42"/>
    </row>
    <row r="4" spans="1:12" s="43" customFormat="1" ht="15" customHeight="1" x14ac:dyDescent="0.25">
      <c r="A4" s="217" t="s">
        <v>201</v>
      </c>
      <c r="B4" s="217"/>
      <c r="C4" s="217"/>
      <c r="D4" s="217"/>
      <c r="E4" s="217"/>
      <c r="F4" s="217"/>
      <c r="G4" s="217"/>
      <c r="H4" s="217"/>
      <c r="I4" s="217"/>
      <c r="J4" s="217"/>
      <c r="K4" s="42"/>
    </row>
    <row r="5" spans="1:12" x14ac:dyDescent="0.25">
      <c r="E5" s="3"/>
      <c r="F5" s="3"/>
    </row>
    <row r="6" spans="1:12" x14ac:dyDescent="0.25">
      <c r="B6" s="3"/>
      <c r="C6" s="3"/>
      <c r="D6" s="3" t="s">
        <v>15</v>
      </c>
      <c r="E6" s="3" t="s">
        <v>5</v>
      </c>
      <c r="F6" s="3" t="s">
        <v>1</v>
      </c>
      <c r="G6" s="3" t="s">
        <v>15</v>
      </c>
      <c r="H6" s="3" t="s">
        <v>15</v>
      </c>
      <c r="I6" s="3" t="s">
        <v>18</v>
      </c>
      <c r="J6" s="3"/>
    </row>
    <row r="7" spans="1:12" x14ac:dyDescent="0.25">
      <c r="B7" s="3"/>
      <c r="C7" s="3"/>
      <c r="D7" s="3" t="s">
        <v>3</v>
      </c>
      <c r="E7" s="3" t="s">
        <v>18</v>
      </c>
      <c r="F7" s="3" t="s">
        <v>18</v>
      </c>
      <c r="G7" s="3" t="s">
        <v>2</v>
      </c>
      <c r="H7" s="3" t="s">
        <v>2</v>
      </c>
      <c r="I7" s="3" t="s">
        <v>2</v>
      </c>
      <c r="J7" s="3" t="s">
        <v>20</v>
      </c>
    </row>
    <row r="8" spans="1:12" x14ac:dyDescent="0.25">
      <c r="A8" s="76"/>
      <c r="B8" s="72" t="s">
        <v>111</v>
      </c>
      <c r="C8" s="72" t="s">
        <v>119</v>
      </c>
      <c r="D8" s="73" t="s">
        <v>212</v>
      </c>
      <c r="E8" s="80" t="s">
        <v>22</v>
      </c>
      <c r="F8" s="80" t="s">
        <v>22</v>
      </c>
      <c r="G8" s="80" t="s">
        <v>23</v>
      </c>
      <c r="H8" s="80" t="s">
        <v>131</v>
      </c>
      <c r="I8" s="104" t="s">
        <v>24</v>
      </c>
      <c r="J8" s="80" t="s">
        <v>24</v>
      </c>
    </row>
    <row r="9" spans="1:12" x14ac:dyDescent="0.25">
      <c r="A9" s="45" t="s">
        <v>112</v>
      </c>
      <c r="B9" s="43"/>
      <c r="C9" s="45"/>
      <c r="D9" s="3"/>
      <c r="E9" s="3"/>
      <c r="F9" s="3"/>
      <c r="G9" s="4"/>
      <c r="H9" s="4"/>
      <c r="I9" s="3"/>
      <c r="J9" s="3"/>
    </row>
    <row r="10" spans="1:12" x14ac:dyDescent="0.25">
      <c r="A10" s="43"/>
      <c r="B10" s="43" t="s">
        <v>120</v>
      </c>
      <c r="C10" s="43" t="s">
        <v>121</v>
      </c>
      <c r="D10" s="47">
        <f>Therms_CY2023!P10</f>
        <v>636369361</v>
      </c>
      <c r="E10" s="7">
        <v>0.46339999999999998</v>
      </c>
      <c r="F10" s="7">
        <v>0.46339999999999998</v>
      </c>
      <c r="G10" s="38">
        <f>ROUND(E10*D10,2)</f>
        <v>294893561.88999999</v>
      </c>
      <c r="H10" s="38">
        <f>ROUND(F10*D10,2)</f>
        <v>294893561.88999999</v>
      </c>
      <c r="I10" s="8">
        <f>H10-G10</f>
        <v>0</v>
      </c>
      <c r="J10" s="1">
        <f>I10/G10</f>
        <v>0</v>
      </c>
      <c r="L10" s="8"/>
    </row>
    <row r="11" spans="1:12" x14ac:dyDescent="0.25">
      <c r="A11" s="43"/>
      <c r="B11" s="46"/>
      <c r="C11" s="46"/>
      <c r="D11" s="47"/>
      <c r="E11" s="7"/>
      <c r="F11" s="7"/>
      <c r="G11" s="38"/>
      <c r="H11" s="38"/>
      <c r="I11" s="8"/>
      <c r="J11" s="1"/>
    </row>
    <row r="12" spans="1:12" x14ac:dyDescent="0.25">
      <c r="A12" s="45" t="s">
        <v>113</v>
      </c>
      <c r="B12" s="43"/>
      <c r="C12" s="45"/>
      <c r="D12" s="47"/>
      <c r="E12" s="7"/>
      <c r="F12" s="7"/>
      <c r="G12" s="38"/>
      <c r="H12" s="38"/>
      <c r="I12" s="8"/>
      <c r="J12" s="1"/>
    </row>
    <row r="13" spans="1:12" x14ac:dyDescent="0.25">
      <c r="A13" s="43"/>
      <c r="B13" s="43" t="s">
        <v>120</v>
      </c>
      <c r="C13" s="49" t="s">
        <v>121</v>
      </c>
      <c r="D13" s="47">
        <f>Therms_CY2023!P9</f>
        <v>8832</v>
      </c>
      <c r="E13" s="7">
        <v>0.46339999999999998</v>
      </c>
      <c r="F13" s="7">
        <v>0.46339999999999998</v>
      </c>
      <c r="G13" s="38">
        <f>ROUND(E13*D13,2)</f>
        <v>4092.75</v>
      </c>
      <c r="H13" s="38">
        <f>ROUND(F13*D13,2)</f>
        <v>4092.75</v>
      </c>
      <c r="I13" s="8">
        <f>H13-G13</f>
        <v>0</v>
      </c>
      <c r="J13" s="1">
        <f>I13/G13</f>
        <v>0</v>
      </c>
      <c r="L13" s="8"/>
    </row>
    <row r="14" spans="1:12" x14ac:dyDescent="0.25">
      <c r="A14" s="43"/>
      <c r="B14" s="43"/>
      <c r="C14" s="43"/>
      <c r="D14" s="77"/>
      <c r="E14" s="7"/>
      <c r="F14" s="7"/>
      <c r="G14" s="38"/>
      <c r="H14" s="38"/>
      <c r="I14" s="8"/>
      <c r="J14" s="1"/>
    </row>
    <row r="15" spans="1:12" x14ac:dyDescent="0.25">
      <c r="A15" s="45" t="s">
        <v>114</v>
      </c>
      <c r="B15" s="43"/>
      <c r="C15" s="46"/>
      <c r="D15" s="77"/>
      <c r="E15" s="7"/>
      <c r="F15" s="7"/>
      <c r="G15" s="38"/>
      <c r="H15" s="38"/>
      <c r="I15" s="8"/>
      <c r="J15" s="1"/>
    </row>
    <row r="16" spans="1:12" x14ac:dyDescent="0.25">
      <c r="A16" s="43"/>
      <c r="B16" s="43" t="s">
        <v>120</v>
      </c>
      <c r="C16" s="43" t="s">
        <v>121</v>
      </c>
      <c r="D16" s="47">
        <f>Therms_CY2023!P12</f>
        <v>243192248</v>
      </c>
      <c r="E16" s="7">
        <v>0.45562000000000002</v>
      </c>
      <c r="F16" s="7">
        <v>0.45562000000000002</v>
      </c>
      <c r="G16" s="38">
        <f>ROUND(E16*D16,2)</f>
        <v>110803252.03</v>
      </c>
      <c r="H16" s="38">
        <f>ROUND(F16*D16,2)</f>
        <v>110803252.03</v>
      </c>
      <c r="I16" s="8">
        <f>H16-G16</f>
        <v>0</v>
      </c>
      <c r="J16" s="1">
        <f>I16/G16</f>
        <v>0</v>
      </c>
      <c r="L16" s="8"/>
    </row>
    <row r="17" spans="1:13" x14ac:dyDescent="0.25">
      <c r="A17" s="43"/>
      <c r="B17" s="43"/>
      <c r="C17" s="43"/>
      <c r="D17" s="77"/>
      <c r="E17" s="7"/>
      <c r="F17" s="7"/>
      <c r="G17" s="38"/>
      <c r="H17" s="38"/>
      <c r="I17" s="8"/>
      <c r="J17" s="1"/>
    </row>
    <row r="18" spans="1:13" x14ac:dyDescent="0.25">
      <c r="A18" s="45" t="s">
        <v>115</v>
      </c>
      <c r="B18" s="43"/>
      <c r="C18" s="46"/>
      <c r="D18" s="77"/>
      <c r="E18" s="7"/>
      <c r="F18" s="7"/>
      <c r="G18" s="38"/>
      <c r="H18" s="38"/>
      <c r="I18" s="8"/>
      <c r="J18" s="1"/>
    </row>
    <row r="19" spans="1:13" x14ac:dyDescent="0.25">
      <c r="A19" s="43"/>
      <c r="B19" s="43" t="s">
        <v>57</v>
      </c>
      <c r="C19" s="43" t="s">
        <v>121</v>
      </c>
      <c r="D19" s="47">
        <f>Therms_CY2023!P13</f>
        <v>66922885</v>
      </c>
      <c r="E19" s="7">
        <v>0.34892000000000001</v>
      </c>
      <c r="F19" s="7">
        <v>0.34892000000000001</v>
      </c>
      <c r="G19" s="38">
        <f t="shared" ref="G19:G20" si="0">ROUND(E19*D19,2)</f>
        <v>23350733.030000001</v>
      </c>
      <c r="H19" s="38">
        <f t="shared" ref="H19:H20" si="1">ROUND(F19*D19,2)</f>
        <v>23350733.030000001</v>
      </c>
      <c r="I19" s="8">
        <f t="shared" ref="I19:I20" si="2">H19-G19</f>
        <v>0</v>
      </c>
      <c r="J19" s="1">
        <f t="shared" ref="J19:J20" si="3">I19/G19</f>
        <v>0</v>
      </c>
    </row>
    <row r="20" spans="1:13" x14ac:dyDescent="0.25">
      <c r="A20" s="43"/>
      <c r="B20" s="43" t="s">
        <v>56</v>
      </c>
      <c r="C20" s="43" t="s">
        <v>109</v>
      </c>
      <c r="D20" s="47">
        <f>'12ME Dec 2023 Data'!N12</f>
        <v>4682844</v>
      </c>
      <c r="E20" s="78">
        <v>1.05</v>
      </c>
      <c r="F20" s="78">
        <v>1.05</v>
      </c>
      <c r="G20" s="38">
        <f t="shared" si="0"/>
        <v>4916986.2</v>
      </c>
      <c r="H20" s="38">
        <f t="shared" si="1"/>
        <v>4916986.2</v>
      </c>
      <c r="I20" s="8">
        <f t="shared" si="2"/>
        <v>0</v>
      </c>
      <c r="J20" s="1">
        <f t="shared" si="3"/>
        <v>0</v>
      </c>
    </row>
    <row r="21" spans="1:13" x14ac:dyDescent="0.25">
      <c r="A21" s="43"/>
      <c r="B21" s="43" t="s">
        <v>6</v>
      </c>
      <c r="C21" s="43"/>
      <c r="D21" s="77"/>
      <c r="E21" s="7"/>
      <c r="F21" s="7"/>
      <c r="G21" s="39">
        <f>SUM(G19:G20)</f>
        <v>28267719.23</v>
      </c>
      <c r="H21" s="39">
        <f t="shared" ref="H21:I21" si="4">SUM(H19:H20)</f>
        <v>28267719.23</v>
      </c>
      <c r="I21" s="39">
        <f t="shared" si="4"/>
        <v>0</v>
      </c>
      <c r="J21" s="2">
        <f>I21/G21</f>
        <v>0</v>
      </c>
      <c r="L21" s="8"/>
    </row>
    <row r="22" spans="1:13" x14ac:dyDescent="0.25">
      <c r="A22" s="43"/>
      <c r="B22" s="43"/>
      <c r="C22" s="43"/>
      <c r="D22" s="77"/>
      <c r="E22" s="7"/>
      <c r="F22" s="7"/>
      <c r="G22" s="38"/>
      <c r="H22" s="38"/>
      <c r="I22" s="8"/>
      <c r="J22" s="1"/>
      <c r="L22" s="8"/>
    </row>
    <row r="23" spans="1:13" x14ac:dyDescent="0.25">
      <c r="A23" s="45" t="s">
        <v>116</v>
      </c>
      <c r="B23" s="43"/>
      <c r="C23" s="46"/>
      <c r="D23" s="77"/>
      <c r="E23" s="6"/>
      <c r="F23" s="7"/>
      <c r="G23" s="38"/>
      <c r="H23" s="38"/>
      <c r="I23" s="8"/>
      <c r="J23" s="1"/>
    </row>
    <row r="24" spans="1:13" s="43" customFormat="1" x14ac:dyDescent="0.25">
      <c r="B24" s="43" t="s">
        <v>57</v>
      </c>
      <c r="C24" s="43" t="s">
        <v>121</v>
      </c>
      <c r="D24" s="47">
        <f>Therms_CY2023!P14</f>
        <v>11124640</v>
      </c>
      <c r="E24" s="7">
        <v>0.38712000000000002</v>
      </c>
      <c r="F24" s="7">
        <v>0.38712000000000002</v>
      </c>
      <c r="G24" s="38">
        <f t="shared" ref="G24:G25" si="5">ROUND(E24*D24,2)</f>
        <v>4306570.6399999997</v>
      </c>
      <c r="H24" s="38">
        <f t="shared" ref="H24:H25" si="6">ROUND(F24*D24,2)</f>
        <v>4306570.6399999997</v>
      </c>
      <c r="I24" s="8">
        <f t="shared" ref="I24:I25" si="7">H24-G24</f>
        <v>0</v>
      </c>
      <c r="J24" s="1">
        <f t="shared" ref="J24:J25" si="8">I24/G24</f>
        <v>0</v>
      </c>
    </row>
    <row r="25" spans="1:13" s="43" customFormat="1" x14ac:dyDescent="0.25">
      <c r="B25" s="43" t="s">
        <v>56</v>
      </c>
      <c r="C25" s="43" t="s">
        <v>109</v>
      </c>
      <c r="D25" s="47">
        <f>'12ME Dec 2023 Data'!N14</f>
        <v>94536</v>
      </c>
      <c r="E25" s="78">
        <v>1.05</v>
      </c>
      <c r="F25" s="78">
        <v>1.05</v>
      </c>
      <c r="G25" s="38">
        <f t="shared" si="5"/>
        <v>99262.8</v>
      </c>
      <c r="H25" s="38">
        <f t="shared" si="6"/>
        <v>99262.8</v>
      </c>
      <c r="I25" s="8">
        <f t="shared" si="7"/>
        <v>0</v>
      </c>
      <c r="J25" s="1">
        <f t="shared" si="8"/>
        <v>0</v>
      </c>
      <c r="K25" s="67"/>
      <c r="L25" s="114"/>
      <c r="M25" s="114"/>
    </row>
    <row r="26" spans="1:13" s="43" customFormat="1" x14ac:dyDescent="0.25">
      <c r="B26" s="46" t="s">
        <v>6</v>
      </c>
      <c r="C26" s="46"/>
      <c r="D26" s="77"/>
      <c r="F26" s="56"/>
      <c r="G26" s="39">
        <f>SUM(G24:G25)</f>
        <v>4405833.4399999995</v>
      </c>
      <c r="H26" s="39">
        <f t="shared" ref="H26:I26" si="9">SUM(H24:H25)</f>
        <v>4405833.4399999995</v>
      </c>
      <c r="I26" s="39">
        <f t="shared" si="9"/>
        <v>0</v>
      </c>
      <c r="J26" s="2">
        <f>I26/G26</f>
        <v>0</v>
      </c>
      <c r="K26" s="67"/>
      <c r="L26" s="38"/>
    </row>
    <row r="27" spans="1:13" s="43" customFormat="1" x14ac:dyDescent="0.25">
      <c r="B27" s="46"/>
      <c r="C27" s="46"/>
      <c r="D27" s="77"/>
      <c r="F27" s="56"/>
      <c r="G27" s="38"/>
      <c r="H27" s="38"/>
      <c r="I27" s="8"/>
      <c r="J27" s="1"/>
      <c r="K27" s="67"/>
      <c r="L27" s="38"/>
    </row>
    <row r="28" spans="1:13" x14ac:dyDescent="0.25">
      <c r="A28" s="45" t="s">
        <v>117</v>
      </c>
      <c r="B28" s="43"/>
      <c r="C28" s="46"/>
      <c r="D28" s="77"/>
      <c r="F28" s="56"/>
      <c r="G28" s="8"/>
      <c r="H28" s="8"/>
      <c r="I28" s="8"/>
    </row>
    <row r="29" spans="1:13" x14ac:dyDescent="0.25">
      <c r="A29" s="43"/>
      <c r="B29" s="43" t="s">
        <v>57</v>
      </c>
      <c r="C29" s="43" t="s">
        <v>121</v>
      </c>
      <c r="D29" s="47">
        <f>Therms_CY2023!P15</f>
        <v>5691490</v>
      </c>
      <c r="E29" s="7">
        <v>0.40093000000000001</v>
      </c>
      <c r="F29" s="7">
        <v>0.40093000000000001</v>
      </c>
      <c r="G29" s="38">
        <f t="shared" ref="G29:G30" si="10">ROUND(E29*D29,2)</f>
        <v>2281889.09</v>
      </c>
      <c r="H29" s="38">
        <f t="shared" ref="H29:H30" si="11">ROUND(F29*D29,2)</f>
        <v>2281889.09</v>
      </c>
      <c r="I29" s="8">
        <f t="shared" ref="I29:I30" si="12">H29-G29</f>
        <v>0</v>
      </c>
      <c r="J29" s="1">
        <f t="shared" ref="J29:J30" si="13">I29/G29</f>
        <v>0</v>
      </c>
    </row>
    <row r="30" spans="1:13" x14ac:dyDescent="0.25">
      <c r="A30" s="43"/>
      <c r="B30" s="43" t="s">
        <v>56</v>
      </c>
      <c r="C30" s="43" t="s">
        <v>109</v>
      </c>
      <c r="D30" s="47">
        <f>'12ME Dec 2023 Data'!N16</f>
        <v>38184</v>
      </c>
      <c r="E30" s="78">
        <v>1.05</v>
      </c>
      <c r="F30" s="78">
        <v>1.05</v>
      </c>
      <c r="G30" s="38">
        <f t="shared" si="10"/>
        <v>40093.199999999997</v>
      </c>
      <c r="H30" s="38">
        <f t="shared" si="11"/>
        <v>40093.199999999997</v>
      </c>
      <c r="I30" s="8">
        <f t="shared" si="12"/>
        <v>0</v>
      </c>
      <c r="J30" s="1">
        <f t="shared" si="13"/>
        <v>0</v>
      </c>
    </row>
    <row r="31" spans="1:13" x14ac:dyDescent="0.25">
      <c r="A31" s="43"/>
      <c r="B31" s="46" t="s">
        <v>6</v>
      </c>
      <c r="C31" s="46"/>
      <c r="D31" s="77"/>
      <c r="F31" s="56"/>
      <c r="G31" s="39">
        <f>SUM(G29:G30)</f>
        <v>2321982.29</v>
      </c>
      <c r="H31" s="39">
        <f t="shared" ref="H31:I31" si="14">SUM(H29:H30)</f>
        <v>2321982.29</v>
      </c>
      <c r="I31" s="39">
        <f t="shared" si="14"/>
        <v>0</v>
      </c>
      <c r="J31" s="2">
        <f>I31/G31</f>
        <v>0</v>
      </c>
      <c r="L31" s="8"/>
    </row>
    <row r="32" spans="1:13" x14ac:dyDescent="0.25">
      <c r="A32" s="43"/>
      <c r="B32" s="46"/>
      <c r="C32" s="46"/>
      <c r="D32" s="77"/>
      <c r="F32" s="56"/>
      <c r="G32" s="38"/>
      <c r="H32" s="38"/>
      <c r="I32" s="8"/>
      <c r="J32" s="1"/>
      <c r="L32" s="8"/>
    </row>
    <row r="33" spans="1:12" x14ac:dyDescent="0.25">
      <c r="A33" s="45" t="s">
        <v>118</v>
      </c>
      <c r="B33" s="43"/>
      <c r="C33" s="46"/>
      <c r="D33" s="77"/>
      <c r="F33" s="56"/>
      <c r="I33" s="8"/>
    </row>
    <row r="34" spans="1:12" x14ac:dyDescent="0.25">
      <c r="A34" s="43"/>
      <c r="B34" s="43" t="s">
        <v>57</v>
      </c>
      <c r="C34" s="43" t="s">
        <v>121</v>
      </c>
      <c r="D34" s="47">
        <f>Therms_CY2023!P16</f>
        <v>21819455.762355205</v>
      </c>
      <c r="E34" s="7">
        <v>0.39700999999999997</v>
      </c>
      <c r="F34" s="7">
        <v>0.39700999999999997</v>
      </c>
      <c r="G34" s="38">
        <f t="shared" ref="G34:G35" si="15">ROUND(E34*D34,2)</f>
        <v>8662542.1300000008</v>
      </c>
      <c r="H34" s="38">
        <f t="shared" ref="H34:H35" si="16">ROUND(F34*D34,2)</f>
        <v>8662542.1300000008</v>
      </c>
      <c r="I34" s="8">
        <f t="shared" ref="I34:I35" si="17">H34-G34</f>
        <v>0</v>
      </c>
      <c r="J34" s="1">
        <f t="shared" ref="J34" si="18">I34/G34</f>
        <v>0</v>
      </c>
    </row>
    <row r="35" spans="1:12" x14ac:dyDescent="0.25">
      <c r="A35" s="43"/>
      <c r="B35" s="43" t="s">
        <v>56</v>
      </c>
      <c r="C35" s="43" t="s">
        <v>109</v>
      </c>
      <c r="D35" s="77">
        <f>'12ME Dec 2023 Data'!N18</f>
        <v>0</v>
      </c>
      <c r="E35" s="78">
        <v>1.05</v>
      </c>
      <c r="F35" s="78">
        <v>1.05</v>
      </c>
      <c r="G35" s="38">
        <f t="shared" si="15"/>
        <v>0</v>
      </c>
      <c r="H35" s="38">
        <f t="shared" si="16"/>
        <v>0</v>
      </c>
      <c r="I35" s="8">
        <f t="shared" si="17"/>
        <v>0</v>
      </c>
      <c r="J35" s="1" t="e">
        <f>I35/G35</f>
        <v>#DIV/0!</v>
      </c>
    </row>
    <row r="36" spans="1:12" x14ac:dyDescent="0.25">
      <c r="B36" s="43" t="s">
        <v>6</v>
      </c>
      <c r="D36" s="77"/>
      <c r="G36" s="39">
        <f>SUM(G34:G35)</f>
        <v>8662542.1300000008</v>
      </c>
      <c r="H36" s="39">
        <f t="shared" ref="H36:I36" si="19">SUM(H34:H35)</f>
        <v>8662542.1300000008</v>
      </c>
      <c r="I36" s="39">
        <f t="shared" si="19"/>
        <v>0</v>
      </c>
      <c r="J36" s="2">
        <f>I36/G36</f>
        <v>0</v>
      </c>
      <c r="L36" s="8"/>
    </row>
    <row r="37" spans="1:12" x14ac:dyDescent="0.25">
      <c r="D37" s="77"/>
      <c r="G37" s="38"/>
      <c r="H37" s="38"/>
      <c r="I37" s="8"/>
      <c r="J37" s="1"/>
      <c r="L37" s="8"/>
    </row>
    <row r="38" spans="1:12" x14ac:dyDescent="0.25">
      <c r="A38" s="57" t="s">
        <v>6</v>
      </c>
      <c r="G38" s="11">
        <f>G10+G13+G16+G21+G26+G31+G36</f>
        <v>449358983.75999999</v>
      </c>
      <c r="H38" s="11">
        <f t="shared" ref="H38:I38" si="20">H10+H13+H16+H21+H26+H31+H36</f>
        <v>449358983.75999999</v>
      </c>
      <c r="I38" s="11">
        <f t="shared" si="20"/>
        <v>0</v>
      </c>
      <c r="J38" s="2">
        <f>I38/G38</f>
        <v>0</v>
      </c>
    </row>
    <row r="39" spans="1:12" x14ac:dyDescent="0.25">
      <c r="B39" t="s">
        <v>121</v>
      </c>
      <c r="D39" s="14">
        <f>SUM(D10,D13,D16,D19,D24,D29,D34)</f>
        <v>985128911.76235521</v>
      </c>
    </row>
    <row r="40" spans="1:12" x14ac:dyDescent="0.25">
      <c r="B40" t="s">
        <v>109</v>
      </c>
      <c r="D40" s="14">
        <f>SUM(D20,D25,D30,D35)</f>
        <v>4815564</v>
      </c>
      <c r="I40" s="8"/>
    </row>
    <row r="41" spans="1:12" x14ac:dyDescent="0.25">
      <c r="I41" s="8"/>
    </row>
    <row r="42" spans="1:12" x14ac:dyDescent="0.25">
      <c r="G42" s="40"/>
      <c r="H42" s="40"/>
    </row>
  </sheetData>
  <mergeCells count="4">
    <mergeCell ref="A1:J1"/>
    <mergeCell ref="A3:J3"/>
    <mergeCell ref="A4:J4"/>
    <mergeCell ref="A2:J2"/>
  </mergeCells>
  <printOptions horizontalCentered="1"/>
  <pageMargins left="0.7" right="0.7" top="0.75" bottom="0.75" header="0.3" footer="0.3"/>
  <pageSetup scale="82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17"/>
  <sheetViews>
    <sheetView zoomScale="90" zoomScaleNormal="90" workbookViewId="0">
      <selection activeCell="K29" sqref="K29"/>
    </sheetView>
  </sheetViews>
  <sheetFormatPr defaultColWidth="9.140625" defaultRowHeight="15" x14ac:dyDescent="0.25"/>
  <cols>
    <col min="1" max="1" width="23.5703125" bestFit="1" customWidth="1"/>
    <col min="2" max="2" width="9.140625" bestFit="1" customWidth="1"/>
    <col min="3" max="3" width="16.140625" customWidth="1"/>
    <col min="4" max="11" width="10.7109375" customWidth="1"/>
    <col min="12" max="12" width="13.140625" bestFit="1" customWidth="1"/>
    <col min="13" max="13" width="13.85546875" bestFit="1" customWidth="1"/>
    <col min="14" max="14" width="13.42578125" bestFit="1" customWidth="1"/>
    <col min="15" max="15" width="8.28515625" bestFit="1" customWidth="1"/>
  </cols>
  <sheetData>
    <row r="1" spans="1:15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5" x14ac:dyDescent="0.25">
      <c r="A2" s="218" t="s">
        <v>159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1:15" x14ac:dyDescent="0.25">
      <c r="A3" s="218" t="s">
        <v>148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1:15" x14ac:dyDescent="0.25">
      <c r="A4" s="217" t="s">
        <v>201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</row>
    <row r="5" spans="1:15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x14ac:dyDescent="0.25">
      <c r="A6" s="3"/>
      <c r="B6" s="3"/>
      <c r="C6" s="3"/>
      <c r="D6" s="221" t="s">
        <v>23</v>
      </c>
      <c r="E6" s="222"/>
      <c r="F6" s="222"/>
      <c r="G6" s="223"/>
      <c r="H6" s="221" t="s">
        <v>131</v>
      </c>
      <c r="I6" s="222"/>
      <c r="J6" s="222"/>
      <c r="K6" s="223"/>
      <c r="L6" s="3"/>
      <c r="M6" s="3"/>
      <c r="N6" s="219"/>
      <c r="O6" s="220"/>
    </row>
    <row r="7" spans="1:15" x14ac:dyDescent="0.25">
      <c r="A7" s="3"/>
      <c r="B7" s="3"/>
      <c r="C7" s="3" t="s">
        <v>15</v>
      </c>
      <c r="D7" s="81" t="s">
        <v>138</v>
      </c>
      <c r="E7" s="82" t="s">
        <v>142</v>
      </c>
      <c r="F7" s="82" t="s">
        <v>143</v>
      </c>
      <c r="G7" s="81" t="s">
        <v>139</v>
      </c>
      <c r="H7" s="81" t="s">
        <v>138</v>
      </c>
      <c r="I7" s="82" t="s">
        <v>142</v>
      </c>
      <c r="J7" s="82" t="s">
        <v>143</v>
      </c>
      <c r="K7" s="83" t="s">
        <v>139</v>
      </c>
      <c r="L7" s="48" t="s">
        <v>15</v>
      </c>
      <c r="M7" s="48" t="s">
        <v>15</v>
      </c>
      <c r="N7" s="3" t="s">
        <v>19</v>
      </c>
    </row>
    <row r="8" spans="1:15" x14ac:dyDescent="0.25">
      <c r="A8" s="3"/>
      <c r="B8" s="3" t="s">
        <v>17</v>
      </c>
      <c r="C8" s="3" t="s">
        <v>3</v>
      </c>
      <c r="D8" s="83" t="s">
        <v>140</v>
      </c>
      <c r="E8" s="82" t="s">
        <v>144</v>
      </c>
      <c r="F8" s="82" t="s">
        <v>144</v>
      </c>
      <c r="G8" s="83" t="s">
        <v>141</v>
      </c>
      <c r="H8" s="83" t="s">
        <v>140</v>
      </c>
      <c r="I8" s="82" t="s">
        <v>144</v>
      </c>
      <c r="J8" s="82" t="s">
        <v>144</v>
      </c>
      <c r="K8" s="83" t="s">
        <v>141</v>
      </c>
      <c r="L8" s="48" t="s">
        <v>2</v>
      </c>
      <c r="M8" s="48" t="s">
        <v>2</v>
      </c>
      <c r="N8" s="3" t="s">
        <v>2</v>
      </c>
      <c r="O8" s="3" t="s">
        <v>20</v>
      </c>
    </row>
    <row r="9" spans="1:15" x14ac:dyDescent="0.25">
      <c r="A9" s="80" t="s">
        <v>4</v>
      </c>
      <c r="B9" s="80" t="s">
        <v>21</v>
      </c>
      <c r="C9" s="71" t="str">
        <f>'Sch. 101'!$D$8</f>
        <v>12ME Dec. 2023</v>
      </c>
      <c r="D9" s="84" t="s">
        <v>22</v>
      </c>
      <c r="E9" s="85" t="s">
        <v>22</v>
      </c>
      <c r="F9" s="85" t="s">
        <v>22</v>
      </c>
      <c r="G9" s="84" t="s">
        <v>22</v>
      </c>
      <c r="H9" s="84" t="s">
        <v>22</v>
      </c>
      <c r="I9" s="85" t="s">
        <v>22</v>
      </c>
      <c r="J9" s="84" t="s">
        <v>22</v>
      </c>
      <c r="K9" s="84" t="s">
        <v>22</v>
      </c>
      <c r="L9" s="44" t="s">
        <v>23</v>
      </c>
      <c r="M9" s="44" t="s">
        <v>131</v>
      </c>
      <c r="N9" s="104" t="s">
        <v>24</v>
      </c>
      <c r="O9" s="80" t="s">
        <v>24</v>
      </c>
    </row>
    <row r="10" spans="1:15" x14ac:dyDescent="0.25">
      <c r="A10" t="s">
        <v>7</v>
      </c>
      <c r="B10" s="5">
        <v>23</v>
      </c>
      <c r="C10" s="47">
        <f>Therms_CY2023!P10</f>
        <v>636369361</v>
      </c>
      <c r="D10" s="89">
        <v>1.23E-3</v>
      </c>
      <c r="E10" s="89">
        <v>0</v>
      </c>
      <c r="F10" s="86">
        <v>2.495E-2</v>
      </c>
      <c r="G10" s="87">
        <f>SUM(D10:F10)</f>
        <v>2.6179999999999998E-2</v>
      </c>
      <c r="H10" s="89">
        <v>1.23E-3</v>
      </c>
      <c r="I10" s="7">
        <v>0</v>
      </c>
      <c r="J10" s="89">
        <v>2.495E-2</v>
      </c>
      <c r="K10" s="130">
        <f>SUM(H10:J10)</f>
        <v>2.6179999999999998E-2</v>
      </c>
      <c r="L10" s="38">
        <f t="shared" ref="L10:L16" si="0">ROUND(C10*G10,2)</f>
        <v>16660149.869999999</v>
      </c>
      <c r="M10" s="38">
        <f>ROUND(C10*K10,2)</f>
        <v>16660149.869999999</v>
      </c>
      <c r="N10" s="8">
        <f>M10-L10</f>
        <v>0</v>
      </c>
      <c r="O10" s="1">
        <f>N10/L10</f>
        <v>0</v>
      </c>
    </row>
    <row r="11" spans="1:15" x14ac:dyDescent="0.25">
      <c r="A11" t="s">
        <v>31</v>
      </c>
      <c r="B11" s="5">
        <v>16</v>
      </c>
      <c r="C11" s="47">
        <f>Therms_CY2023!P9</f>
        <v>8832</v>
      </c>
      <c r="D11" s="90">
        <v>1.23E-3</v>
      </c>
      <c r="E11" s="90">
        <v>0</v>
      </c>
      <c r="F11" s="86">
        <v>2.495E-2</v>
      </c>
      <c r="G11" s="87">
        <f t="shared" ref="G11:G16" si="1">SUM(D11:F11)</f>
        <v>2.6179999999999998E-2</v>
      </c>
      <c r="H11" s="90">
        <v>1.23E-3</v>
      </c>
      <c r="I11" s="86">
        <v>0</v>
      </c>
      <c r="J11" s="90">
        <v>2.495E-2</v>
      </c>
      <c r="K11" s="87">
        <f t="shared" ref="K11:K16" si="2">SUM(H11:J11)</f>
        <v>2.6179999999999998E-2</v>
      </c>
      <c r="L11" s="38">
        <f t="shared" si="0"/>
        <v>231.22</v>
      </c>
      <c r="M11" s="38">
        <f t="shared" ref="M11:M16" si="3">ROUND(C11*K11,2)</f>
        <v>231.22</v>
      </c>
      <c r="N11" s="8">
        <f t="shared" ref="N11:N16" si="4">M11-L11</f>
        <v>0</v>
      </c>
      <c r="O11" s="1">
        <f t="shared" ref="O11:O16" si="5">N11/L11</f>
        <v>0</v>
      </c>
    </row>
    <row r="12" spans="1:15" x14ac:dyDescent="0.25">
      <c r="A12" t="s">
        <v>8</v>
      </c>
      <c r="B12" s="5">
        <v>31</v>
      </c>
      <c r="C12" s="47">
        <f>Therms_CY2023!P12</f>
        <v>243192248</v>
      </c>
      <c r="D12" s="90">
        <v>1.1900000000000001E-3</v>
      </c>
      <c r="E12" s="90">
        <v>0</v>
      </c>
      <c r="F12" s="86">
        <v>2.495E-2</v>
      </c>
      <c r="G12" s="87">
        <f t="shared" si="1"/>
        <v>2.614E-2</v>
      </c>
      <c r="H12" s="90">
        <v>1.1900000000000001E-3</v>
      </c>
      <c r="I12" s="86">
        <v>0</v>
      </c>
      <c r="J12" s="90">
        <v>2.495E-2</v>
      </c>
      <c r="K12" s="87">
        <f t="shared" si="2"/>
        <v>2.614E-2</v>
      </c>
      <c r="L12" s="38">
        <f t="shared" si="0"/>
        <v>6357045.3600000003</v>
      </c>
      <c r="M12" s="38">
        <f t="shared" si="3"/>
        <v>6357045.3600000003</v>
      </c>
      <c r="N12" s="8">
        <f t="shared" si="4"/>
        <v>0</v>
      </c>
      <c r="O12" s="1">
        <f t="shared" si="5"/>
        <v>0</v>
      </c>
    </row>
    <row r="13" spans="1:15" x14ac:dyDescent="0.25">
      <c r="A13" t="s">
        <v>9</v>
      </c>
      <c r="B13" s="5">
        <v>41</v>
      </c>
      <c r="C13" s="47">
        <f>Therms_CY2023!P13</f>
        <v>66922885</v>
      </c>
      <c r="D13" s="90">
        <v>1.08E-3</v>
      </c>
      <c r="E13" s="90">
        <v>0</v>
      </c>
      <c r="F13" s="86">
        <v>2.495E-2</v>
      </c>
      <c r="G13" s="87">
        <f t="shared" si="1"/>
        <v>2.6030000000000001E-2</v>
      </c>
      <c r="H13" s="90">
        <v>1.08E-3</v>
      </c>
      <c r="I13" s="86">
        <v>0</v>
      </c>
      <c r="J13" s="90">
        <v>2.495E-2</v>
      </c>
      <c r="K13" s="87">
        <f t="shared" si="2"/>
        <v>2.6030000000000001E-2</v>
      </c>
      <c r="L13" s="38">
        <f t="shared" si="0"/>
        <v>1742002.7</v>
      </c>
      <c r="M13" s="38">
        <f t="shared" si="3"/>
        <v>1742002.7</v>
      </c>
      <c r="N13" s="8">
        <f t="shared" si="4"/>
        <v>0</v>
      </c>
      <c r="O13" s="1">
        <f t="shared" si="5"/>
        <v>0</v>
      </c>
    </row>
    <row r="14" spans="1:15" x14ac:dyDescent="0.25">
      <c r="A14" t="s">
        <v>10</v>
      </c>
      <c r="B14" s="5">
        <v>85</v>
      </c>
      <c r="C14" s="47">
        <f>Therms_CY2023!P14</f>
        <v>11124640</v>
      </c>
      <c r="D14" s="90">
        <v>1E-3</v>
      </c>
      <c r="E14" s="90">
        <v>0</v>
      </c>
      <c r="F14" s="86">
        <v>2.495E-2</v>
      </c>
      <c r="G14" s="87">
        <f t="shared" si="1"/>
        <v>2.5950000000000001E-2</v>
      </c>
      <c r="H14" s="90">
        <v>1E-3</v>
      </c>
      <c r="I14" s="86">
        <v>0</v>
      </c>
      <c r="J14" s="90">
        <v>2.495E-2</v>
      </c>
      <c r="K14" s="87">
        <f t="shared" si="2"/>
        <v>2.5950000000000001E-2</v>
      </c>
      <c r="L14" s="38">
        <f t="shared" si="0"/>
        <v>288684.40999999997</v>
      </c>
      <c r="M14" s="38">
        <f t="shared" si="3"/>
        <v>288684.40999999997</v>
      </c>
      <c r="N14" s="8">
        <f t="shared" si="4"/>
        <v>0</v>
      </c>
      <c r="O14" s="1">
        <f t="shared" si="5"/>
        <v>0</v>
      </c>
    </row>
    <row r="15" spans="1:15" x14ac:dyDescent="0.25">
      <c r="A15" t="s">
        <v>11</v>
      </c>
      <c r="B15" s="5">
        <v>86</v>
      </c>
      <c r="C15" s="47">
        <f>Therms_CY2023!P15</f>
        <v>5691490</v>
      </c>
      <c r="D15" s="90">
        <v>1.0300000000000001E-3</v>
      </c>
      <c r="E15" s="90">
        <v>0</v>
      </c>
      <c r="F15" s="86">
        <v>2.495E-2</v>
      </c>
      <c r="G15" s="87">
        <f t="shared" si="1"/>
        <v>2.598E-2</v>
      </c>
      <c r="H15" s="90">
        <v>1.0300000000000001E-3</v>
      </c>
      <c r="I15" s="86">
        <v>0</v>
      </c>
      <c r="J15" s="90">
        <v>2.495E-2</v>
      </c>
      <c r="K15" s="87">
        <f t="shared" si="2"/>
        <v>2.598E-2</v>
      </c>
      <c r="L15" s="38">
        <f t="shared" si="0"/>
        <v>147864.91</v>
      </c>
      <c r="M15" s="38">
        <f t="shared" si="3"/>
        <v>147864.91</v>
      </c>
      <c r="N15" s="8">
        <f t="shared" si="4"/>
        <v>0</v>
      </c>
      <c r="O15" s="1">
        <f t="shared" si="5"/>
        <v>0</v>
      </c>
    </row>
    <row r="16" spans="1:15" x14ac:dyDescent="0.25">
      <c r="A16" t="s">
        <v>12</v>
      </c>
      <c r="B16" s="5">
        <v>87</v>
      </c>
      <c r="C16" s="47">
        <f>Therms_CY2023!P16</f>
        <v>21819455.762355205</v>
      </c>
      <c r="D16" s="91">
        <v>1E-3</v>
      </c>
      <c r="E16" s="91">
        <v>0</v>
      </c>
      <c r="F16" s="86">
        <v>2.495E-2</v>
      </c>
      <c r="G16" s="88">
        <f t="shared" si="1"/>
        <v>2.5950000000000001E-2</v>
      </c>
      <c r="H16" s="91">
        <v>1E-3</v>
      </c>
      <c r="I16" s="150">
        <v>0</v>
      </c>
      <c r="J16" s="90">
        <v>2.495E-2</v>
      </c>
      <c r="K16" s="88">
        <f t="shared" si="2"/>
        <v>2.5950000000000001E-2</v>
      </c>
      <c r="L16" s="38">
        <f t="shared" si="0"/>
        <v>566214.88</v>
      </c>
      <c r="M16" s="38">
        <f t="shared" si="3"/>
        <v>566214.88</v>
      </c>
      <c r="N16" s="8">
        <f t="shared" si="4"/>
        <v>0</v>
      </c>
      <c r="O16" s="1">
        <f t="shared" si="5"/>
        <v>0</v>
      </c>
    </row>
    <row r="17" spans="1:15" x14ac:dyDescent="0.25">
      <c r="A17" t="s">
        <v>6</v>
      </c>
      <c r="C17" s="10">
        <f>SUM(C10:C16)</f>
        <v>985128911.76235521</v>
      </c>
      <c r="D17" s="6"/>
      <c r="E17" s="6"/>
      <c r="F17" s="123"/>
      <c r="G17" s="6"/>
      <c r="H17" s="6"/>
      <c r="I17" s="6"/>
      <c r="J17" s="123"/>
      <c r="K17" s="6"/>
      <c r="L17" s="39">
        <f>SUM(L10:L16)</f>
        <v>25762193.349999998</v>
      </c>
      <c r="M17" s="39">
        <f>SUM(M10:M16)</f>
        <v>25762193.349999998</v>
      </c>
      <c r="N17" s="11">
        <f>SUM(N10:N16)</f>
        <v>0</v>
      </c>
      <c r="O17" s="2">
        <f>N17/L17</f>
        <v>0</v>
      </c>
    </row>
  </sheetData>
  <mergeCells count="7">
    <mergeCell ref="N6:O6"/>
    <mergeCell ref="A1:O1"/>
    <mergeCell ref="A3:O3"/>
    <mergeCell ref="A4:O4"/>
    <mergeCell ref="D6:G6"/>
    <mergeCell ref="H6:K6"/>
    <mergeCell ref="A2:O2"/>
  </mergeCells>
  <pageMargins left="0.7" right="0.7" top="0.75" bottom="0.75" header="0.3" footer="0.3"/>
  <pageSetup scale="64" orientation="landscape" blackAndWhite="1" r:id="rId1"/>
  <headerFooter>
    <oddFooter>&amp;L&amp;F
&amp;A&amp;C&amp;P&amp;R&amp;D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3"/>
  <sheetViews>
    <sheetView zoomScale="90" zoomScaleNormal="90" workbookViewId="0">
      <selection activeCell="G26" sqref="G26"/>
    </sheetView>
  </sheetViews>
  <sheetFormatPr defaultColWidth="8.7109375" defaultRowHeight="15" x14ac:dyDescent="0.25"/>
  <cols>
    <col min="1" max="1" width="31.140625" customWidth="1"/>
    <col min="3" max="3" width="18.5703125" bestFit="1" customWidth="1"/>
    <col min="4" max="5" width="13.7109375" customWidth="1"/>
    <col min="6" max="8" width="14.42578125" customWidth="1"/>
    <col min="9" max="9" width="8.28515625" customWidth="1"/>
  </cols>
  <sheetData>
    <row r="1" spans="1:9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</row>
    <row r="2" spans="1:9" x14ac:dyDescent="0.25">
      <c r="A2" s="218" t="s">
        <v>149</v>
      </c>
      <c r="B2" s="218"/>
      <c r="C2" s="218"/>
      <c r="D2" s="218"/>
      <c r="E2" s="218"/>
      <c r="F2" s="218"/>
      <c r="G2" s="218"/>
      <c r="H2" s="218"/>
      <c r="I2" s="218"/>
    </row>
    <row r="3" spans="1:9" x14ac:dyDescent="0.25">
      <c r="A3" s="218" t="s">
        <v>150</v>
      </c>
      <c r="B3" s="218"/>
      <c r="C3" s="218"/>
      <c r="D3" s="218"/>
      <c r="E3" s="218"/>
      <c r="F3" s="218"/>
      <c r="G3" s="218"/>
      <c r="H3" s="218"/>
      <c r="I3" s="218"/>
    </row>
    <row r="4" spans="1:9" x14ac:dyDescent="0.25">
      <c r="A4" s="218" t="s">
        <v>174</v>
      </c>
      <c r="B4" s="218"/>
      <c r="C4" s="218"/>
      <c r="D4" s="218"/>
      <c r="E4" s="218"/>
      <c r="F4" s="218"/>
      <c r="G4" s="218"/>
      <c r="H4" s="218"/>
      <c r="I4" s="218"/>
    </row>
    <row r="5" spans="1:9" x14ac:dyDescent="0.25">
      <c r="D5" s="3"/>
      <c r="E5" s="3"/>
    </row>
    <row r="6" spans="1:9" x14ac:dyDescent="0.25">
      <c r="A6" s="3"/>
      <c r="B6" s="3"/>
      <c r="C6" s="3" t="s">
        <v>15</v>
      </c>
      <c r="D6" s="3" t="s">
        <v>5</v>
      </c>
      <c r="E6" s="3" t="s">
        <v>1</v>
      </c>
      <c r="F6" s="48" t="s">
        <v>15</v>
      </c>
      <c r="G6" s="48" t="s">
        <v>15</v>
      </c>
      <c r="H6" s="3" t="s">
        <v>49</v>
      </c>
      <c r="I6" s="3"/>
    </row>
    <row r="7" spans="1:9" x14ac:dyDescent="0.25">
      <c r="A7" s="3"/>
      <c r="B7" s="3" t="s">
        <v>17</v>
      </c>
      <c r="C7" s="3" t="s">
        <v>3</v>
      </c>
      <c r="D7" s="3" t="s">
        <v>49</v>
      </c>
      <c r="E7" s="3" t="s">
        <v>49</v>
      </c>
      <c r="F7" s="48" t="s">
        <v>2</v>
      </c>
      <c r="G7" s="48" t="s">
        <v>2</v>
      </c>
      <c r="H7" s="3" t="s">
        <v>2</v>
      </c>
      <c r="I7" s="3" t="s">
        <v>20</v>
      </c>
    </row>
    <row r="8" spans="1:9" x14ac:dyDescent="0.25">
      <c r="A8" s="104" t="s">
        <v>4</v>
      </c>
      <c r="B8" s="104" t="s">
        <v>21</v>
      </c>
      <c r="C8" s="71" t="str">
        <f>'Sch. 101'!$D$8</f>
        <v>12ME Dec. 2023</v>
      </c>
      <c r="D8" s="104" t="s">
        <v>22</v>
      </c>
      <c r="E8" s="104" t="s">
        <v>22</v>
      </c>
      <c r="F8" s="44" t="s">
        <v>23</v>
      </c>
      <c r="G8" s="44" t="s">
        <v>131</v>
      </c>
      <c r="H8" s="104" t="s">
        <v>24</v>
      </c>
      <c r="I8" s="104" t="s">
        <v>24</v>
      </c>
    </row>
    <row r="9" spans="1:9" x14ac:dyDescent="0.25">
      <c r="A9" t="s">
        <v>7</v>
      </c>
      <c r="B9" s="5" t="s">
        <v>30</v>
      </c>
      <c r="C9" s="47">
        <f>SUM(Therms_CY2023!P10,Therms_CY2023!P11)</f>
        <v>636369361</v>
      </c>
      <c r="D9" s="7">
        <v>2.019E-2</v>
      </c>
      <c r="E9" s="7">
        <v>2.019E-2</v>
      </c>
      <c r="F9" s="38">
        <f>C9*D9</f>
        <v>12848297.39859</v>
      </c>
      <c r="G9" s="38">
        <f>C9*E9</f>
        <v>12848297.39859</v>
      </c>
      <c r="H9" s="8">
        <f>G9-F9</f>
        <v>0</v>
      </c>
      <c r="I9" s="1">
        <f>H9/F9</f>
        <v>0</v>
      </c>
    </row>
    <row r="10" spans="1:9" x14ac:dyDescent="0.25">
      <c r="A10" t="s">
        <v>31</v>
      </c>
      <c r="B10" s="5">
        <v>16</v>
      </c>
      <c r="C10" s="47">
        <f>Therms_CY2023!P9</f>
        <v>8832</v>
      </c>
      <c r="D10" s="7">
        <v>2.019E-2</v>
      </c>
      <c r="E10" s="7">
        <v>2.019E-2</v>
      </c>
      <c r="F10" s="38">
        <f t="shared" ref="F10:F21" si="0">C10*D10</f>
        <v>178.31808000000001</v>
      </c>
      <c r="G10" s="38">
        <f t="shared" ref="G10:G21" si="1">C10*E10</f>
        <v>178.31808000000001</v>
      </c>
      <c r="H10" s="8">
        <f t="shared" ref="H10:H21" si="2">G10-F10</f>
        <v>0</v>
      </c>
      <c r="I10" s="1">
        <f t="shared" ref="I10:I20" si="3">H10/F10</f>
        <v>0</v>
      </c>
    </row>
    <row r="11" spans="1:9" x14ac:dyDescent="0.25">
      <c r="A11" t="s">
        <v>8</v>
      </c>
      <c r="B11" s="5">
        <v>31</v>
      </c>
      <c r="C11" s="47">
        <f>Therms_CY2023!P12</f>
        <v>243192248</v>
      </c>
      <c r="D11" s="7">
        <v>2.019E-2</v>
      </c>
      <c r="E11" s="7">
        <v>2.019E-2</v>
      </c>
      <c r="F11" s="38">
        <f t="shared" si="0"/>
        <v>4910051.4871199997</v>
      </c>
      <c r="G11" s="38">
        <f t="shared" si="1"/>
        <v>4910051.4871199997</v>
      </c>
      <c r="H11" s="8">
        <f t="shared" si="2"/>
        <v>0</v>
      </c>
      <c r="I11" s="1">
        <f t="shared" si="3"/>
        <v>0</v>
      </c>
    </row>
    <row r="12" spans="1:9" x14ac:dyDescent="0.25">
      <c r="A12" t="s">
        <v>9</v>
      </c>
      <c r="B12" s="5">
        <v>41</v>
      </c>
      <c r="C12" s="47">
        <f>Therms_CY2023!P13</f>
        <v>66922885</v>
      </c>
      <c r="D12" s="7">
        <v>2.019E-2</v>
      </c>
      <c r="E12" s="7">
        <v>2.019E-2</v>
      </c>
      <c r="F12" s="38">
        <f t="shared" si="0"/>
        <v>1351173.0481499999</v>
      </c>
      <c r="G12" s="38">
        <f t="shared" si="1"/>
        <v>1351173.0481499999</v>
      </c>
      <c r="H12" s="8">
        <f t="shared" si="2"/>
        <v>0</v>
      </c>
      <c r="I12" s="1">
        <f t="shared" si="3"/>
        <v>0</v>
      </c>
    </row>
    <row r="13" spans="1:9" x14ac:dyDescent="0.25">
      <c r="A13" t="s">
        <v>10</v>
      </c>
      <c r="B13" s="5">
        <v>85</v>
      </c>
      <c r="C13" s="47">
        <f>Therms_CY2023!P14</f>
        <v>11124640</v>
      </c>
      <c r="D13" s="7">
        <v>1.678E-2</v>
      </c>
      <c r="E13" s="7">
        <v>1.678E-2</v>
      </c>
      <c r="F13" s="38">
        <f t="shared" si="0"/>
        <v>186671.45920000001</v>
      </c>
      <c r="G13" s="38">
        <f t="shared" si="1"/>
        <v>186671.45920000001</v>
      </c>
      <c r="H13" s="8">
        <f t="shared" si="2"/>
        <v>0</v>
      </c>
      <c r="I13" s="1">
        <f t="shared" si="3"/>
        <v>0</v>
      </c>
    </row>
    <row r="14" spans="1:9" x14ac:dyDescent="0.25">
      <c r="A14" t="s">
        <v>11</v>
      </c>
      <c r="B14" s="5">
        <v>86</v>
      </c>
      <c r="C14" s="47">
        <f>Therms_CY2023!P15</f>
        <v>5691490</v>
      </c>
      <c r="D14" s="7">
        <v>1.678E-2</v>
      </c>
      <c r="E14" s="7">
        <v>1.678E-2</v>
      </c>
      <c r="F14" s="38">
        <f t="shared" si="0"/>
        <v>95503.2022</v>
      </c>
      <c r="G14" s="38">
        <f t="shared" si="1"/>
        <v>95503.2022</v>
      </c>
      <c r="H14" s="8">
        <f t="shared" si="2"/>
        <v>0</v>
      </c>
      <c r="I14" s="1">
        <f t="shared" si="3"/>
        <v>0</v>
      </c>
    </row>
    <row r="15" spans="1:9" x14ac:dyDescent="0.25">
      <c r="A15" t="s">
        <v>12</v>
      </c>
      <c r="B15" s="5">
        <v>87</v>
      </c>
      <c r="C15" s="47">
        <f>Therms_CY2023!P16</f>
        <v>21819455.762355205</v>
      </c>
      <c r="D15" s="7">
        <v>1.678E-2</v>
      </c>
      <c r="E15" s="7">
        <v>1.678E-2</v>
      </c>
      <c r="F15" s="38">
        <f t="shared" si="0"/>
        <v>366130.46769232035</v>
      </c>
      <c r="G15" s="38">
        <f t="shared" si="1"/>
        <v>366130.46769232035</v>
      </c>
      <c r="H15" s="8">
        <f t="shared" si="2"/>
        <v>0</v>
      </c>
      <c r="I15" s="1">
        <f t="shared" si="3"/>
        <v>0</v>
      </c>
    </row>
    <row r="16" spans="1:9" x14ac:dyDescent="0.25">
      <c r="A16" t="s">
        <v>32</v>
      </c>
      <c r="B16" s="5" t="s">
        <v>33</v>
      </c>
      <c r="C16" s="47">
        <f>Therms_CY2023!P17</f>
        <v>34397</v>
      </c>
      <c r="D16" s="7">
        <v>0</v>
      </c>
      <c r="E16" s="7">
        <v>0</v>
      </c>
      <c r="F16" s="38">
        <f t="shared" si="0"/>
        <v>0</v>
      </c>
      <c r="G16" s="38">
        <f t="shared" si="1"/>
        <v>0</v>
      </c>
      <c r="H16" s="8">
        <f t="shared" si="2"/>
        <v>0</v>
      </c>
      <c r="I16" s="1" t="e">
        <f t="shared" si="3"/>
        <v>#DIV/0!</v>
      </c>
    </row>
    <row r="17" spans="1:9" x14ac:dyDescent="0.25">
      <c r="A17" t="s">
        <v>34</v>
      </c>
      <c r="B17" t="s">
        <v>35</v>
      </c>
      <c r="C17" s="47">
        <f>Therms_CY2023!P18</f>
        <v>25464521</v>
      </c>
      <c r="D17" s="7">
        <v>0</v>
      </c>
      <c r="E17" s="7">
        <v>0</v>
      </c>
      <c r="F17" s="38">
        <f t="shared" si="0"/>
        <v>0</v>
      </c>
      <c r="G17" s="38">
        <f t="shared" si="1"/>
        <v>0</v>
      </c>
      <c r="H17" s="8">
        <f t="shared" si="2"/>
        <v>0</v>
      </c>
      <c r="I17" s="1" t="e">
        <f t="shared" si="3"/>
        <v>#DIV/0!</v>
      </c>
    </row>
    <row r="18" spans="1:9" x14ac:dyDescent="0.25">
      <c r="A18" t="s">
        <v>36</v>
      </c>
      <c r="B18" t="s">
        <v>37</v>
      </c>
      <c r="C18" s="47">
        <f>Therms_CY2023!P19</f>
        <v>62787518</v>
      </c>
      <c r="D18" s="7">
        <v>0</v>
      </c>
      <c r="E18" s="7">
        <v>0</v>
      </c>
      <c r="F18" s="38">
        <f t="shared" si="0"/>
        <v>0</v>
      </c>
      <c r="G18" s="38">
        <f t="shared" si="1"/>
        <v>0</v>
      </c>
      <c r="H18" s="8">
        <f t="shared" si="2"/>
        <v>0</v>
      </c>
      <c r="I18" s="1" t="e">
        <f t="shared" si="3"/>
        <v>#DIV/0!</v>
      </c>
    </row>
    <row r="19" spans="1:9" x14ac:dyDescent="0.25">
      <c r="A19" t="s">
        <v>38</v>
      </c>
      <c r="B19" t="s">
        <v>39</v>
      </c>
      <c r="C19" s="47">
        <f>Therms_CY2023!P20</f>
        <v>542409</v>
      </c>
      <c r="D19" s="7">
        <v>0</v>
      </c>
      <c r="E19" s="7">
        <v>0</v>
      </c>
      <c r="F19" s="38">
        <f t="shared" si="0"/>
        <v>0</v>
      </c>
      <c r="G19" s="38">
        <f t="shared" si="1"/>
        <v>0</v>
      </c>
      <c r="H19" s="8">
        <f t="shared" si="2"/>
        <v>0</v>
      </c>
      <c r="I19" s="1" t="e">
        <f t="shared" si="3"/>
        <v>#DIV/0!</v>
      </c>
    </row>
    <row r="20" spans="1:9" x14ac:dyDescent="0.25">
      <c r="A20" t="s">
        <v>40</v>
      </c>
      <c r="B20" t="s">
        <v>41</v>
      </c>
      <c r="C20" s="47">
        <f>Therms_CY2023!P21</f>
        <v>128953412.64547956</v>
      </c>
      <c r="D20" s="7">
        <v>0</v>
      </c>
      <c r="E20" s="7">
        <v>0</v>
      </c>
      <c r="F20" s="38">
        <f t="shared" si="0"/>
        <v>0</v>
      </c>
      <c r="G20" s="38">
        <f t="shared" si="1"/>
        <v>0</v>
      </c>
      <c r="H20" s="8">
        <f t="shared" si="2"/>
        <v>0</v>
      </c>
      <c r="I20" s="1" t="e">
        <f t="shared" si="3"/>
        <v>#DIV/0!</v>
      </c>
    </row>
    <row r="21" spans="1:9" x14ac:dyDescent="0.25">
      <c r="A21" t="s">
        <v>13</v>
      </c>
      <c r="C21" s="47">
        <f>Therms_CY2023!P22</f>
        <v>31066760</v>
      </c>
      <c r="D21" s="9">
        <v>0</v>
      </c>
      <c r="E21" s="7">
        <v>0</v>
      </c>
      <c r="F21" s="38">
        <f t="shared" si="0"/>
        <v>0</v>
      </c>
      <c r="G21" s="38">
        <f t="shared" si="1"/>
        <v>0</v>
      </c>
      <c r="H21" s="8">
        <f t="shared" si="2"/>
        <v>0</v>
      </c>
      <c r="I21" s="1" t="e">
        <f>H21/F21</f>
        <v>#DIV/0!</v>
      </c>
    </row>
    <row r="22" spans="1:9" x14ac:dyDescent="0.25">
      <c r="A22" t="s">
        <v>6</v>
      </c>
      <c r="C22" s="10">
        <f>SUM(C9:C21)</f>
        <v>1233977929.407835</v>
      </c>
      <c r="D22" s="6"/>
      <c r="E22" s="123"/>
      <c r="F22" s="39">
        <f>SUM(F9:F21)</f>
        <v>19758005.381032318</v>
      </c>
      <c r="G22" s="39">
        <f>SUM(G9:G21)</f>
        <v>19758005.381032318</v>
      </c>
      <c r="H22" s="11">
        <f>SUM(H9:H21)</f>
        <v>0</v>
      </c>
      <c r="I22" s="2">
        <f>H22/F22</f>
        <v>0</v>
      </c>
    </row>
    <row r="23" spans="1:9" x14ac:dyDescent="0.25">
      <c r="A23" s="19"/>
      <c r="B23" s="51"/>
      <c r="C23" s="113"/>
      <c r="D23" s="113"/>
      <c r="E23" s="113"/>
      <c r="F23" s="113"/>
      <c r="G23" s="113"/>
      <c r="H23" s="20"/>
      <c r="I23" s="43"/>
    </row>
  </sheetData>
  <mergeCells count="4">
    <mergeCell ref="A1:I1"/>
    <mergeCell ref="A3:I3"/>
    <mergeCell ref="A4:I4"/>
    <mergeCell ref="A2:I2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59"/>
  <sheetViews>
    <sheetView zoomScale="90" zoomScaleNormal="90" workbookViewId="0">
      <pane ySplit="8" topLeftCell="A24" activePane="bottomLeft" state="frozen"/>
      <selection pane="bottomLeft" activeCell="J54" sqref="J54"/>
    </sheetView>
  </sheetViews>
  <sheetFormatPr defaultColWidth="9.140625" defaultRowHeight="15" x14ac:dyDescent="0.25"/>
  <cols>
    <col min="1" max="1" width="3.5703125" style="43" customWidth="1"/>
    <col min="2" max="2" width="19.85546875" style="43" customWidth="1"/>
    <col min="3" max="3" width="8.7109375" style="43" bestFit="1" customWidth="1"/>
    <col min="4" max="4" width="18.5703125" style="43" bestFit="1" customWidth="1"/>
    <col min="5" max="6" width="13.7109375" style="43" customWidth="1"/>
    <col min="7" max="9" width="14.42578125" style="43" customWidth="1"/>
    <col min="10" max="10" width="8.28515625" style="43" customWidth="1"/>
    <col min="11" max="11" width="11.85546875" style="43" bestFit="1" customWidth="1"/>
    <col min="12" max="12" width="11.28515625" style="43" bestFit="1" customWidth="1"/>
    <col min="13" max="13" width="10.5703125" style="43" customWidth="1"/>
    <col min="14" max="16384" width="9.140625" style="43"/>
  </cols>
  <sheetData>
    <row r="1" spans="1:10" ht="15" customHeight="1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customHeight="1" x14ac:dyDescent="0.25">
      <c r="A2" s="218" t="s">
        <v>151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0" ht="15" customHeight="1" x14ac:dyDescent="0.25">
      <c r="A3" s="218" t="s">
        <v>152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0" ht="15" customHeight="1" x14ac:dyDescent="0.25">
      <c r="A4" s="218" t="s">
        <v>194</v>
      </c>
      <c r="B4" s="218"/>
      <c r="C4" s="218"/>
      <c r="D4" s="218"/>
      <c r="E4" s="218"/>
      <c r="F4" s="218"/>
      <c r="G4" s="218"/>
      <c r="H4" s="218"/>
      <c r="I4" s="218"/>
      <c r="J4" s="218"/>
    </row>
    <row r="6" spans="1:10" x14ac:dyDescent="0.25">
      <c r="D6" s="3" t="s">
        <v>15</v>
      </c>
      <c r="E6" s="48"/>
      <c r="F6" s="48"/>
      <c r="G6" s="48" t="s">
        <v>15</v>
      </c>
      <c r="H6" s="48" t="s">
        <v>15</v>
      </c>
      <c r="I6" s="48" t="s">
        <v>80</v>
      </c>
    </row>
    <row r="7" spans="1:10" x14ac:dyDescent="0.25">
      <c r="C7" s="48" t="s">
        <v>17</v>
      </c>
      <c r="D7" s="3" t="s">
        <v>3</v>
      </c>
      <c r="E7" s="48" t="s">
        <v>5</v>
      </c>
      <c r="F7" s="48" t="s">
        <v>1</v>
      </c>
      <c r="G7" s="48" t="s">
        <v>2</v>
      </c>
      <c r="H7" s="48" t="s">
        <v>2</v>
      </c>
      <c r="I7" s="48" t="s">
        <v>2</v>
      </c>
      <c r="J7" s="3" t="s">
        <v>20</v>
      </c>
    </row>
    <row r="8" spans="1:10" x14ac:dyDescent="0.25">
      <c r="A8" s="224" t="s">
        <v>81</v>
      </c>
      <c r="B8" s="224"/>
      <c r="C8" s="44" t="s">
        <v>21</v>
      </c>
      <c r="D8" s="71" t="str">
        <f>'Sch. 101'!$D$8</f>
        <v>12ME Dec. 2023</v>
      </c>
      <c r="E8" s="44" t="s">
        <v>123</v>
      </c>
      <c r="F8" s="44" t="s">
        <v>17</v>
      </c>
      <c r="G8" s="44" t="s">
        <v>23</v>
      </c>
      <c r="H8" s="44" t="s">
        <v>131</v>
      </c>
      <c r="I8" s="44" t="s">
        <v>24</v>
      </c>
      <c r="J8" s="104" t="s">
        <v>24</v>
      </c>
    </row>
    <row r="9" spans="1:10" x14ac:dyDescent="0.25">
      <c r="A9" s="43" t="s">
        <v>7</v>
      </c>
      <c r="C9" s="48" t="s">
        <v>53</v>
      </c>
      <c r="D9" s="47">
        <f>SUM(Therms_CY2023!P10,Therms_CY2023!P11)</f>
        <v>636369361</v>
      </c>
      <c r="E9" s="7">
        <v>3.65E-3</v>
      </c>
      <c r="F9" s="7">
        <v>3.65E-3</v>
      </c>
      <c r="G9" s="40">
        <f>D9*(E9)</f>
        <v>2322748.1676500002</v>
      </c>
      <c r="H9" s="40">
        <f>D9*(F9)</f>
        <v>2322748.1676500002</v>
      </c>
      <c r="I9" s="50">
        <f>H9-G9</f>
        <v>0</v>
      </c>
      <c r="J9" s="20">
        <f>I9/G9</f>
        <v>0</v>
      </c>
    </row>
    <row r="10" spans="1:10" x14ac:dyDescent="0.25">
      <c r="C10" s="48"/>
      <c r="D10" s="47"/>
      <c r="E10" s="7"/>
      <c r="F10" s="7"/>
      <c r="G10" s="40"/>
      <c r="H10" s="40"/>
      <c r="I10" s="50"/>
    </row>
    <row r="11" spans="1:10" x14ac:dyDescent="0.25">
      <c r="A11" s="43" t="s">
        <v>54</v>
      </c>
      <c r="C11" s="48">
        <v>31</v>
      </c>
      <c r="D11" s="47">
        <f>Therms_CY2023!P12</f>
        <v>243192248</v>
      </c>
      <c r="E11" s="7">
        <v>3.0799999999999998E-3</v>
      </c>
      <c r="F11" s="7">
        <v>3.0799999999999998E-3</v>
      </c>
      <c r="G11" s="40">
        <f>D11*(E11)</f>
        <v>749032.12384000001</v>
      </c>
      <c r="H11" s="40">
        <f>D11*(F11)</f>
        <v>749032.12384000001</v>
      </c>
      <c r="I11" s="50">
        <f t="shared" ref="I11:I47" si="0">H11-G11</f>
        <v>0</v>
      </c>
      <c r="J11" s="20">
        <f t="shared" ref="J11:J12" si="1">I11/G11</f>
        <v>0</v>
      </c>
    </row>
    <row r="12" spans="1:10" x14ac:dyDescent="0.25">
      <c r="A12" s="43" t="s">
        <v>54</v>
      </c>
      <c r="C12" s="48" t="s">
        <v>33</v>
      </c>
      <c r="D12" s="47">
        <f>Therms_CY2023!P17</f>
        <v>34397</v>
      </c>
      <c r="E12" s="7">
        <v>3.0799999999999998E-3</v>
      </c>
      <c r="F12" s="7">
        <v>3.0799999999999998E-3</v>
      </c>
      <c r="G12" s="40">
        <f>D12*(E12)</f>
        <v>105.94275999999999</v>
      </c>
      <c r="H12" s="40">
        <f>D12*(F12)</f>
        <v>105.94275999999999</v>
      </c>
      <c r="I12" s="50">
        <f t="shared" si="0"/>
        <v>0</v>
      </c>
      <c r="J12" s="20">
        <f t="shared" si="1"/>
        <v>0</v>
      </c>
    </row>
    <row r="13" spans="1:10" x14ac:dyDescent="0.25">
      <c r="C13" s="48"/>
      <c r="D13" s="47"/>
      <c r="E13" s="7"/>
      <c r="F13" s="7"/>
      <c r="G13" s="40"/>
      <c r="H13" s="40"/>
      <c r="I13" s="50"/>
    </row>
    <row r="14" spans="1:10" x14ac:dyDescent="0.25">
      <c r="A14" s="43" t="s">
        <v>55</v>
      </c>
      <c r="C14" s="48">
        <v>41</v>
      </c>
      <c r="D14" s="47">
        <f>Therms_CY2023!P13</f>
        <v>66922885</v>
      </c>
      <c r="E14" s="7">
        <v>1.49E-3</v>
      </c>
      <c r="F14" s="7">
        <v>1.49E-3</v>
      </c>
      <c r="G14" s="40">
        <f>D14*(E14)</f>
        <v>99715.09865</v>
      </c>
      <c r="H14" s="40">
        <f>D14*(F14)</f>
        <v>99715.09865</v>
      </c>
      <c r="I14" s="50">
        <f t="shared" si="0"/>
        <v>0</v>
      </c>
      <c r="J14" s="20">
        <f t="shared" ref="J14:J15" si="2">I14/G14</f>
        <v>0</v>
      </c>
    </row>
    <row r="15" spans="1:10" x14ac:dyDescent="0.25">
      <c r="A15" s="43" t="s">
        <v>55</v>
      </c>
      <c r="C15" s="48" t="s">
        <v>35</v>
      </c>
      <c r="D15" s="93">
        <f>Therms_CY2023!P18</f>
        <v>25464521</v>
      </c>
      <c r="E15" s="7">
        <v>1.49E-3</v>
      </c>
      <c r="F15" s="7">
        <v>1.49E-3</v>
      </c>
      <c r="G15" s="40">
        <f>D15*(E15)</f>
        <v>37942.136290000002</v>
      </c>
      <c r="H15" s="40">
        <f>D15*(F15)</f>
        <v>37942.136290000002</v>
      </c>
      <c r="I15" s="50">
        <f t="shared" si="0"/>
        <v>0</v>
      </c>
      <c r="J15" s="20">
        <f t="shared" si="2"/>
        <v>0</v>
      </c>
    </row>
    <row r="16" spans="1:10" x14ac:dyDescent="0.25">
      <c r="C16" s="48"/>
      <c r="D16" s="51"/>
      <c r="E16" s="7"/>
      <c r="F16" s="7"/>
      <c r="G16" s="40"/>
      <c r="H16" s="40"/>
      <c r="I16" s="50"/>
    </row>
    <row r="17" spans="1:10" x14ac:dyDescent="0.25">
      <c r="A17" s="43" t="s">
        <v>10</v>
      </c>
      <c r="C17" s="48">
        <v>85</v>
      </c>
      <c r="D17" s="94"/>
      <c r="E17" s="7"/>
      <c r="F17" s="7"/>
      <c r="G17" s="40"/>
      <c r="H17" s="40"/>
      <c r="I17" s="50"/>
    </row>
    <row r="18" spans="1:10" x14ac:dyDescent="0.25">
      <c r="B18" s="43" t="s">
        <v>62</v>
      </c>
      <c r="C18" s="48"/>
      <c r="D18" s="94">
        <f>Therms_CY2023!$P$14*'12ME Dec 2023 Therms by Block%'!N19</f>
        <v>4674926.706264955</v>
      </c>
      <c r="E18" s="7">
        <v>1.0300000000000001E-3</v>
      </c>
      <c r="F18" s="7">
        <v>1.0300000000000001E-3</v>
      </c>
      <c r="G18" s="40">
        <f t="shared" ref="G18:G47" si="3">D18*(E18)</f>
        <v>4815.1745074529044</v>
      </c>
      <c r="H18" s="40">
        <f t="shared" ref="H18:H47" si="4">D18*(F18)</f>
        <v>4815.1745074529044</v>
      </c>
      <c r="I18" s="50">
        <f t="shared" si="0"/>
        <v>0</v>
      </c>
      <c r="J18" s="20">
        <f t="shared" ref="J18:J21" si="5">I18/G18</f>
        <v>0</v>
      </c>
    </row>
    <row r="19" spans="1:10" x14ac:dyDescent="0.25">
      <c r="B19" s="43" t="s">
        <v>63</v>
      </c>
      <c r="C19" s="48"/>
      <c r="D19" s="94">
        <f>Therms_CY2023!$P$14*'12ME Dec 2023 Therms by Block%'!N20</f>
        <v>2569738.4472592678</v>
      </c>
      <c r="E19" s="7">
        <v>6.3000000000000003E-4</v>
      </c>
      <c r="F19" s="7">
        <v>6.3000000000000003E-4</v>
      </c>
      <c r="G19" s="40">
        <f t="shared" si="3"/>
        <v>1618.9352217733388</v>
      </c>
      <c r="H19" s="40">
        <f t="shared" si="4"/>
        <v>1618.9352217733388</v>
      </c>
      <c r="I19" s="50">
        <f t="shared" si="0"/>
        <v>0</v>
      </c>
      <c r="J19" s="20">
        <f t="shared" si="5"/>
        <v>0</v>
      </c>
    </row>
    <row r="20" spans="1:10" x14ac:dyDescent="0.25">
      <c r="B20" s="43" t="s">
        <v>64</v>
      </c>
      <c r="C20" s="48"/>
      <c r="D20" s="94">
        <f>Therms_CY2023!$P$14*'12ME Dec 2023 Therms by Block%'!N21</f>
        <v>3879974.8464757777</v>
      </c>
      <c r="E20" s="7">
        <v>3.6000000000000002E-4</v>
      </c>
      <c r="F20" s="7">
        <v>3.6000000000000002E-4</v>
      </c>
      <c r="G20" s="40">
        <f t="shared" si="3"/>
        <v>1396.79094473128</v>
      </c>
      <c r="H20" s="40">
        <f t="shared" si="4"/>
        <v>1396.79094473128</v>
      </c>
      <c r="I20" s="50">
        <f t="shared" si="0"/>
        <v>0</v>
      </c>
      <c r="J20" s="20">
        <f t="shared" si="5"/>
        <v>0</v>
      </c>
    </row>
    <row r="21" spans="1:10" x14ac:dyDescent="0.25">
      <c r="B21" s="43" t="s">
        <v>6</v>
      </c>
      <c r="C21" s="48"/>
      <c r="D21" s="96">
        <f>SUM(D18:D20)</f>
        <v>11124640</v>
      </c>
      <c r="E21" s="7"/>
      <c r="F21" s="7"/>
      <c r="G21" s="79">
        <f>SUM(G18:G20)</f>
        <v>7830.9006739575234</v>
      </c>
      <c r="H21" s="79">
        <f t="shared" ref="H21:I21" si="6">SUM(H18:H20)</f>
        <v>7830.9006739575234</v>
      </c>
      <c r="I21" s="79">
        <f t="shared" si="6"/>
        <v>0</v>
      </c>
      <c r="J21" s="97">
        <f t="shared" si="5"/>
        <v>0</v>
      </c>
    </row>
    <row r="22" spans="1:10" x14ac:dyDescent="0.25">
      <c r="C22" s="48"/>
      <c r="D22" s="51"/>
      <c r="E22" s="7"/>
      <c r="F22" s="7"/>
      <c r="G22" s="40"/>
      <c r="H22" s="40"/>
      <c r="I22" s="50"/>
    </row>
    <row r="23" spans="1:10" x14ac:dyDescent="0.25">
      <c r="A23" s="43" t="s">
        <v>10</v>
      </c>
      <c r="C23" s="48">
        <v>86</v>
      </c>
      <c r="D23" s="47">
        <f>Therms_CY2023!P15</f>
        <v>5691490</v>
      </c>
      <c r="E23" s="7">
        <v>1.31E-3</v>
      </c>
      <c r="F23" s="7">
        <v>1.31E-3</v>
      </c>
      <c r="G23" s="40">
        <f t="shared" si="3"/>
        <v>7455.8518999999997</v>
      </c>
      <c r="H23" s="40">
        <f t="shared" si="4"/>
        <v>7455.8518999999997</v>
      </c>
      <c r="I23" s="50">
        <f t="shared" si="0"/>
        <v>0</v>
      </c>
      <c r="J23" s="20">
        <f t="shared" ref="J23:J24" si="7">I23/G23</f>
        <v>0</v>
      </c>
    </row>
    <row r="24" spans="1:10" x14ac:dyDescent="0.25">
      <c r="A24" s="43" t="s">
        <v>10</v>
      </c>
      <c r="C24" s="48" t="s">
        <v>39</v>
      </c>
      <c r="D24" s="93">
        <f>Therms_CY2023!P20</f>
        <v>542409</v>
      </c>
      <c r="E24" s="7">
        <v>1.31E-3</v>
      </c>
      <c r="F24" s="7">
        <v>1.31E-3</v>
      </c>
      <c r="G24" s="40">
        <f t="shared" si="3"/>
        <v>710.55579</v>
      </c>
      <c r="H24" s="40">
        <f t="shared" si="4"/>
        <v>710.55579</v>
      </c>
      <c r="I24" s="50">
        <f t="shared" si="0"/>
        <v>0</v>
      </c>
      <c r="J24" s="20">
        <f t="shared" si="7"/>
        <v>0</v>
      </c>
    </row>
    <row r="25" spans="1:10" x14ac:dyDescent="0.25">
      <c r="C25" s="48"/>
      <c r="D25" s="51"/>
      <c r="E25" s="7"/>
      <c r="F25" s="7"/>
      <c r="G25" s="40"/>
      <c r="H25" s="40"/>
      <c r="I25" s="50"/>
    </row>
    <row r="26" spans="1:10" x14ac:dyDescent="0.25">
      <c r="A26" s="43" t="s">
        <v>10</v>
      </c>
      <c r="C26" s="48">
        <v>87</v>
      </c>
      <c r="D26" s="51"/>
      <c r="E26" s="7"/>
      <c r="F26" s="7"/>
      <c r="G26" s="40"/>
      <c r="H26" s="40"/>
      <c r="I26" s="50"/>
    </row>
    <row r="27" spans="1:10" x14ac:dyDescent="0.25">
      <c r="B27" s="43" t="s">
        <v>62</v>
      </c>
      <c r="C27" s="48"/>
      <c r="D27" s="94">
        <f>Therms_CY2023!$P$16*'12ME Dec 2023 Therms by Block%'!N41</f>
        <v>1512192.9999999995</v>
      </c>
      <c r="E27" s="7">
        <v>1.0300000000000001E-3</v>
      </c>
      <c r="F27" s="7">
        <v>1.0300000000000001E-3</v>
      </c>
      <c r="G27" s="40">
        <f t="shared" si="3"/>
        <v>1557.5587899999996</v>
      </c>
      <c r="H27" s="40">
        <f t="shared" si="4"/>
        <v>1557.5587899999996</v>
      </c>
      <c r="I27" s="50">
        <f t="shared" si="0"/>
        <v>0</v>
      </c>
      <c r="J27" s="20">
        <f t="shared" ref="J27:J33" si="8">I27/G27</f>
        <v>0</v>
      </c>
    </row>
    <row r="28" spans="1:10" x14ac:dyDescent="0.25">
      <c r="B28" s="43" t="s">
        <v>63</v>
      </c>
      <c r="C28" s="48"/>
      <c r="D28" s="94">
        <f>Therms_CY2023!$P$16*'12ME Dec 2023 Therms by Block%'!N42</f>
        <v>1398016.115</v>
      </c>
      <c r="E28" s="7">
        <v>6.3000000000000003E-4</v>
      </c>
      <c r="F28" s="7">
        <v>6.3000000000000003E-4</v>
      </c>
      <c r="G28" s="40">
        <f t="shared" si="3"/>
        <v>880.75015245000009</v>
      </c>
      <c r="H28" s="40">
        <f t="shared" si="4"/>
        <v>880.75015245000009</v>
      </c>
      <c r="I28" s="50">
        <f t="shared" si="0"/>
        <v>0</v>
      </c>
      <c r="J28" s="20">
        <f t="shared" si="8"/>
        <v>0</v>
      </c>
    </row>
    <row r="29" spans="1:10" x14ac:dyDescent="0.25">
      <c r="B29" s="43" t="s">
        <v>68</v>
      </c>
      <c r="C29" s="48"/>
      <c r="D29" s="94">
        <f>Therms_CY2023!$P$16*'12ME Dec 2023 Therms by Block%'!N43</f>
        <v>2316890.0959999994</v>
      </c>
      <c r="E29" s="7">
        <v>4.0999999999999999E-4</v>
      </c>
      <c r="F29" s="7">
        <v>4.0999999999999999E-4</v>
      </c>
      <c r="G29" s="40">
        <f t="shared" si="3"/>
        <v>949.92493935999971</v>
      </c>
      <c r="H29" s="40">
        <f t="shared" si="4"/>
        <v>949.92493935999971</v>
      </c>
      <c r="I29" s="50">
        <f t="shared" si="0"/>
        <v>0</v>
      </c>
      <c r="J29" s="20">
        <f t="shared" si="8"/>
        <v>0</v>
      </c>
    </row>
    <row r="30" spans="1:10" x14ac:dyDescent="0.25">
      <c r="B30" s="43" t="s">
        <v>69</v>
      </c>
      <c r="C30" s="48"/>
      <c r="D30" s="94">
        <f>Therms_CY2023!$P$16*'12ME Dec 2023 Therms by Block%'!N44</f>
        <v>3045256.8779999996</v>
      </c>
      <c r="E30" s="7">
        <v>2.7E-4</v>
      </c>
      <c r="F30" s="7">
        <v>2.7E-4</v>
      </c>
      <c r="G30" s="40">
        <f t="shared" si="3"/>
        <v>822.21935705999988</v>
      </c>
      <c r="H30" s="40">
        <f t="shared" si="4"/>
        <v>822.21935705999988</v>
      </c>
      <c r="I30" s="50">
        <f t="shared" si="0"/>
        <v>0</v>
      </c>
      <c r="J30" s="20">
        <f t="shared" si="8"/>
        <v>0</v>
      </c>
    </row>
    <row r="31" spans="1:10" x14ac:dyDescent="0.25">
      <c r="B31" s="43" t="s">
        <v>70</v>
      </c>
      <c r="C31" s="48"/>
      <c r="D31" s="94">
        <f>Therms_CY2023!$P$16*'12ME Dec 2023 Therms by Block%'!N45</f>
        <v>3792042.2029999993</v>
      </c>
      <c r="E31" s="7">
        <v>2.0000000000000001E-4</v>
      </c>
      <c r="F31" s="7">
        <v>2.0000000000000001E-4</v>
      </c>
      <c r="G31" s="40">
        <f t="shared" si="3"/>
        <v>758.40844059999995</v>
      </c>
      <c r="H31" s="40">
        <f t="shared" si="4"/>
        <v>758.40844059999995</v>
      </c>
      <c r="I31" s="50">
        <f t="shared" si="0"/>
        <v>0</v>
      </c>
      <c r="J31" s="20">
        <f t="shared" si="8"/>
        <v>0</v>
      </c>
    </row>
    <row r="32" spans="1:10" x14ac:dyDescent="0.25">
      <c r="B32" s="43" t="s">
        <v>71</v>
      </c>
      <c r="C32" s="48"/>
      <c r="D32" s="94">
        <f>Therms_CY2023!$P$16*'12ME Dec 2023 Therms by Block%'!N46</f>
        <v>9755057.4703552052</v>
      </c>
      <c r="E32" s="7">
        <v>1.6000000000000001E-4</v>
      </c>
      <c r="F32" s="7">
        <v>1.6000000000000001E-4</v>
      </c>
      <c r="G32" s="40">
        <f t="shared" si="3"/>
        <v>1560.8091952568329</v>
      </c>
      <c r="H32" s="40">
        <f t="shared" si="4"/>
        <v>1560.8091952568329</v>
      </c>
      <c r="I32" s="50">
        <f t="shared" si="0"/>
        <v>0</v>
      </c>
      <c r="J32" s="20">
        <f t="shared" si="8"/>
        <v>0</v>
      </c>
    </row>
    <row r="33" spans="1:10" x14ac:dyDescent="0.25">
      <c r="B33" s="43" t="s">
        <v>6</v>
      </c>
      <c r="C33" s="48"/>
      <c r="D33" s="96">
        <f>SUM(D27:D32)</f>
        <v>21819455.762355201</v>
      </c>
      <c r="E33" s="7"/>
      <c r="F33" s="7"/>
      <c r="G33" s="79">
        <f>SUM(G27:G32)</f>
        <v>6529.6708747268322</v>
      </c>
      <c r="H33" s="79">
        <f t="shared" ref="H33:I33" si="9">SUM(H27:H32)</f>
        <v>6529.6708747268322</v>
      </c>
      <c r="I33" s="79">
        <f t="shared" si="9"/>
        <v>0</v>
      </c>
      <c r="J33" s="97">
        <f t="shared" si="8"/>
        <v>0</v>
      </c>
    </row>
    <row r="34" spans="1:10" x14ac:dyDescent="0.25">
      <c r="C34" s="48"/>
      <c r="D34" s="51"/>
      <c r="E34" s="7"/>
      <c r="F34" s="7"/>
      <c r="G34" s="40"/>
      <c r="H34" s="40"/>
      <c r="I34" s="50"/>
      <c r="J34" s="105"/>
    </row>
    <row r="35" spans="1:10" x14ac:dyDescent="0.25">
      <c r="A35" s="43" t="s">
        <v>82</v>
      </c>
      <c r="C35" s="48" t="s">
        <v>37</v>
      </c>
      <c r="D35" s="51"/>
      <c r="E35" s="7"/>
      <c r="F35" s="7"/>
      <c r="G35" s="40"/>
      <c r="H35" s="40"/>
      <c r="I35" s="50"/>
      <c r="J35" s="105"/>
    </row>
    <row r="36" spans="1:10" x14ac:dyDescent="0.25">
      <c r="B36" s="43" t="s">
        <v>62</v>
      </c>
      <c r="C36" s="48"/>
      <c r="D36" s="94">
        <f>Therms_CY2023!$P$19*'12ME Dec 2023 Therms by Block%'!N25</f>
        <v>22292868.21511953</v>
      </c>
      <c r="E36" s="7">
        <v>1.0300000000000001E-3</v>
      </c>
      <c r="F36" s="7">
        <v>1.0300000000000001E-3</v>
      </c>
      <c r="G36" s="40">
        <f t="shared" si="3"/>
        <v>22961.654261573116</v>
      </c>
      <c r="H36" s="40">
        <f t="shared" si="4"/>
        <v>22961.654261573116</v>
      </c>
      <c r="I36" s="50">
        <f t="shared" si="0"/>
        <v>0</v>
      </c>
      <c r="J36" s="20">
        <f t="shared" ref="J36:J39" si="10">I36/G36</f>
        <v>0</v>
      </c>
    </row>
    <row r="37" spans="1:10" x14ac:dyDescent="0.25">
      <c r="B37" s="43" t="s">
        <v>63</v>
      </c>
      <c r="C37" s="48"/>
      <c r="D37" s="94">
        <f>Therms_CY2023!$P$19*'12ME Dec 2023 Therms by Block%'!N26</f>
        <v>15820769.939721871</v>
      </c>
      <c r="E37" s="7">
        <v>6.3000000000000003E-4</v>
      </c>
      <c r="F37" s="7">
        <v>6.3000000000000003E-4</v>
      </c>
      <c r="G37" s="40">
        <f t="shared" si="3"/>
        <v>9967.0850620247784</v>
      </c>
      <c r="H37" s="40">
        <f t="shared" si="4"/>
        <v>9967.0850620247784</v>
      </c>
      <c r="I37" s="50">
        <f t="shared" si="0"/>
        <v>0</v>
      </c>
      <c r="J37" s="20">
        <f t="shared" si="10"/>
        <v>0</v>
      </c>
    </row>
    <row r="38" spans="1:10" x14ac:dyDescent="0.25">
      <c r="B38" s="43" t="s">
        <v>64</v>
      </c>
      <c r="C38" s="48"/>
      <c r="D38" s="94">
        <f>Therms_CY2023!$P$19*'12ME Dec 2023 Therms by Block%'!N27</f>
        <v>24673879.845158603</v>
      </c>
      <c r="E38" s="7">
        <v>3.6000000000000002E-4</v>
      </c>
      <c r="F38" s="7">
        <v>3.6000000000000002E-4</v>
      </c>
      <c r="G38" s="40">
        <f t="shared" si="3"/>
        <v>8882.5967442570982</v>
      </c>
      <c r="H38" s="40">
        <f t="shared" si="4"/>
        <v>8882.5967442570982</v>
      </c>
      <c r="I38" s="50">
        <f t="shared" si="0"/>
        <v>0</v>
      </c>
      <c r="J38" s="20">
        <f t="shared" si="10"/>
        <v>0</v>
      </c>
    </row>
    <row r="39" spans="1:10" x14ac:dyDescent="0.25">
      <c r="B39" s="43" t="s">
        <v>6</v>
      </c>
      <c r="C39" s="48"/>
      <c r="D39" s="96">
        <f>SUM(D36:D38)</f>
        <v>62787518</v>
      </c>
      <c r="E39" s="7"/>
      <c r="F39" s="7"/>
      <c r="G39" s="79">
        <f>SUM(G36:G38)</f>
        <v>41811.336067854994</v>
      </c>
      <c r="H39" s="79">
        <f t="shared" ref="H39:I39" si="11">SUM(H36:H38)</f>
        <v>41811.336067854994</v>
      </c>
      <c r="I39" s="79">
        <f t="shared" si="11"/>
        <v>0</v>
      </c>
      <c r="J39" s="97">
        <f t="shared" si="10"/>
        <v>0</v>
      </c>
    </row>
    <row r="40" spans="1:10" x14ac:dyDescent="0.25">
      <c r="C40" s="48"/>
      <c r="D40" s="51"/>
      <c r="E40" s="7"/>
      <c r="F40" s="7"/>
      <c r="G40" s="40"/>
      <c r="H40" s="40"/>
      <c r="I40" s="50"/>
      <c r="J40" s="105"/>
    </row>
    <row r="41" spans="1:10" x14ac:dyDescent="0.25">
      <c r="A41" s="43" t="s">
        <v>82</v>
      </c>
      <c r="C41" s="48" t="s">
        <v>41</v>
      </c>
      <c r="D41" s="51"/>
      <c r="E41" s="7"/>
      <c r="F41" s="7"/>
      <c r="G41" s="40"/>
      <c r="H41" s="40"/>
      <c r="I41" s="50"/>
    </row>
    <row r="42" spans="1:10" x14ac:dyDescent="0.25">
      <c r="B42" s="43" t="s">
        <v>62</v>
      </c>
      <c r="C42" s="48"/>
      <c r="D42" s="94">
        <f>Therms_CY2023!$P$21*'12ME Dec 2023 Therms by Block%'!N50</f>
        <v>3298789.6700000004</v>
      </c>
      <c r="E42" s="7">
        <v>1.0300000000000001E-3</v>
      </c>
      <c r="F42" s="7">
        <v>1.0300000000000001E-3</v>
      </c>
      <c r="G42" s="40">
        <f t="shared" si="3"/>
        <v>3397.7533601000009</v>
      </c>
      <c r="H42" s="40">
        <f t="shared" si="4"/>
        <v>3397.7533601000009</v>
      </c>
      <c r="I42" s="50">
        <f t="shared" si="0"/>
        <v>0</v>
      </c>
      <c r="J42" s="20">
        <f t="shared" ref="J42:J48" si="12">I42/G42</f>
        <v>0</v>
      </c>
    </row>
    <row r="43" spans="1:10" x14ac:dyDescent="0.25">
      <c r="B43" s="43" t="s">
        <v>63</v>
      </c>
      <c r="C43" s="48"/>
      <c r="D43" s="94">
        <f>Therms_CY2023!$P$21*'12ME Dec 2023 Therms by Block%'!N51</f>
        <v>3299999.9999999995</v>
      </c>
      <c r="E43" s="7">
        <v>6.3000000000000003E-4</v>
      </c>
      <c r="F43" s="7">
        <v>6.3000000000000003E-4</v>
      </c>
      <c r="G43" s="40">
        <f t="shared" si="3"/>
        <v>2079</v>
      </c>
      <c r="H43" s="40">
        <f t="shared" si="4"/>
        <v>2079</v>
      </c>
      <c r="I43" s="50">
        <f t="shared" si="0"/>
        <v>0</v>
      </c>
      <c r="J43" s="20">
        <f t="shared" si="12"/>
        <v>0</v>
      </c>
    </row>
    <row r="44" spans="1:10" x14ac:dyDescent="0.25">
      <c r="B44" s="43" t="s">
        <v>68</v>
      </c>
      <c r="C44" s="48"/>
      <c r="D44" s="94">
        <f>Therms_CY2023!$P$21*'12ME Dec 2023 Therms by Block%'!N52</f>
        <v>6599999.9999999991</v>
      </c>
      <c r="E44" s="7">
        <v>4.0999999999999999E-4</v>
      </c>
      <c r="F44" s="7">
        <v>4.0999999999999999E-4</v>
      </c>
      <c r="G44" s="40">
        <f t="shared" si="3"/>
        <v>2705.9999999999995</v>
      </c>
      <c r="H44" s="40">
        <f t="shared" si="4"/>
        <v>2705.9999999999995</v>
      </c>
      <c r="I44" s="50">
        <f t="shared" si="0"/>
        <v>0</v>
      </c>
      <c r="J44" s="20">
        <f t="shared" si="12"/>
        <v>0</v>
      </c>
    </row>
    <row r="45" spans="1:10" x14ac:dyDescent="0.25">
      <c r="B45" s="43" t="s">
        <v>69</v>
      </c>
      <c r="C45" s="48"/>
      <c r="D45" s="94">
        <f>Therms_CY2023!$P$21*'12ME Dec 2023 Therms by Block%'!N53</f>
        <v>12663691.019999998</v>
      </c>
      <c r="E45" s="7">
        <v>2.7E-4</v>
      </c>
      <c r="F45" s="7">
        <v>2.7E-4</v>
      </c>
      <c r="G45" s="40">
        <f t="shared" si="3"/>
        <v>3419.1965753999993</v>
      </c>
      <c r="H45" s="40">
        <f t="shared" si="4"/>
        <v>3419.1965753999993</v>
      </c>
      <c r="I45" s="50">
        <f t="shared" si="0"/>
        <v>0</v>
      </c>
      <c r="J45" s="20">
        <f t="shared" si="12"/>
        <v>0</v>
      </c>
    </row>
    <row r="46" spans="1:10" x14ac:dyDescent="0.25">
      <c r="B46" s="43" t="s">
        <v>70</v>
      </c>
      <c r="C46" s="48"/>
      <c r="D46" s="94">
        <f>Therms_CY2023!$P$21*'12ME Dec 2023 Therms by Block%'!N54</f>
        <v>29344602.149999999</v>
      </c>
      <c r="E46" s="7">
        <v>2.0000000000000001E-4</v>
      </c>
      <c r="F46" s="7">
        <v>2.0000000000000001E-4</v>
      </c>
      <c r="G46" s="40">
        <f t="shared" si="3"/>
        <v>5868.9204300000001</v>
      </c>
      <c r="H46" s="40">
        <f t="shared" si="4"/>
        <v>5868.9204300000001</v>
      </c>
      <c r="I46" s="50">
        <f t="shared" si="0"/>
        <v>0</v>
      </c>
      <c r="J46" s="20">
        <f t="shared" si="12"/>
        <v>0</v>
      </c>
    </row>
    <row r="47" spans="1:10" x14ac:dyDescent="0.25">
      <c r="B47" s="43" t="s">
        <v>71</v>
      </c>
      <c r="C47" s="48"/>
      <c r="D47" s="94">
        <f>Therms_CY2023!$P$21*'12ME Dec 2023 Therms by Block%'!N55</f>
        <v>73746329.805479571</v>
      </c>
      <c r="E47" s="7">
        <v>1.6000000000000001E-4</v>
      </c>
      <c r="F47" s="7">
        <v>1.6000000000000001E-4</v>
      </c>
      <c r="G47" s="40">
        <f t="shared" si="3"/>
        <v>11799.412768876733</v>
      </c>
      <c r="H47" s="40">
        <f t="shared" si="4"/>
        <v>11799.412768876733</v>
      </c>
      <c r="I47" s="50">
        <f t="shared" si="0"/>
        <v>0</v>
      </c>
      <c r="J47" s="20">
        <f t="shared" si="12"/>
        <v>0</v>
      </c>
    </row>
    <row r="48" spans="1:10" x14ac:dyDescent="0.25">
      <c r="B48" s="43" t="s">
        <v>6</v>
      </c>
      <c r="C48" s="48"/>
      <c r="D48" s="96">
        <f>SUM(D42:D47)</f>
        <v>128953412.64547956</v>
      </c>
      <c r="E48" s="7"/>
      <c r="F48" s="7"/>
      <c r="G48" s="79">
        <f>SUM(G42:G47)</f>
        <v>29270.283134376732</v>
      </c>
      <c r="H48" s="79">
        <f t="shared" ref="H48:I48" si="13">SUM(H42:H47)</f>
        <v>29270.283134376732</v>
      </c>
      <c r="I48" s="79">
        <f t="shared" si="13"/>
        <v>0</v>
      </c>
      <c r="J48" s="97">
        <f t="shared" si="12"/>
        <v>0</v>
      </c>
    </row>
    <row r="49" spans="2:12" x14ac:dyDescent="0.25">
      <c r="D49" s="95"/>
      <c r="E49" s="9"/>
      <c r="F49" s="9"/>
      <c r="G49" s="30"/>
      <c r="H49" s="40"/>
      <c r="I49" s="50"/>
    </row>
    <row r="50" spans="2:12" x14ac:dyDescent="0.25">
      <c r="B50" s="43" t="s">
        <v>6</v>
      </c>
      <c r="D50" s="96">
        <f>D9+D11+D14+D21+D23+D33+D39+D48+D12+D15+D24</f>
        <v>1202902337.4078348</v>
      </c>
      <c r="E50" s="7"/>
      <c r="F50" s="7"/>
      <c r="G50" s="39">
        <f>G9+G11+G14+G21+G23+G33+G39+G48+G12+G15+G24</f>
        <v>3303152.0676309164</v>
      </c>
      <c r="H50" s="39">
        <f>H9+H11+H14+H21+H23+H33+H39+H48+H12+H15+H24</f>
        <v>3303152.0676309164</v>
      </c>
      <c r="I50" s="39">
        <f>I9+I11+I14+I21+I23+I33+I39+I48+I12+I15+I24</f>
        <v>0</v>
      </c>
      <c r="J50" s="97">
        <f>I50/G50</f>
        <v>0</v>
      </c>
    </row>
    <row r="51" spans="2:12" x14ac:dyDescent="0.25">
      <c r="J51" s="105"/>
    </row>
    <row r="52" spans="2:12" x14ac:dyDescent="0.25">
      <c r="G52" s="50"/>
      <c r="H52" s="50"/>
    </row>
    <row r="53" spans="2:12" x14ac:dyDescent="0.25">
      <c r="L53" s="105"/>
    </row>
    <row r="54" spans="2:12" x14ac:dyDescent="0.25">
      <c r="B54" s="106"/>
      <c r="D54" s="107"/>
      <c r="E54" s="107"/>
      <c r="F54" s="107"/>
      <c r="G54" s="50"/>
      <c r="H54" s="50"/>
    </row>
    <row r="55" spans="2:12" x14ac:dyDescent="0.25">
      <c r="D55" s="108"/>
    </row>
    <row r="57" spans="2:12" x14ac:dyDescent="0.25">
      <c r="E57" s="19"/>
      <c r="F57" s="51"/>
    </row>
    <row r="58" spans="2:12" x14ac:dyDescent="0.25">
      <c r="C58" s="107"/>
      <c r="D58" s="107"/>
      <c r="E58" s="19"/>
      <c r="F58" s="51"/>
    </row>
    <row r="59" spans="2:12" x14ac:dyDescent="0.25">
      <c r="E59" s="19"/>
      <c r="F59" s="51"/>
    </row>
  </sheetData>
  <mergeCells count="5">
    <mergeCell ref="A8:B8"/>
    <mergeCell ref="A1:J1"/>
    <mergeCell ref="A3:J3"/>
    <mergeCell ref="A4:J4"/>
    <mergeCell ref="A2:J2"/>
  </mergeCells>
  <printOptions horizontalCentered="1"/>
  <pageMargins left="0.75" right="0.75" top="1" bottom="1" header="0.5" footer="0.5"/>
  <pageSetup scale="64" orientation="landscape" blackAndWhite="1" horizontalDpi="300" verticalDpi="300" r:id="rId1"/>
  <headerFooter alignWithMargins="0">
    <oddFooter>&amp;L&amp;F 
&amp;A&amp;C&amp;P&amp;R&amp;D</oddFooter>
  </headerFooter>
  <customProperties>
    <customPr name="_pios_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U41"/>
  <sheetViews>
    <sheetView zoomScale="90" zoomScaleNormal="90" workbookViewId="0">
      <selection activeCell="E29" sqref="E29"/>
    </sheetView>
  </sheetViews>
  <sheetFormatPr defaultColWidth="8.7109375" defaultRowHeight="15" x14ac:dyDescent="0.25"/>
  <cols>
    <col min="1" max="1" width="37.7109375" customWidth="1"/>
    <col min="2" max="2" width="9.140625" bestFit="1" customWidth="1"/>
    <col min="3" max="3" width="18.5703125" bestFit="1" customWidth="1"/>
    <col min="4" max="5" width="13.7109375" customWidth="1"/>
    <col min="6" max="8" width="14.42578125" customWidth="1"/>
    <col min="9" max="9" width="7.85546875" bestFit="1" customWidth="1"/>
  </cols>
  <sheetData>
    <row r="1" spans="1:21" s="43" customFormat="1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42"/>
    </row>
    <row r="2" spans="1:21" s="43" customFormat="1" x14ac:dyDescent="0.25">
      <c r="A2" s="218" t="s">
        <v>153</v>
      </c>
      <c r="B2" s="225"/>
      <c r="C2" s="225"/>
      <c r="D2" s="225"/>
      <c r="E2" s="225"/>
      <c r="F2" s="225"/>
      <c r="G2" s="225"/>
      <c r="H2" s="225"/>
      <c r="I2" s="225"/>
      <c r="J2" s="11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1" s="43" customFormat="1" x14ac:dyDescent="0.25">
      <c r="A3" s="218" t="s">
        <v>154</v>
      </c>
      <c r="B3" s="218"/>
      <c r="C3" s="218"/>
      <c r="D3" s="218"/>
      <c r="E3" s="218"/>
      <c r="F3" s="218"/>
      <c r="G3" s="218"/>
      <c r="H3" s="218"/>
      <c r="I3" s="218"/>
      <c r="J3" s="42"/>
    </row>
    <row r="4" spans="1:21" s="43" customFormat="1" x14ac:dyDescent="0.25">
      <c r="A4" s="218" t="s">
        <v>174</v>
      </c>
      <c r="B4" s="218"/>
      <c r="C4" s="218"/>
      <c r="D4" s="218"/>
      <c r="E4" s="218"/>
      <c r="F4" s="218"/>
      <c r="G4" s="218"/>
      <c r="H4" s="218"/>
      <c r="I4" s="218"/>
      <c r="J4" s="42"/>
    </row>
    <row r="5" spans="1:21" x14ac:dyDescent="0.25">
      <c r="D5" s="3"/>
      <c r="E5" s="3"/>
    </row>
    <row r="6" spans="1:21" x14ac:dyDescent="0.25">
      <c r="A6" s="3"/>
      <c r="B6" s="3"/>
      <c r="C6" s="3" t="s">
        <v>15</v>
      </c>
      <c r="D6" s="3" t="s">
        <v>5</v>
      </c>
      <c r="E6" s="3" t="s">
        <v>1</v>
      </c>
      <c r="F6" s="48" t="s">
        <v>15</v>
      </c>
      <c r="G6" s="48" t="s">
        <v>15</v>
      </c>
      <c r="H6" s="3" t="s">
        <v>16</v>
      </c>
      <c r="I6" s="3"/>
    </row>
    <row r="7" spans="1:21" x14ac:dyDescent="0.25">
      <c r="A7" s="3"/>
      <c r="B7" s="3" t="s">
        <v>17</v>
      </c>
      <c r="C7" s="3" t="s">
        <v>3</v>
      </c>
      <c r="D7" s="3" t="s">
        <v>16</v>
      </c>
      <c r="E7" s="3" t="s">
        <v>16</v>
      </c>
      <c r="F7" s="48" t="s">
        <v>2</v>
      </c>
      <c r="G7" s="48" t="s">
        <v>2</v>
      </c>
      <c r="H7" s="3" t="s">
        <v>2</v>
      </c>
      <c r="I7" s="3" t="s">
        <v>20</v>
      </c>
    </row>
    <row r="8" spans="1:21" x14ac:dyDescent="0.25">
      <c r="A8" s="104" t="s">
        <v>4</v>
      </c>
      <c r="B8" s="104" t="s">
        <v>21</v>
      </c>
      <c r="C8" s="71" t="str">
        <f>'Sch. 101'!$D$8</f>
        <v>12ME Dec. 2023</v>
      </c>
      <c r="D8" s="104" t="s">
        <v>22</v>
      </c>
      <c r="E8" s="104" t="s">
        <v>22</v>
      </c>
      <c r="F8" s="44" t="s">
        <v>23</v>
      </c>
      <c r="G8" s="44" t="s">
        <v>131</v>
      </c>
      <c r="H8" s="104" t="s">
        <v>24</v>
      </c>
      <c r="I8" s="104" t="s">
        <v>24</v>
      </c>
      <c r="S8" s="103"/>
    </row>
    <row r="9" spans="1:21" x14ac:dyDescent="0.25">
      <c r="A9" t="s">
        <v>7</v>
      </c>
      <c r="B9" s="5" t="s">
        <v>30</v>
      </c>
      <c r="C9" s="47">
        <f>SUM(Therms_CY2023!P10,Therms_CY2023!P11)</f>
        <v>636369361</v>
      </c>
      <c r="D9" s="7">
        <v>2.2749999999999999E-2</v>
      </c>
      <c r="E9" s="7">
        <v>2.2749999999999999E-2</v>
      </c>
      <c r="F9" s="38">
        <f>C9*D9</f>
        <v>14477402.962749999</v>
      </c>
      <c r="G9" s="38">
        <f>C9*E9</f>
        <v>14477402.962749999</v>
      </c>
      <c r="H9" s="8">
        <f>G9-F9</f>
        <v>0</v>
      </c>
      <c r="I9" s="1">
        <f>H9/F9</f>
        <v>0</v>
      </c>
      <c r="S9" s="101"/>
    </row>
    <row r="10" spans="1:21" x14ac:dyDescent="0.25">
      <c r="A10" t="s">
        <v>31</v>
      </c>
      <c r="B10" s="5">
        <v>16</v>
      </c>
      <c r="C10" s="47">
        <f>Therms_CY2023!P9</f>
        <v>8832</v>
      </c>
      <c r="D10" s="7">
        <v>2.2749999999999999E-2</v>
      </c>
      <c r="E10" s="7">
        <v>2.2749999999999999E-2</v>
      </c>
      <c r="F10" s="38">
        <f t="shared" ref="F10:F20" si="0">C10*D10</f>
        <v>200.928</v>
      </c>
      <c r="G10" s="38">
        <f t="shared" ref="G10:G21" si="1">C10*E10</f>
        <v>200.928</v>
      </c>
      <c r="H10" s="8">
        <f t="shared" ref="H10:H21" si="2">G10-F10</f>
        <v>0</v>
      </c>
      <c r="I10" s="1">
        <f t="shared" ref="I10:I22" si="3">H10/F10</f>
        <v>0</v>
      </c>
    </row>
    <row r="11" spans="1:21" x14ac:dyDescent="0.25">
      <c r="A11" t="s">
        <v>8</v>
      </c>
      <c r="B11" s="5">
        <v>31</v>
      </c>
      <c r="C11" s="47">
        <f>Therms_CY2023!P12</f>
        <v>243192248</v>
      </c>
      <c r="D11" s="7">
        <v>2.632E-2</v>
      </c>
      <c r="E11" s="7">
        <v>2.632E-2</v>
      </c>
      <c r="F11" s="38">
        <f t="shared" si="0"/>
        <v>6400819.9673600001</v>
      </c>
      <c r="G11" s="38">
        <f t="shared" si="1"/>
        <v>6400819.9673600001</v>
      </c>
      <c r="H11" s="8">
        <f t="shared" si="2"/>
        <v>0</v>
      </c>
      <c r="I11" s="1">
        <f t="shared" si="3"/>
        <v>0</v>
      </c>
    </row>
    <row r="12" spans="1:21" x14ac:dyDescent="0.25">
      <c r="A12" t="s">
        <v>9</v>
      </c>
      <c r="B12" s="5">
        <v>41</v>
      </c>
      <c r="C12" s="47">
        <f>Therms_CY2023!P13</f>
        <v>66922885</v>
      </c>
      <c r="D12" s="7">
        <v>8.7899999999999992E-3</v>
      </c>
      <c r="E12" s="7">
        <v>8.7899999999999992E-3</v>
      </c>
      <c r="F12" s="38">
        <f t="shared" si="0"/>
        <v>588252.15914999996</v>
      </c>
      <c r="G12" s="38">
        <f t="shared" si="1"/>
        <v>588252.15914999996</v>
      </c>
      <c r="H12" s="8">
        <f t="shared" si="2"/>
        <v>0</v>
      </c>
      <c r="I12" s="1">
        <f t="shared" si="3"/>
        <v>0</v>
      </c>
    </row>
    <row r="13" spans="1:21" x14ac:dyDescent="0.25">
      <c r="A13" t="s">
        <v>10</v>
      </c>
      <c r="B13" s="5">
        <v>85</v>
      </c>
      <c r="C13" s="47">
        <f>Therms_CY2023!P14</f>
        <v>11124640</v>
      </c>
      <c r="D13" s="7">
        <v>4.8500000000000001E-3</v>
      </c>
      <c r="E13" s="7">
        <v>4.8500000000000001E-3</v>
      </c>
      <c r="F13" s="38">
        <f t="shared" si="0"/>
        <v>53954.504000000001</v>
      </c>
      <c r="G13" s="38">
        <f t="shared" si="1"/>
        <v>53954.504000000001</v>
      </c>
      <c r="H13" s="8">
        <f t="shared" si="2"/>
        <v>0</v>
      </c>
      <c r="I13" s="1">
        <f t="shared" si="3"/>
        <v>0</v>
      </c>
    </row>
    <row r="14" spans="1:21" x14ac:dyDescent="0.25">
      <c r="A14" t="s">
        <v>11</v>
      </c>
      <c r="B14" s="5">
        <v>86</v>
      </c>
      <c r="C14" s="47">
        <f>Therms_CY2023!P15</f>
        <v>5691490</v>
      </c>
      <c r="D14" s="7">
        <v>1.085E-2</v>
      </c>
      <c r="E14" s="7">
        <v>1.085E-2</v>
      </c>
      <c r="F14" s="38">
        <f t="shared" si="0"/>
        <v>61752.666499999999</v>
      </c>
      <c r="G14" s="38">
        <f t="shared" si="1"/>
        <v>61752.666499999999</v>
      </c>
      <c r="H14" s="8">
        <f t="shared" si="2"/>
        <v>0</v>
      </c>
      <c r="I14" s="1">
        <f t="shared" si="3"/>
        <v>0</v>
      </c>
    </row>
    <row r="15" spans="1:21" x14ac:dyDescent="0.25">
      <c r="A15" t="s">
        <v>12</v>
      </c>
      <c r="B15" s="5">
        <v>87</v>
      </c>
      <c r="C15" s="47">
        <f>Therms_CY2023!P16</f>
        <v>21819455.762355205</v>
      </c>
      <c r="D15" s="7">
        <v>2.64E-3</v>
      </c>
      <c r="E15" s="7">
        <v>2.64E-3</v>
      </c>
      <c r="F15" s="38">
        <f t="shared" si="0"/>
        <v>57603.36321261774</v>
      </c>
      <c r="G15" s="38">
        <f t="shared" si="1"/>
        <v>57603.36321261774</v>
      </c>
      <c r="H15" s="8">
        <f t="shared" si="2"/>
        <v>0</v>
      </c>
      <c r="I15" s="1">
        <f t="shared" si="3"/>
        <v>0</v>
      </c>
    </row>
    <row r="16" spans="1:21" x14ac:dyDescent="0.25">
      <c r="A16" t="s">
        <v>32</v>
      </c>
      <c r="B16" s="5" t="s">
        <v>33</v>
      </c>
      <c r="C16" s="47">
        <f>Therms_CY2023!P17</f>
        <v>34397</v>
      </c>
      <c r="D16" s="7">
        <v>2.632E-2</v>
      </c>
      <c r="E16" s="7">
        <v>2.632E-2</v>
      </c>
      <c r="F16" s="38">
        <f t="shared" si="0"/>
        <v>905.32903999999996</v>
      </c>
      <c r="G16" s="38">
        <f t="shared" si="1"/>
        <v>905.32903999999996</v>
      </c>
      <c r="H16" s="8">
        <f t="shared" si="2"/>
        <v>0</v>
      </c>
      <c r="I16" s="1">
        <f t="shared" si="3"/>
        <v>0</v>
      </c>
    </row>
    <row r="17" spans="1:9" x14ac:dyDescent="0.25">
      <c r="A17" t="s">
        <v>34</v>
      </c>
      <c r="B17" t="s">
        <v>35</v>
      </c>
      <c r="C17" s="47">
        <f>Therms_CY2023!P18</f>
        <v>25464521</v>
      </c>
      <c r="D17" s="7">
        <v>8.7899999999999992E-3</v>
      </c>
      <c r="E17" s="7">
        <v>8.7899999999999992E-3</v>
      </c>
      <c r="F17" s="38">
        <f t="shared" si="0"/>
        <v>223833.13958999998</v>
      </c>
      <c r="G17" s="38">
        <f t="shared" si="1"/>
        <v>223833.13958999998</v>
      </c>
      <c r="H17" s="8">
        <f t="shared" si="2"/>
        <v>0</v>
      </c>
      <c r="I17" s="1">
        <f t="shared" si="3"/>
        <v>0</v>
      </c>
    </row>
    <row r="18" spans="1:9" x14ac:dyDescent="0.25">
      <c r="A18" t="s">
        <v>36</v>
      </c>
      <c r="B18" t="s">
        <v>37</v>
      </c>
      <c r="C18" s="47">
        <f>Therms_CY2023!P19</f>
        <v>62787518</v>
      </c>
      <c r="D18" s="7">
        <v>4.8500000000000001E-3</v>
      </c>
      <c r="E18" s="7">
        <v>4.8500000000000001E-3</v>
      </c>
      <c r="F18" s="38">
        <f t="shared" si="0"/>
        <v>304519.46230000001</v>
      </c>
      <c r="G18" s="38">
        <f t="shared" si="1"/>
        <v>304519.46230000001</v>
      </c>
      <c r="H18" s="8">
        <f t="shared" si="2"/>
        <v>0</v>
      </c>
      <c r="I18" s="1">
        <f t="shared" si="3"/>
        <v>0</v>
      </c>
    </row>
    <row r="19" spans="1:9" x14ac:dyDescent="0.25">
      <c r="A19" t="s">
        <v>38</v>
      </c>
      <c r="B19" t="s">
        <v>39</v>
      </c>
      <c r="C19" s="47">
        <f>Therms_CY2023!P20</f>
        <v>542409</v>
      </c>
      <c r="D19" s="7">
        <v>1.085E-2</v>
      </c>
      <c r="E19" s="7">
        <v>1.085E-2</v>
      </c>
      <c r="F19" s="38">
        <f t="shared" si="0"/>
        <v>5885.1376500000006</v>
      </c>
      <c r="G19" s="38">
        <f t="shared" si="1"/>
        <v>5885.1376500000006</v>
      </c>
      <c r="H19" s="8">
        <f t="shared" si="2"/>
        <v>0</v>
      </c>
      <c r="I19" s="1">
        <f t="shared" si="3"/>
        <v>0</v>
      </c>
    </row>
    <row r="20" spans="1:9" x14ac:dyDescent="0.25">
      <c r="A20" t="s">
        <v>40</v>
      </c>
      <c r="B20" t="s">
        <v>41</v>
      </c>
      <c r="C20" s="47">
        <f>Therms_CY2023!P21</f>
        <v>128953412.64547956</v>
      </c>
      <c r="D20" s="7">
        <v>2.64E-3</v>
      </c>
      <c r="E20" s="7">
        <v>2.64E-3</v>
      </c>
      <c r="F20" s="38">
        <f t="shared" si="0"/>
        <v>340437.00938406604</v>
      </c>
      <c r="G20" s="38">
        <f t="shared" si="1"/>
        <v>340437.00938406604</v>
      </c>
      <c r="H20" s="8">
        <f t="shared" si="2"/>
        <v>0</v>
      </c>
      <c r="I20" s="1">
        <f t="shared" si="3"/>
        <v>0</v>
      </c>
    </row>
    <row r="21" spans="1:9" x14ac:dyDescent="0.25">
      <c r="A21" t="s">
        <v>13</v>
      </c>
      <c r="C21" s="47">
        <f>Therms_CY2023!P22</f>
        <v>31066760</v>
      </c>
      <c r="D21" s="9">
        <v>1.31E-3</v>
      </c>
      <c r="E21" s="9">
        <v>1.31E-3</v>
      </c>
      <c r="F21" s="38">
        <f>C21*D21</f>
        <v>40697.455600000001</v>
      </c>
      <c r="G21" s="38">
        <f t="shared" si="1"/>
        <v>40697.455600000001</v>
      </c>
      <c r="H21" s="8">
        <f t="shared" si="2"/>
        <v>0</v>
      </c>
      <c r="I21" s="1">
        <f t="shared" si="3"/>
        <v>0</v>
      </c>
    </row>
    <row r="22" spans="1:9" x14ac:dyDescent="0.25">
      <c r="A22" t="s">
        <v>6</v>
      </c>
      <c r="C22" s="10">
        <f>SUM(C9:C21)</f>
        <v>1233977929.407835</v>
      </c>
      <c r="D22" s="6"/>
      <c r="E22" s="6"/>
      <c r="F22" s="39">
        <f t="shared" ref="F22:H22" si="4">SUM(F9:F21)</f>
        <v>22556264.084536683</v>
      </c>
      <c r="G22" s="39">
        <f t="shared" si="4"/>
        <v>22556264.084536683</v>
      </c>
      <c r="H22" s="11">
        <f t="shared" si="4"/>
        <v>0</v>
      </c>
      <c r="I22" s="2">
        <f t="shared" si="3"/>
        <v>0</v>
      </c>
    </row>
    <row r="23" spans="1:9" x14ac:dyDescent="0.25">
      <c r="F23" s="8"/>
      <c r="G23" s="8"/>
    </row>
    <row r="24" spans="1:9" x14ac:dyDescent="0.25">
      <c r="C24" s="14"/>
      <c r="F24" s="8"/>
      <c r="G24" s="8"/>
    </row>
    <row r="25" spans="1:9" x14ac:dyDescent="0.25">
      <c r="A25" s="41"/>
    </row>
    <row r="41" spans="2:2" ht="17.25" x14ac:dyDescent="0.25">
      <c r="B41" s="115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84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J43"/>
  <sheetViews>
    <sheetView zoomScale="90" zoomScaleNormal="90" workbookViewId="0">
      <selection activeCell="L26" sqref="L26"/>
    </sheetView>
  </sheetViews>
  <sheetFormatPr defaultRowHeight="15" x14ac:dyDescent="0.25"/>
  <cols>
    <col min="1" max="1" width="36.85546875" bestFit="1" customWidth="1"/>
    <col min="2" max="2" width="9.28515625" bestFit="1" customWidth="1"/>
    <col min="3" max="3" width="18.7109375" bestFit="1" customWidth="1"/>
    <col min="4" max="5" width="13.7109375" customWidth="1"/>
    <col min="6" max="8" width="14.42578125" customWidth="1"/>
    <col min="9" max="9" width="9.85546875" bestFit="1" customWidth="1"/>
  </cols>
  <sheetData>
    <row r="1" spans="1:10" s="43" customFormat="1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42"/>
    </row>
    <row r="2" spans="1:10" s="43" customFormat="1" x14ac:dyDescent="0.25">
      <c r="A2" s="218" t="s">
        <v>389</v>
      </c>
      <c r="B2" s="218"/>
      <c r="C2" s="218"/>
      <c r="D2" s="218"/>
      <c r="E2" s="218"/>
      <c r="F2" s="218"/>
      <c r="G2" s="218"/>
      <c r="H2" s="218"/>
      <c r="I2" s="218"/>
      <c r="J2" s="42"/>
    </row>
    <row r="3" spans="1:10" s="43" customFormat="1" x14ac:dyDescent="0.25">
      <c r="A3" s="218" t="s">
        <v>390</v>
      </c>
      <c r="B3" s="218"/>
      <c r="C3" s="218"/>
      <c r="D3" s="218"/>
      <c r="E3" s="218"/>
      <c r="F3" s="218"/>
      <c r="G3" s="218"/>
      <c r="H3" s="218"/>
      <c r="I3" s="218"/>
      <c r="J3" s="42"/>
    </row>
    <row r="4" spans="1:10" s="43" customFormat="1" x14ac:dyDescent="0.25">
      <c r="A4" s="218" t="s">
        <v>214</v>
      </c>
      <c r="B4" s="218"/>
      <c r="C4" s="218"/>
      <c r="D4" s="218"/>
      <c r="E4" s="218"/>
      <c r="F4" s="218"/>
      <c r="G4" s="218"/>
      <c r="H4" s="218"/>
      <c r="I4" s="218"/>
      <c r="J4" s="42"/>
    </row>
    <row r="5" spans="1:10" x14ac:dyDescent="0.25">
      <c r="D5" s="3"/>
      <c r="E5" s="3"/>
    </row>
    <row r="6" spans="1:10" x14ac:dyDescent="0.25">
      <c r="A6" s="3"/>
      <c r="B6" s="3"/>
      <c r="C6" s="3" t="s">
        <v>15</v>
      </c>
      <c r="D6" s="3" t="s">
        <v>5</v>
      </c>
      <c r="E6" s="3" t="s">
        <v>1</v>
      </c>
      <c r="F6" s="48" t="s">
        <v>15</v>
      </c>
      <c r="G6" s="48" t="s">
        <v>15</v>
      </c>
      <c r="H6" s="3" t="s">
        <v>391</v>
      </c>
      <c r="I6" s="3"/>
    </row>
    <row r="7" spans="1:10" x14ac:dyDescent="0.25">
      <c r="A7" s="3"/>
      <c r="B7" s="3" t="s">
        <v>17</v>
      </c>
      <c r="C7" s="3" t="s">
        <v>3</v>
      </c>
      <c r="D7" s="3" t="s">
        <v>391</v>
      </c>
      <c r="E7" s="3" t="s">
        <v>391</v>
      </c>
      <c r="F7" s="48" t="s">
        <v>2</v>
      </c>
      <c r="G7" s="48" t="s">
        <v>2</v>
      </c>
      <c r="H7" s="3" t="s">
        <v>2</v>
      </c>
      <c r="I7" s="3" t="s">
        <v>20</v>
      </c>
    </row>
    <row r="8" spans="1:10" x14ac:dyDescent="0.25">
      <c r="A8" s="104" t="s">
        <v>4</v>
      </c>
      <c r="B8" s="104" t="s">
        <v>21</v>
      </c>
      <c r="C8" s="73" t="s">
        <v>220</v>
      </c>
      <c r="D8" s="104" t="s">
        <v>22</v>
      </c>
      <c r="E8" s="104" t="s">
        <v>22</v>
      </c>
      <c r="F8" s="44" t="s">
        <v>23</v>
      </c>
      <c r="G8" s="44" t="s">
        <v>131</v>
      </c>
      <c r="H8" s="104" t="s">
        <v>24</v>
      </c>
      <c r="I8" s="104" t="s">
        <v>24</v>
      </c>
    </row>
    <row r="9" spans="1:10" x14ac:dyDescent="0.25">
      <c r="A9" t="s">
        <v>7</v>
      </c>
      <c r="B9" s="5" t="s">
        <v>30</v>
      </c>
      <c r="C9" s="47">
        <f>SUM(Therms_CY2024!P10,Therms_CY2024!P11)</f>
        <v>639464549</v>
      </c>
      <c r="D9" s="180">
        <f>'[1]Exh JDT-5 (JDT-MYRP)'!$J$11</f>
        <v>3.2599999999999999E-3</v>
      </c>
      <c r="E9" s="180">
        <f>'[1]Exh JDT-5 (JDT-MYRP)'!$Q$11</f>
        <v>3.15E-3</v>
      </c>
      <c r="F9" s="38">
        <f>C9*D9</f>
        <v>2084654.4297399998</v>
      </c>
      <c r="G9" s="38">
        <f>C9*E9</f>
        <v>2014313.32935</v>
      </c>
      <c r="H9" s="8">
        <f>G9-F9</f>
        <v>-70341.100389999803</v>
      </c>
      <c r="I9" s="1">
        <f>-H9/F9</f>
        <v>3.3742331288343468E-2</v>
      </c>
    </row>
    <row r="10" spans="1:10" x14ac:dyDescent="0.25">
      <c r="A10" t="s">
        <v>31</v>
      </c>
      <c r="B10" s="5">
        <v>16</v>
      </c>
      <c r="C10" s="47">
        <f>Therms_CY2024!P9</f>
        <v>8832</v>
      </c>
      <c r="D10" s="180">
        <f>'[1]Exh JDT-5 (JDT-MYRP)'!$J$11</f>
        <v>3.2599999999999999E-3</v>
      </c>
      <c r="E10" s="180">
        <f>'[1]Exh JDT-5 (JDT-MYRP)'!$Q$11</f>
        <v>3.15E-3</v>
      </c>
      <c r="F10" s="38">
        <f t="shared" ref="F10:F36" si="0">C10*D10</f>
        <v>28.79232</v>
      </c>
      <c r="G10" s="38">
        <f t="shared" ref="G10:G39" si="1">C10*E10</f>
        <v>27.820799999999998</v>
      </c>
      <c r="H10" s="8">
        <f t="shared" ref="H10:H39" si="2">G10-F10</f>
        <v>-0.97152000000000172</v>
      </c>
      <c r="I10" s="1">
        <f t="shared" ref="I10:I39" si="3">-H10/F10</f>
        <v>3.374233128834362E-2</v>
      </c>
    </row>
    <row r="11" spans="1:10" x14ac:dyDescent="0.25">
      <c r="A11" t="s">
        <v>8</v>
      </c>
      <c r="B11" s="5">
        <v>31</v>
      </c>
      <c r="C11" s="47">
        <f>Therms_CY2024!P12</f>
        <v>245936243</v>
      </c>
      <c r="D11" s="180">
        <f>'[1]Exh JDT-5 (JDT-MYRP)'!$J$40</f>
        <v>3.0100000000000001E-3</v>
      </c>
      <c r="E11" s="180">
        <f>'[1]Exh JDT-5 (JDT-MYRP)'!$Q$40</f>
        <v>2.8900000000000002E-3</v>
      </c>
      <c r="F11" s="38">
        <f t="shared" si="0"/>
        <v>740268.09143000003</v>
      </c>
      <c r="G11" s="38">
        <f t="shared" si="1"/>
        <v>710755.74227000005</v>
      </c>
      <c r="H11" s="8">
        <f t="shared" si="2"/>
        <v>-29512.349159999983</v>
      </c>
      <c r="I11" s="1">
        <f t="shared" si="3"/>
        <v>3.9867109634551472E-2</v>
      </c>
    </row>
    <row r="12" spans="1:10" x14ac:dyDescent="0.25">
      <c r="A12" t="s">
        <v>9</v>
      </c>
      <c r="B12" s="5">
        <v>41</v>
      </c>
      <c r="C12" s="47">
        <f>Therms_CY2024!P13</f>
        <v>66890541</v>
      </c>
      <c r="D12" s="180">
        <f>'[1]Exh JDT-5 (JDT-MYRP)'!$J$64</f>
        <v>2.2699999999999999E-3</v>
      </c>
      <c r="E12" s="180">
        <f>'[1]Exh JDT-5 (JDT-MYRP)'!$Q$64</f>
        <v>2.2000000000000001E-3</v>
      </c>
      <c r="F12" s="38">
        <f t="shared" si="0"/>
        <v>151841.52807</v>
      </c>
      <c r="G12" s="38">
        <f t="shared" si="1"/>
        <v>147159.19020000001</v>
      </c>
      <c r="H12" s="8">
        <f t="shared" si="2"/>
        <v>-4682.3378699999885</v>
      </c>
      <c r="I12" s="1">
        <f t="shared" si="3"/>
        <v>3.0837004405286268E-2</v>
      </c>
    </row>
    <row r="13" spans="1:10" x14ac:dyDescent="0.25">
      <c r="A13" t="s">
        <v>10</v>
      </c>
      <c r="B13" s="5">
        <v>85</v>
      </c>
      <c r="C13" s="47">
        <f>Therms_CY2024!P14</f>
        <v>10745378</v>
      </c>
      <c r="D13" s="180">
        <f>'[1]Exh JDT-5 (JDT-MYRP)'!$J$102</f>
        <v>1.8400000000000001E-3</v>
      </c>
      <c r="E13" s="180">
        <f>'[1]Exh JDT-5 (JDT-MYRP)'!$Q$102</f>
        <v>1.8500000000000001E-3</v>
      </c>
      <c r="F13" s="38">
        <f t="shared" si="0"/>
        <v>19771.49552</v>
      </c>
      <c r="G13" s="38">
        <f t="shared" si="1"/>
        <v>19878.9493</v>
      </c>
      <c r="H13" s="8">
        <f t="shared" si="2"/>
        <v>107.45377999999982</v>
      </c>
      <c r="I13" s="1">
        <f t="shared" si="3"/>
        <v>-5.4347826086956433E-3</v>
      </c>
    </row>
    <row r="14" spans="1:10" x14ac:dyDescent="0.25">
      <c r="A14" t="s">
        <v>11</v>
      </c>
      <c r="B14" s="5">
        <v>86</v>
      </c>
      <c r="C14" s="47">
        <f>Therms_CY2024!P15</f>
        <v>5489408</v>
      </c>
      <c r="D14" s="180">
        <f>'[1]Exh JDT-5 (JDT-MYRP)'!$J$139</f>
        <v>4.8999999999999998E-4</v>
      </c>
      <c r="E14" s="180">
        <f>'[1]Exh JDT-5 (JDT-MYRP)'!$Q$139</f>
        <v>4.8999999999999998E-4</v>
      </c>
      <c r="F14" s="38">
        <f t="shared" si="0"/>
        <v>2689.8099199999997</v>
      </c>
      <c r="G14" s="38">
        <f t="shared" si="1"/>
        <v>2689.8099199999997</v>
      </c>
      <c r="H14" s="8">
        <f t="shared" si="2"/>
        <v>0</v>
      </c>
      <c r="I14" s="1">
        <f t="shared" si="3"/>
        <v>0</v>
      </c>
    </row>
    <row r="15" spans="1:10" x14ac:dyDescent="0.25">
      <c r="B15" s="5"/>
      <c r="C15" s="47"/>
      <c r="D15" s="180"/>
      <c r="E15" s="180"/>
      <c r="F15" s="38"/>
      <c r="G15" s="38"/>
      <c r="H15" s="8"/>
      <c r="I15" s="1"/>
    </row>
    <row r="16" spans="1:10" x14ac:dyDescent="0.25">
      <c r="A16" t="s">
        <v>12</v>
      </c>
      <c r="B16" s="5">
        <v>87</v>
      </c>
    </row>
    <row r="17" spans="1:9" x14ac:dyDescent="0.25">
      <c r="A17" t="s">
        <v>376</v>
      </c>
      <c r="B17" s="5">
        <v>87</v>
      </c>
      <c r="C17" s="47">
        <f>'[1]Exh JDT-5 (JDT-MYRP)'!L185</f>
        <v>1512193</v>
      </c>
      <c r="D17" s="180">
        <f>'[1]Exh JDT-5 (JDT-MYRP)'!J185</f>
        <v>3.47E-3</v>
      </c>
      <c r="E17" s="180">
        <f>'[1]Exh JDT-5 (JDT-MYRP)'!Q185</f>
        <v>3.3899999999999998E-3</v>
      </c>
      <c r="F17" s="8">
        <f t="shared" si="0"/>
        <v>5247.3097099999995</v>
      </c>
      <c r="G17" s="8">
        <f t="shared" si="1"/>
        <v>5126.3342699999994</v>
      </c>
      <c r="H17" s="8">
        <f>G17-F17</f>
        <v>-120.97544000000016</v>
      </c>
      <c r="I17" s="1">
        <f t="shared" si="3"/>
        <v>2.3054755043227699E-2</v>
      </c>
    </row>
    <row r="18" spans="1:9" x14ac:dyDescent="0.25">
      <c r="A18" t="s">
        <v>377</v>
      </c>
      <c r="B18" s="5">
        <v>87</v>
      </c>
      <c r="C18" s="47">
        <f>'[1]Exh JDT-5 (JDT-MYRP)'!L186</f>
        <v>1398016.115</v>
      </c>
      <c r="D18" s="180">
        <f>'[1]Exh JDT-5 (JDT-MYRP)'!J186</f>
        <v>2.0999999999999999E-3</v>
      </c>
      <c r="E18" s="180">
        <f>'[1]Exh JDT-5 (JDT-MYRP)'!Q186</f>
        <v>2.0500000000000002E-3</v>
      </c>
      <c r="F18" s="8">
        <f t="shared" si="0"/>
        <v>2935.8338414999998</v>
      </c>
      <c r="G18" s="8">
        <f t="shared" si="1"/>
        <v>2865.9330357500003</v>
      </c>
      <c r="H18" s="8">
        <f t="shared" si="2"/>
        <v>-69.900805749999563</v>
      </c>
      <c r="I18" s="1">
        <f t="shared" si="3"/>
        <v>2.3809523809523662E-2</v>
      </c>
    </row>
    <row r="19" spans="1:9" x14ac:dyDescent="0.25">
      <c r="A19" t="s">
        <v>378</v>
      </c>
      <c r="B19" s="5">
        <v>87</v>
      </c>
      <c r="C19" s="47">
        <f>'[1]Exh JDT-5 (JDT-MYRP)'!L187</f>
        <v>2316890.0959999999</v>
      </c>
      <c r="D19" s="180">
        <f>'[1]Exh JDT-5 (JDT-MYRP)'!J187</f>
        <v>1.34E-3</v>
      </c>
      <c r="E19" s="180">
        <f>'[1]Exh JDT-5 (JDT-MYRP)'!Q187</f>
        <v>1.2999999999999999E-3</v>
      </c>
      <c r="F19" s="8">
        <f t="shared" si="0"/>
        <v>3104.6327286400001</v>
      </c>
      <c r="G19" s="8">
        <f t="shared" si="1"/>
        <v>3011.9571247999997</v>
      </c>
      <c r="H19" s="8">
        <f t="shared" si="2"/>
        <v>-92.675603840000349</v>
      </c>
      <c r="I19" s="1">
        <f t="shared" si="3"/>
        <v>2.9850746268656827E-2</v>
      </c>
    </row>
    <row r="20" spans="1:9" x14ac:dyDescent="0.25">
      <c r="A20" t="s">
        <v>69</v>
      </c>
      <c r="B20" s="5">
        <v>87</v>
      </c>
      <c r="C20" s="47">
        <f>'[1]Exh JDT-5 (JDT-MYRP)'!L188</f>
        <v>3045256.878</v>
      </c>
      <c r="D20" s="180">
        <f>'[1]Exh JDT-5 (JDT-MYRP)'!J188</f>
        <v>8.5999999999999998E-4</v>
      </c>
      <c r="E20" s="180">
        <f>'[1]Exh JDT-5 (JDT-MYRP)'!Q188</f>
        <v>8.4000000000000003E-4</v>
      </c>
      <c r="F20" s="8">
        <f t="shared" si="0"/>
        <v>2618.9209150799998</v>
      </c>
      <c r="G20" s="8">
        <f t="shared" si="1"/>
        <v>2558.01577752</v>
      </c>
      <c r="H20" s="8">
        <f t="shared" si="2"/>
        <v>-60.90513755999973</v>
      </c>
      <c r="I20" s="1">
        <f t="shared" si="3"/>
        <v>2.3255813953488271E-2</v>
      </c>
    </row>
    <row r="21" spans="1:9" x14ac:dyDescent="0.25">
      <c r="A21" t="s">
        <v>70</v>
      </c>
      <c r="B21" s="5">
        <v>87</v>
      </c>
      <c r="C21" s="47">
        <f>'[1]Exh JDT-5 (JDT-MYRP)'!L189</f>
        <v>3792042.2029999997</v>
      </c>
      <c r="D21" s="180">
        <f>'[1]Exh JDT-5 (JDT-MYRP)'!J189</f>
        <v>6.2E-4</v>
      </c>
      <c r="E21" s="180">
        <f>'[1]Exh JDT-5 (JDT-MYRP)'!Q189</f>
        <v>5.9999999999999995E-4</v>
      </c>
      <c r="F21" s="8">
        <f t="shared" si="0"/>
        <v>2351.0661658599997</v>
      </c>
      <c r="G21" s="8">
        <f t="shared" si="1"/>
        <v>2275.2253217999996</v>
      </c>
      <c r="H21" s="8">
        <f t="shared" si="2"/>
        <v>-75.840844060000109</v>
      </c>
      <c r="I21" s="1">
        <f t="shared" si="3"/>
        <v>3.225806451612908E-2</v>
      </c>
    </row>
    <row r="22" spans="1:9" x14ac:dyDescent="0.25">
      <c r="A22" t="s">
        <v>89</v>
      </c>
      <c r="B22" s="5">
        <v>87</v>
      </c>
      <c r="C22" s="47">
        <f>'[1]Exh JDT-5 (JDT-MYRP)'!L190</f>
        <v>9755057.4703552071</v>
      </c>
      <c r="D22" s="180">
        <f>'[1]Exh JDT-5 (JDT-MYRP)'!J190</f>
        <v>1.2E-4</v>
      </c>
      <c r="E22" s="180">
        <f>'[1]Exh JDT-5 (JDT-MYRP)'!Q190</f>
        <v>1.1E-4</v>
      </c>
      <c r="F22" s="8">
        <f t="shared" si="0"/>
        <v>1170.6068964426249</v>
      </c>
      <c r="G22" s="8">
        <f t="shared" si="1"/>
        <v>1073.0563217390729</v>
      </c>
      <c r="H22" s="8">
        <f t="shared" si="2"/>
        <v>-97.550574703552002</v>
      </c>
      <c r="I22" s="1">
        <f t="shared" si="3"/>
        <v>8.3333333333333273E-2</v>
      </c>
    </row>
    <row r="23" spans="1:9" x14ac:dyDescent="0.25">
      <c r="A23" t="s">
        <v>6</v>
      </c>
      <c r="B23" s="5">
        <v>87</v>
      </c>
      <c r="C23" s="14">
        <f>SUM(C17:C22)</f>
        <v>21819455.762355208</v>
      </c>
      <c r="D23" s="180"/>
      <c r="E23" s="180"/>
      <c r="F23" s="38">
        <f>SUM(F17:F22)</f>
        <v>17428.370257522623</v>
      </c>
      <c r="G23" s="38">
        <f t="shared" ref="G23" si="4">SUM(G17:G22)</f>
        <v>16910.521851609072</v>
      </c>
      <c r="H23" s="38">
        <f>SUM(H17:H22)</f>
        <v>-517.84840591355191</v>
      </c>
      <c r="I23" s="1">
        <f>-H23/F23</f>
        <v>2.9712956418861514E-2</v>
      </c>
    </row>
    <row r="24" spans="1:9" x14ac:dyDescent="0.25">
      <c r="B24" s="5"/>
      <c r="C24" s="47"/>
      <c r="D24" s="180"/>
      <c r="E24" s="180"/>
      <c r="F24" s="38"/>
      <c r="G24" s="38"/>
      <c r="H24" s="8"/>
      <c r="I24" s="1"/>
    </row>
    <row r="25" spans="1:9" x14ac:dyDescent="0.25">
      <c r="A25" t="s">
        <v>32</v>
      </c>
      <c r="B25" s="5" t="s">
        <v>33</v>
      </c>
      <c r="C25" s="47">
        <f>Therms_CY2024!P17</f>
        <v>33867</v>
      </c>
      <c r="D25" s="180"/>
      <c r="E25" s="180"/>
      <c r="F25" s="38">
        <f t="shared" si="0"/>
        <v>0</v>
      </c>
      <c r="G25" s="38">
        <f t="shared" si="1"/>
        <v>0</v>
      </c>
      <c r="H25" s="8">
        <f t="shared" si="2"/>
        <v>0</v>
      </c>
      <c r="I25" s="1" t="e">
        <f t="shared" si="3"/>
        <v>#DIV/0!</v>
      </c>
    </row>
    <row r="26" spans="1:9" x14ac:dyDescent="0.25">
      <c r="A26" t="s">
        <v>34</v>
      </c>
      <c r="B26" t="s">
        <v>35</v>
      </c>
      <c r="C26" s="47">
        <f>Therms_CY2024!P18</f>
        <v>26510234</v>
      </c>
      <c r="D26" s="180"/>
      <c r="E26" s="180"/>
      <c r="F26" s="38">
        <f t="shared" si="0"/>
        <v>0</v>
      </c>
      <c r="G26" s="38">
        <f t="shared" si="1"/>
        <v>0</v>
      </c>
      <c r="H26" s="8">
        <f t="shared" si="2"/>
        <v>0</v>
      </c>
      <c r="I26" s="1" t="e">
        <f t="shared" si="3"/>
        <v>#DIV/0!</v>
      </c>
    </row>
    <row r="27" spans="1:9" x14ac:dyDescent="0.25">
      <c r="A27" t="s">
        <v>36</v>
      </c>
      <c r="B27" t="s">
        <v>37</v>
      </c>
      <c r="C27" s="47">
        <f>Therms_CY2024!P19</f>
        <v>62288926</v>
      </c>
      <c r="D27" s="180"/>
      <c r="E27" s="180"/>
      <c r="F27" s="38">
        <f t="shared" si="0"/>
        <v>0</v>
      </c>
      <c r="G27" s="38">
        <f t="shared" si="1"/>
        <v>0</v>
      </c>
      <c r="H27" s="8">
        <f t="shared" si="2"/>
        <v>0</v>
      </c>
      <c r="I27" s="1" t="e">
        <f t="shared" si="3"/>
        <v>#DIV/0!</v>
      </c>
    </row>
    <row r="28" spans="1:9" x14ac:dyDescent="0.25">
      <c r="A28" t="s">
        <v>38</v>
      </c>
      <c r="B28" t="s">
        <v>39</v>
      </c>
      <c r="C28" s="47">
        <f>Therms_CY2024!P20</f>
        <v>578702</v>
      </c>
      <c r="D28" s="180"/>
      <c r="E28" s="180"/>
      <c r="F28" s="38">
        <f t="shared" si="0"/>
        <v>0</v>
      </c>
      <c r="G28" s="38">
        <f t="shared" si="1"/>
        <v>0</v>
      </c>
      <c r="H28" s="8">
        <f t="shared" si="2"/>
        <v>0</v>
      </c>
      <c r="I28" s="1" t="e">
        <f t="shared" si="3"/>
        <v>#DIV/0!</v>
      </c>
    </row>
    <row r="29" spans="1:9" x14ac:dyDescent="0.25">
      <c r="C29" s="47"/>
      <c r="D29" s="180"/>
      <c r="E29" s="180"/>
      <c r="F29" s="38"/>
      <c r="G29" s="38"/>
      <c r="H29" s="8"/>
      <c r="I29" s="1"/>
    </row>
    <row r="30" spans="1:9" x14ac:dyDescent="0.25">
      <c r="A30" t="s">
        <v>40</v>
      </c>
      <c r="B30" t="s">
        <v>41</v>
      </c>
    </row>
    <row r="31" spans="1:9" x14ac:dyDescent="0.25">
      <c r="A31" t="s">
        <v>376</v>
      </c>
      <c r="B31" t="s">
        <v>41</v>
      </c>
      <c r="C31" s="47">
        <f>'[1]Exh JDT-5 (JDT-MYRP)'!L203</f>
        <v>3298789.67</v>
      </c>
      <c r="D31" s="180"/>
      <c r="E31" s="180"/>
      <c r="F31" s="8">
        <f t="shared" si="0"/>
        <v>0</v>
      </c>
      <c r="G31" s="8">
        <f t="shared" si="1"/>
        <v>0</v>
      </c>
      <c r="H31" s="8">
        <f t="shared" si="2"/>
        <v>0</v>
      </c>
      <c r="I31" s="1" t="e">
        <f t="shared" ref="I31:I36" si="5">-H31/F31</f>
        <v>#DIV/0!</v>
      </c>
    </row>
    <row r="32" spans="1:9" x14ac:dyDescent="0.25">
      <c r="A32" t="s">
        <v>377</v>
      </c>
      <c r="B32" t="s">
        <v>41</v>
      </c>
      <c r="C32" s="47">
        <f>'[1]Exh JDT-5 (JDT-MYRP)'!L204</f>
        <v>3300000</v>
      </c>
      <c r="D32" s="180"/>
      <c r="E32" s="180"/>
      <c r="F32" s="8">
        <f t="shared" si="0"/>
        <v>0</v>
      </c>
      <c r="G32" s="8">
        <f t="shared" si="1"/>
        <v>0</v>
      </c>
      <c r="H32" s="8">
        <f t="shared" si="2"/>
        <v>0</v>
      </c>
      <c r="I32" s="1" t="e">
        <f t="shared" si="5"/>
        <v>#DIV/0!</v>
      </c>
    </row>
    <row r="33" spans="1:9" x14ac:dyDescent="0.25">
      <c r="A33" t="s">
        <v>378</v>
      </c>
      <c r="B33" t="s">
        <v>41</v>
      </c>
      <c r="C33" s="47">
        <f>'[1]Exh JDT-5 (JDT-MYRP)'!L205</f>
        <v>6600000</v>
      </c>
      <c r="D33" s="180"/>
      <c r="E33" s="180"/>
      <c r="F33" s="8">
        <f t="shared" si="0"/>
        <v>0</v>
      </c>
      <c r="G33" s="8">
        <f t="shared" si="1"/>
        <v>0</v>
      </c>
      <c r="H33" s="8">
        <f t="shared" si="2"/>
        <v>0</v>
      </c>
      <c r="I33" s="1" t="e">
        <f t="shared" si="5"/>
        <v>#DIV/0!</v>
      </c>
    </row>
    <row r="34" spans="1:9" x14ac:dyDescent="0.25">
      <c r="A34" t="s">
        <v>69</v>
      </c>
      <c r="B34" t="s">
        <v>41</v>
      </c>
      <c r="C34" s="47">
        <f>'[1]Exh JDT-5 (JDT-MYRP)'!L206</f>
        <v>12663691.02</v>
      </c>
      <c r="D34" s="180"/>
      <c r="E34" s="180"/>
      <c r="F34" s="8">
        <f t="shared" si="0"/>
        <v>0</v>
      </c>
      <c r="G34" s="8">
        <f t="shared" si="1"/>
        <v>0</v>
      </c>
      <c r="H34" s="8">
        <f t="shared" si="2"/>
        <v>0</v>
      </c>
      <c r="I34" s="1" t="e">
        <f t="shared" si="5"/>
        <v>#DIV/0!</v>
      </c>
    </row>
    <row r="35" spans="1:9" x14ac:dyDescent="0.25">
      <c r="A35" t="s">
        <v>70</v>
      </c>
      <c r="B35" t="s">
        <v>41</v>
      </c>
      <c r="C35" s="47">
        <f>'[1]Exh JDT-5 (JDT-MYRP)'!L207</f>
        <v>29344602.150000002</v>
      </c>
      <c r="D35" s="180"/>
      <c r="E35" s="180"/>
      <c r="F35" s="8">
        <f t="shared" si="0"/>
        <v>0</v>
      </c>
      <c r="G35" s="8">
        <f t="shared" si="1"/>
        <v>0</v>
      </c>
      <c r="H35" s="8">
        <f t="shared" si="2"/>
        <v>0</v>
      </c>
      <c r="I35" s="1" t="e">
        <f t="shared" si="5"/>
        <v>#DIV/0!</v>
      </c>
    </row>
    <row r="36" spans="1:9" x14ac:dyDescent="0.25">
      <c r="A36" t="s">
        <v>89</v>
      </c>
      <c r="B36" t="s">
        <v>41</v>
      </c>
      <c r="C36" s="47">
        <f>'[1]Exh JDT-5 (JDT-MYRP)'!L208</f>
        <v>86801883.805479586</v>
      </c>
      <c r="D36" s="180"/>
      <c r="E36" s="180"/>
      <c r="F36" s="8">
        <f t="shared" si="0"/>
        <v>0</v>
      </c>
      <c r="G36" s="8">
        <f t="shared" si="1"/>
        <v>0</v>
      </c>
      <c r="H36" s="8">
        <f t="shared" si="2"/>
        <v>0</v>
      </c>
      <c r="I36" s="1" t="e">
        <f t="shared" si="5"/>
        <v>#DIV/0!</v>
      </c>
    </row>
    <row r="37" spans="1:9" x14ac:dyDescent="0.25">
      <c r="A37" t="s">
        <v>6</v>
      </c>
      <c r="B37" t="s">
        <v>41</v>
      </c>
      <c r="C37" s="14">
        <f>SUM(C31:C36)</f>
        <v>142008966.64547959</v>
      </c>
      <c r="D37" s="180"/>
      <c r="E37" s="180"/>
      <c r="F37" s="38">
        <f>SUM(F31:F36)</f>
        <v>0</v>
      </c>
      <c r="G37" s="38">
        <f t="shared" ref="G37:H37" si="6">SUM(G31:G36)</f>
        <v>0</v>
      </c>
      <c r="H37" s="38">
        <f t="shared" si="6"/>
        <v>0</v>
      </c>
      <c r="I37" s="1" t="e">
        <f>-H37/F37</f>
        <v>#DIV/0!</v>
      </c>
    </row>
    <row r="38" spans="1:9" x14ac:dyDescent="0.25">
      <c r="C38" s="47"/>
      <c r="D38" s="180"/>
      <c r="E38" s="180"/>
      <c r="F38" s="38"/>
      <c r="G38" s="38"/>
      <c r="H38" s="8"/>
      <c r="I38" s="1"/>
    </row>
    <row r="39" spans="1:9" x14ac:dyDescent="0.25">
      <c r="A39" t="s">
        <v>13</v>
      </c>
      <c r="C39" s="47">
        <f>Therms_CY2024!P22</f>
        <v>30967900</v>
      </c>
      <c r="D39" s="9"/>
      <c r="E39" s="7"/>
      <c r="F39" s="38">
        <f>C39*D39</f>
        <v>0</v>
      </c>
      <c r="G39" s="38">
        <f t="shared" si="1"/>
        <v>0</v>
      </c>
      <c r="H39" s="8">
        <f t="shared" si="2"/>
        <v>0</v>
      </c>
      <c r="I39" s="1" t="e">
        <f t="shared" si="3"/>
        <v>#DIV/0!</v>
      </c>
    </row>
    <row r="40" spans="1:9" x14ac:dyDescent="0.25">
      <c r="A40" t="s">
        <v>6</v>
      </c>
      <c r="C40" s="10">
        <f>SUM(C9:C14,C23,C25:C28,C37,C39)</f>
        <v>1252743002.407835</v>
      </c>
      <c r="D40" s="6"/>
      <c r="E40" s="123"/>
      <c r="F40" s="79">
        <f t="shared" ref="F40:H40" si="7">SUM(F9:F14,F23,F25:F28,F37,F39)</f>
        <v>3016682.5172575219</v>
      </c>
      <c r="G40" s="79">
        <f t="shared" si="7"/>
        <v>2911735.3636916094</v>
      </c>
      <c r="H40" s="79">
        <f t="shared" si="7"/>
        <v>-104947.15356591334</v>
      </c>
      <c r="I40" s="2">
        <f>-H40/F40</f>
        <v>3.4788928886464732E-2</v>
      </c>
    </row>
    <row r="41" spans="1:9" x14ac:dyDescent="0.25">
      <c r="F41" s="8"/>
      <c r="G41" s="8"/>
    </row>
    <row r="42" spans="1:9" x14ac:dyDescent="0.25">
      <c r="A42" s="189"/>
      <c r="C42" s="14"/>
      <c r="F42" s="8"/>
      <c r="G42" s="8"/>
    </row>
    <row r="43" spans="1:9" x14ac:dyDescent="0.25">
      <c r="A43" s="41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43"/>
  <sheetViews>
    <sheetView zoomScale="90" zoomScaleNormal="90" workbookViewId="0">
      <selection activeCell="F23" sqref="F23"/>
    </sheetView>
  </sheetViews>
  <sheetFormatPr defaultRowHeight="15" x14ac:dyDescent="0.25"/>
  <cols>
    <col min="1" max="1" width="36.85546875" bestFit="1" customWidth="1"/>
    <col min="2" max="2" width="9.28515625" bestFit="1" customWidth="1"/>
    <col min="3" max="3" width="18.7109375" bestFit="1" customWidth="1"/>
    <col min="4" max="5" width="13.7109375" customWidth="1"/>
    <col min="6" max="8" width="14.42578125" customWidth="1"/>
    <col min="9" max="9" width="9.85546875" bestFit="1" customWidth="1"/>
  </cols>
  <sheetData>
    <row r="1" spans="1:10" s="43" customFormat="1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42"/>
    </row>
    <row r="2" spans="1:10" s="43" customFormat="1" x14ac:dyDescent="0.25">
      <c r="A2" s="218" t="s">
        <v>334</v>
      </c>
      <c r="B2" s="218"/>
      <c r="C2" s="218"/>
      <c r="D2" s="218"/>
      <c r="E2" s="218"/>
      <c r="F2" s="218"/>
      <c r="G2" s="218"/>
      <c r="H2" s="218"/>
      <c r="I2" s="218"/>
      <c r="J2" s="42"/>
    </row>
    <row r="3" spans="1:10" s="43" customFormat="1" x14ac:dyDescent="0.25">
      <c r="A3" s="218" t="s">
        <v>335</v>
      </c>
      <c r="B3" s="218"/>
      <c r="C3" s="218"/>
      <c r="D3" s="218"/>
      <c r="E3" s="218"/>
      <c r="F3" s="218"/>
      <c r="G3" s="218"/>
      <c r="H3" s="218"/>
      <c r="I3" s="218"/>
      <c r="J3" s="42"/>
    </row>
    <row r="4" spans="1:10" s="43" customFormat="1" x14ac:dyDescent="0.25">
      <c r="A4" s="218" t="s">
        <v>214</v>
      </c>
      <c r="B4" s="218"/>
      <c r="C4" s="218"/>
      <c r="D4" s="218"/>
      <c r="E4" s="218"/>
      <c r="F4" s="218"/>
      <c r="G4" s="218"/>
      <c r="H4" s="218"/>
      <c r="I4" s="218"/>
      <c r="J4" s="42"/>
    </row>
    <row r="5" spans="1:10" x14ac:dyDescent="0.25">
      <c r="D5" s="3"/>
      <c r="E5" s="3"/>
    </row>
    <row r="6" spans="1:10" x14ac:dyDescent="0.25">
      <c r="A6" s="3"/>
      <c r="B6" s="3"/>
      <c r="C6" s="3" t="s">
        <v>15</v>
      </c>
      <c r="D6" s="3" t="s">
        <v>5</v>
      </c>
      <c r="E6" s="3" t="s">
        <v>1</v>
      </c>
      <c r="F6" s="48" t="s">
        <v>15</v>
      </c>
      <c r="G6" s="48" t="s">
        <v>15</v>
      </c>
      <c r="H6" s="3" t="s">
        <v>272</v>
      </c>
      <c r="I6" s="3"/>
    </row>
    <row r="7" spans="1:10" x14ac:dyDescent="0.25">
      <c r="A7" s="3"/>
      <c r="B7" s="3" t="s">
        <v>17</v>
      </c>
      <c r="C7" s="3" t="s">
        <v>3</v>
      </c>
      <c r="D7" s="3" t="s">
        <v>272</v>
      </c>
      <c r="E7" s="3" t="s">
        <v>272</v>
      </c>
      <c r="F7" s="48" t="s">
        <v>2</v>
      </c>
      <c r="G7" s="48" t="s">
        <v>2</v>
      </c>
      <c r="H7" s="3" t="s">
        <v>2</v>
      </c>
      <c r="I7" s="3" t="s">
        <v>20</v>
      </c>
    </row>
    <row r="8" spans="1:10" x14ac:dyDescent="0.25">
      <c r="A8" s="104" t="s">
        <v>4</v>
      </c>
      <c r="B8" s="104" t="s">
        <v>21</v>
      </c>
      <c r="C8" s="73" t="s">
        <v>220</v>
      </c>
      <c r="D8" s="104" t="s">
        <v>22</v>
      </c>
      <c r="E8" s="104" t="s">
        <v>22</v>
      </c>
      <c r="F8" s="44" t="s">
        <v>23</v>
      </c>
      <c r="G8" s="44" t="s">
        <v>131</v>
      </c>
      <c r="H8" s="104" t="s">
        <v>24</v>
      </c>
      <c r="I8" s="104" t="s">
        <v>24</v>
      </c>
    </row>
    <row r="9" spans="1:10" x14ac:dyDescent="0.25">
      <c r="A9" t="s">
        <v>7</v>
      </c>
      <c r="B9" s="5" t="s">
        <v>30</v>
      </c>
      <c r="C9" s="47">
        <f>SUM(Therms_CY2024!P10,Therms_CY2024!P11)</f>
        <v>639464549</v>
      </c>
      <c r="D9" s="180">
        <f>'[1]Exh JDT-5 (JDT-MYRP)'!$H$11</f>
        <v>-1.6999999999999999E-3</v>
      </c>
      <c r="E9" s="180">
        <f>'[1]Exh JDT-5 (JDT-MYRP)'!$O$11</f>
        <v>-3.09E-2</v>
      </c>
      <c r="F9" s="38">
        <f>C9*D9</f>
        <v>-1087089.7333</v>
      </c>
      <c r="G9" s="38">
        <f>C9*E9</f>
        <v>-19759454.564100001</v>
      </c>
      <c r="H9" s="8">
        <f>G9-F9</f>
        <v>-18672364.830800001</v>
      </c>
      <c r="I9" s="1">
        <f>-H9/F9</f>
        <v>-17.176470588235293</v>
      </c>
    </row>
    <row r="10" spans="1:10" x14ac:dyDescent="0.25">
      <c r="A10" t="s">
        <v>31</v>
      </c>
      <c r="B10" s="5">
        <v>16</v>
      </c>
      <c r="C10" s="47">
        <f>Therms_CY2024!P9</f>
        <v>8832</v>
      </c>
      <c r="D10" s="180">
        <f>'[1]Exh JDT-5 (JDT-MYRP)'!$H$11</f>
        <v>-1.6999999999999999E-3</v>
      </c>
      <c r="E10" s="180">
        <f>'[1]Exh JDT-5 (JDT-MYRP)'!$O$11</f>
        <v>-3.09E-2</v>
      </c>
      <c r="F10" s="38">
        <f t="shared" ref="F10:F36" si="0">C10*D10</f>
        <v>-15.014399999999998</v>
      </c>
      <c r="G10" s="38">
        <f t="shared" ref="G10:G39" si="1">C10*E10</f>
        <v>-272.90879999999999</v>
      </c>
      <c r="H10" s="8">
        <f t="shared" ref="H10:H39" si="2">G10-F10</f>
        <v>-257.89439999999996</v>
      </c>
      <c r="I10" s="1">
        <f t="shared" ref="I10:I39" si="3">-H10/F10</f>
        <v>-17.176470588235293</v>
      </c>
    </row>
    <row r="11" spans="1:10" x14ac:dyDescent="0.25">
      <c r="A11" t="s">
        <v>8</v>
      </c>
      <c r="B11" s="5">
        <v>31</v>
      </c>
      <c r="C11" s="47">
        <f>Therms_CY2024!P12</f>
        <v>245936243</v>
      </c>
      <c r="D11" s="180">
        <f>'[1]Exh JDT-5 (JDT-MYRP)'!$H$40</f>
        <v>-1.57E-3</v>
      </c>
      <c r="E11" s="180">
        <f>'[1]Exh JDT-5 (JDT-MYRP)'!$O$40</f>
        <v>-2.835E-2</v>
      </c>
      <c r="F11" s="38">
        <f t="shared" si="0"/>
        <v>-386119.90151</v>
      </c>
      <c r="G11" s="38">
        <f t="shared" si="1"/>
        <v>-6972292.48905</v>
      </c>
      <c r="H11" s="8">
        <f t="shared" si="2"/>
        <v>-6586172.5875399997</v>
      </c>
      <c r="I11" s="1">
        <f t="shared" si="3"/>
        <v>-17.057324840764331</v>
      </c>
    </row>
    <row r="12" spans="1:10" x14ac:dyDescent="0.25">
      <c r="A12" t="s">
        <v>9</v>
      </c>
      <c r="B12" s="5">
        <v>41</v>
      </c>
      <c r="C12" s="47">
        <f>Therms_CY2024!P13</f>
        <v>66890541</v>
      </c>
      <c r="D12" s="180">
        <f>'[1]Exh JDT-5 (JDT-MYRP)'!$H$64</f>
        <v>-7.5000000000000002E-4</v>
      </c>
      <c r="E12" s="180">
        <f>'[1]Exh JDT-5 (JDT-MYRP)'!$O$64</f>
        <v>-1.355E-2</v>
      </c>
      <c r="F12" s="38">
        <f t="shared" si="0"/>
        <v>-50167.905749999998</v>
      </c>
      <c r="G12" s="38">
        <f t="shared" si="1"/>
        <v>-906366.83054999996</v>
      </c>
      <c r="H12" s="8">
        <f t="shared" si="2"/>
        <v>-856198.92479999992</v>
      </c>
      <c r="I12" s="1">
        <f t="shared" si="3"/>
        <v>-17.066666666666666</v>
      </c>
    </row>
    <row r="13" spans="1:10" x14ac:dyDescent="0.25">
      <c r="A13" t="s">
        <v>10</v>
      </c>
      <c r="B13" s="5">
        <v>85</v>
      </c>
      <c r="C13" s="47">
        <f>Therms_CY2024!P14</f>
        <v>10745378</v>
      </c>
      <c r="D13" s="180">
        <f>'[1]Exh JDT-5 (JDT-MYRP)'!$H$102</f>
        <v>-4.4999999999999999E-4</v>
      </c>
      <c r="E13" s="180">
        <f>'[1]Exh JDT-5 (JDT-MYRP)'!$O$102</f>
        <v>-8.2500000000000004E-3</v>
      </c>
      <c r="F13" s="38">
        <f t="shared" si="0"/>
        <v>-4835.4201000000003</v>
      </c>
      <c r="G13" s="38">
        <f t="shared" si="1"/>
        <v>-88649.368500000011</v>
      </c>
      <c r="H13" s="8">
        <f t="shared" si="2"/>
        <v>-83813.948400000008</v>
      </c>
      <c r="I13" s="1">
        <f t="shared" si="3"/>
        <v>-17.333333333333336</v>
      </c>
    </row>
    <row r="14" spans="1:10" x14ac:dyDescent="0.25">
      <c r="A14" t="s">
        <v>11</v>
      </c>
      <c r="B14" s="5">
        <v>86</v>
      </c>
      <c r="C14" s="47">
        <f>Therms_CY2024!P15</f>
        <v>5489408</v>
      </c>
      <c r="D14" s="180">
        <f>'[1]Exh JDT-5 (JDT-MYRP)'!$H$139</f>
        <v>-3.6000000000000002E-4</v>
      </c>
      <c r="E14" s="180">
        <f>'[1]Exh JDT-5 (JDT-MYRP)'!$O$139</f>
        <v>-6.8300000000000001E-3</v>
      </c>
      <c r="F14" s="38">
        <f t="shared" si="0"/>
        <v>-1976.1868800000002</v>
      </c>
      <c r="G14" s="38">
        <f t="shared" si="1"/>
        <v>-37492.656640000001</v>
      </c>
      <c r="H14" s="8">
        <f t="shared" si="2"/>
        <v>-35516.46976</v>
      </c>
      <c r="I14" s="1">
        <f t="shared" si="3"/>
        <v>-17.972222222222221</v>
      </c>
    </row>
    <row r="15" spans="1:10" x14ac:dyDescent="0.25">
      <c r="B15" s="5"/>
      <c r="C15" s="47"/>
      <c r="D15" s="180"/>
      <c r="E15" s="180"/>
      <c r="F15" s="38"/>
      <c r="G15" s="38"/>
      <c r="H15" s="8"/>
      <c r="I15" s="1"/>
    </row>
    <row r="16" spans="1:10" x14ac:dyDescent="0.25">
      <c r="A16" t="s">
        <v>12</v>
      </c>
      <c r="B16" s="5">
        <v>87</v>
      </c>
    </row>
    <row r="17" spans="1:9" x14ac:dyDescent="0.25">
      <c r="A17" t="s">
        <v>376</v>
      </c>
      <c r="B17" s="5">
        <v>87</v>
      </c>
      <c r="C17" s="47">
        <f>'[1]Exh JDT-5 (JDT-MYRP)'!L185</f>
        <v>1512193</v>
      </c>
      <c r="D17" s="180">
        <f>'[1]Exh JDT-5 (JDT-MYRP)'!H185</f>
        <v>-9.1E-4</v>
      </c>
      <c r="E17" s="180">
        <f>'[1]Exh JDT-5 (JDT-MYRP)'!O185</f>
        <v>-1.668E-2</v>
      </c>
      <c r="F17" s="8">
        <f t="shared" si="0"/>
        <v>-1376.09563</v>
      </c>
      <c r="G17" s="8">
        <f t="shared" si="1"/>
        <v>-25223.379240000002</v>
      </c>
      <c r="H17" s="8">
        <f>G17-F17</f>
        <v>-23847.283610000002</v>
      </c>
      <c r="I17" s="1">
        <f t="shared" si="3"/>
        <v>-17.329670329670332</v>
      </c>
    </row>
    <row r="18" spans="1:9" x14ac:dyDescent="0.25">
      <c r="A18" t="s">
        <v>377</v>
      </c>
      <c r="B18" s="5">
        <v>87</v>
      </c>
      <c r="C18" s="47">
        <f>'[1]Exh JDT-5 (JDT-MYRP)'!L186</f>
        <v>1398016.115</v>
      </c>
      <c r="D18" s="180">
        <f>'[1]Exh JDT-5 (JDT-MYRP)'!H186</f>
        <v>-5.5000000000000003E-4</v>
      </c>
      <c r="E18" s="180">
        <f>'[1]Exh JDT-5 (JDT-MYRP)'!O186</f>
        <v>-1.008E-2</v>
      </c>
      <c r="F18" s="8">
        <f t="shared" si="0"/>
        <v>-768.90886325000008</v>
      </c>
      <c r="G18" s="8">
        <f t="shared" si="1"/>
        <v>-14092.002439200001</v>
      </c>
      <c r="H18" s="8">
        <f t="shared" si="2"/>
        <v>-13323.093575950001</v>
      </c>
      <c r="I18" s="1">
        <f t="shared" si="3"/>
        <v>-17.327272727272728</v>
      </c>
    </row>
    <row r="19" spans="1:9" x14ac:dyDescent="0.25">
      <c r="A19" t="s">
        <v>378</v>
      </c>
      <c r="B19" s="5">
        <v>87</v>
      </c>
      <c r="C19" s="47">
        <f>'[1]Exh JDT-5 (JDT-MYRP)'!L187</f>
        <v>2316890.0959999999</v>
      </c>
      <c r="D19" s="180">
        <f>'[1]Exh JDT-5 (JDT-MYRP)'!H187</f>
        <v>-3.5E-4</v>
      </c>
      <c r="E19" s="180">
        <f>'[1]Exh JDT-5 (JDT-MYRP)'!O187</f>
        <v>-6.4200000000000004E-3</v>
      </c>
      <c r="F19" s="8">
        <f t="shared" si="0"/>
        <v>-810.91153359999998</v>
      </c>
      <c r="G19" s="8">
        <f t="shared" si="1"/>
        <v>-14874.43441632</v>
      </c>
      <c r="H19" s="8">
        <f t="shared" si="2"/>
        <v>-14063.522882720001</v>
      </c>
      <c r="I19" s="1">
        <f t="shared" si="3"/>
        <v>-17.342857142857145</v>
      </c>
    </row>
    <row r="20" spans="1:9" x14ac:dyDescent="0.25">
      <c r="A20" t="s">
        <v>69</v>
      </c>
      <c r="B20" s="5">
        <v>87</v>
      </c>
      <c r="C20" s="47">
        <f>'[1]Exh JDT-5 (JDT-MYRP)'!L188</f>
        <v>3045256.878</v>
      </c>
      <c r="D20" s="180">
        <f>'[1]Exh JDT-5 (JDT-MYRP)'!H188</f>
        <v>-2.2000000000000001E-4</v>
      </c>
      <c r="E20" s="180">
        <f>'[1]Exh JDT-5 (JDT-MYRP)'!O188</f>
        <v>-4.1099999999999999E-3</v>
      </c>
      <c r="F20" s="8">
        <f t="shared" si="0"/>
        <v>-669.95651315999999</v>
      </c>
      <c r="G20" s="8">
        <f t="shared" si="1"/>
        <v>-12516.00576858</v>
      </c>
      <c r="H20" s="8">
        <f t="shared" si="2"/>
        <v>-11846.049255420001</v>
      </c>
      <c r="I20" s="1">
        <f t="shared" si="3"/>
        <v>-17.681818181818183</v>
      </c>
    </row>
    <row r="21" spans="1:9" x14ac:dyDescent="0.25">
      <c r="A21" t="s">
        <v>70</v>
      </c>
      <c r="B21" s="5">
        <v>87</v>
      </c>
      <c r="C21" s="47">
        <f>'[1]Exh JDT-5 (JDT-MYRP)'!L189</f>
        <v>3792042.2029999997</v>
      </c>
      <c r="D21" s="180">
        <f>'[1]Exh JDT-5 (JDT-MYRP)'!H189</f>
        <v>-1.6000000000000001E-4</v>
      </c>
      <c r="E21" s="180">
        <f>'[1]Exh JDT-5 (JDT-MYRP)'!O189</f>
        <v>-2.96E-3</v>
      </c>
      <c r="F21" s="8">
        <f t="shared" si="0"/>
        <v>-606.72675247999996</v>
      </c>
      <c r="G21" s="8">
        <f t="shared" si="1"/>
        <v>-11224.44492088</v>
      </c>
      <c r="H21" s="8">
        <f t="shared" si="2"/>
        <v>-10617.718168399999</v>
      </c>
      <c r="I21" s="1">
        <f t="shared" si="3"/>
        <v>-17.5</v>
      </c>
    </row>
    <row r="22" spans="1:9" x14ac:dyDescent="0.25">
      <c r="A22" t="s">
        <v>89</v>
      </c>
      <c r="B22" s="5">
        <v>87</v>
      </c>
      <c r="C22" s="47">
        <f>'[1]Exh JDT-5 (JDT-MYRP)'!L190</f>
        <v>9755057.4703552071</v>
      </c>
      <c r="D22" s="180">
        <f>'[1]Exh JDT-5 (JDT-MYRP)'!H190</f>
        <v>-3.0000000000000001E-5</v>
      </c>
      <c r="E22" s="180">
        <f>'[1]Exh JDT-5 (JDT-MYRP)'!O190</f>
        <v>-4.8000000000000001E-4</v>
      </c>
      <c r="F22" s="8">
        <f t="shared" si="0"/>
        <v>-292.65172411065623</v>
      </c>
      <c r="G22" s="8">
        <f t="shared" si="1"/>
        <v>-4682.4275857704997</v>
      </c>
      <c r="H22" s="8">
        <f t="shared" si="2"/>
        <v>-4389.7758616598439</v>
      </c>
      <c r="I22" s="1">
        <f t="shared" si="3"/>
        <v>-15.000000000000002</v>
      </c>
    </row>
    <row r="23" spans="1:9" x14ac:dyDescent="0.25">
      <c r="A23" t="s">
        <v>6</v>
      </c>
      <c r="B23" s="5">
        <v>87</v>
      </c>
      <c r="C23" s="14">
        <f>SUM(C17:C22)</f>
        <v>21819455.762355208</v>
      </c>
      <c r="D23" s="180"/>
      <c r="E23" s="180"/>
      <c r="F23" s="38">
        <f>SUM(F17:F22)</f>
        <v>-4525.2510166006559</v>
      </c>
      <c r="G23" s="38">
        <f t="shared" ref="G23" si="4">SUM(G17:G22)</f>
        <v>-82612.694370750483</v>
      </c>
      <c r="H23" s="38">
        <f>SUM(H17:H22)</f>
        <v>-78087.443354149844</v>
      </c>
      <c r="I23" s="1">
        <f>-H23/F23</f>
        <v>-17.25593631550824</v>
      </c>
    </row>
    <row r="24" spans="1:9" x14ac:dyDescent="0.25">
      <c r="B24" s="5"/>
      <c r="C24" s="47"/>
      <c r="D24" s="180"/>
      <c r="E24" s="180"/>
      <c r="F24" s="38"/>
      <c r="G24" s="38"/>
      <c r="H24" s="8"/>
      <c r="I24" s="1"/>
    </row>
    <row r="25" spans="1:9" x14ac:dyDescent="0.25">
      <c r="A25" t="s">
        <v>32</v>
      </c>
      <c r="B25" s="5" t="s">
        <v>33</v>
      </c>
      <c r="C25" s="47">
        <f>Therms_CY2024!P17</f>
        <v>33867</v>
      </c>
      <c r="D25" s="180">
        <f>'[1]Exh JDT-5 (JDT-MYRP)'!$H$40</f>
        <v>-1.57E-3</v>
      </c>
      <c r="E25" s="180">
        <f>'[1]Exh JDT-5 (JDT-MYRP)'!$O$40</f>
        <v>-2.835E-2</v>
      </c>
      <c r="F25" s="38">
        <f t="shared" si="0"/>
        <v>-53.171190000000003</v>
      </c>
      <c r="G25" s="38">
        <f t="shared" si="1"/>
        <v>-960.12945000000002</v>
      </c>
      <c r="H25" s="8">
        <f t="shared" si="2"/>
        <v>-906.95826</v>
      </c>
      <c r="I25" s="1">
        <f t="shared" si="3"/>
        <v>-17.057324840764331</v>
      </c>
    </row>
    <row r="26" spans="1:9" x14ac:dyDescent="0.25">
      <c r="A26" t="s">
        <v>34</v>
      </c>
      <c r="B26" t="s">
        <v>35</v>
      </c>
      <c r="C26" s="47">
        <f>Therms_CY2024!P18</f>
        <v>26510234</v>
      </c>
      <c r="D26" s="180">
        <f>'[1]Exh JDT-5 (JDT-MYRP)'!$H$64</f>
        <v>-7.5000000000000002E-4</v>
      </c>
      <c r="E26" s="180">
        <f>'[1]Exh JDT-5 (JDT-MYRP)'!$O$64</f>
        <v>-1.355E-2</v>
      </c>
      <c r="F26" s="38">
        <f t="shared" si="0"/>
        <v>-19882.675500000001</v>
      </c>
      <c r="G26" s="38">
        <f t="shared" si="1"/>
        <v>-359213.67070000002</v>
      </c>
      <c r="H26" s="8">
        <f t="shared" si="2"/>
        <v>-339330.9952</v>
      </c>
      <c r="I26" s="1">
        <f t="shared" si="3"/>
        <v>-17.066666666666666</v>
      </c>
    </row>
    <row r="27" spans="1:9" x14ac:dyDescent="0.25">
      <c r="A27" t="s">
        <v>36</v>
      </c>
      <c r="B27" t="s">
        <v>37</v>
      </c>
      <c r="C27" s="47">
        <f>Therms_CY2024!P19</f>
        <v>62288926</v>
      </c>
      <c r="D27" s="180">
        <f>'[1]Exh JDT-5 (JDT-MYRP)'!$H$102</f>
        <v>-4.4999999999999999E-4</v>
      </c>
      <c r="E27" s="180">
        <f>'[1]Exh JDT-5 (JDT-MYRP)'!$O$102</f>
        <v>-8.2500000000000004E-3</v>
      </c>
      <c r="F27" s="38">
        <f t="shared" si="0"/>
        <v>-28030.0167</v>
      </c>
      <c r="G27" s="38">
        <f t="shared" si="1"/>
        <v>-513883.63950000005</v>
      </c>
      <c r="H27" s="8">
        <f t="shared" si="2"/>
        <v>-485853.62280000007</v>
      </c>
      <c r="I27" s="1">
        <f t="shared" si="3"/>
        <v>-17.333333333333336</v>
      </c>
    </row>
    <row r="28" spans="1:9" x14ac:dyDescent="0.25">
      <c r="A28" t="s">
        <v>38</v>
      </c>
      <c r="B28" t="s">
        <v>39</v>
      </c>
      <c r="C28" s="47">
        <f>Therms_CY2024!P20</f>
        <v>578702</v>
      </c>
      <c r="D28" s="180">
        <f>'[1]Exh JDT-5 (JDT-MYRP)'!$H$139</f>
        <v>-3.6000000000000002E-4</v>
      </c>
      <c r="E28" s="180">
        <f>'[1]Exh JDT-5 (JDT-MYRP)'!$O$139</f>
        <v>-6.8300000000000001E-3</v>
      </c>
      <c r="F28" s="38">
        <f t="shared" si="0"/>
        <v>-208.33272000000002</v>
      </c>
      <c r="G28" s="38">
        <f t="shared" si="1"/>
        <v>-3952.5346600000003</v>
      </c>
      <c r="H28" s="8">
        <f t="shared" si="2"/>
        <v>-3744.2019400000004</v>
      </c>
      <c r="I28" s="1">
        <f t="shared" si="3"/>
        <v>-17.972222222222221</v>
      </c>
    </row>
    <row r="29" spans="1:9" x14ac:dyDescent="0.25">
      <c r="C29" s="47"/>
      <c r="D29" s="180"/>
      <c r="E29" s="180"/>
      <c r="F29" s="38"/>
      <c r="G29" s="38"/>
      <c r="H29" s="8"/>
      <c r="I29" s="1"/>
    </row>
    <row r="30" spans="1:9" x14ac:dyDescent="0.25">
      <c r="A30" t="s">
        <v>40</v>
      </c>
      <c r="B30" t="s">
        <v>41</v>
      </c>
    </row>
    <row r="31" spans="1:9" x14ac:dyDescent="0.25">
      <c r="A31" t="s">
        <v>376</v>
      </c>
      <c r="B31" t="s">
        <v>41</v>
      </c>
      <c r="C31" s="47">
        <f>'[1]Exh JDT-5 (JDT-MYRP)'!L203</f>
        <v>3298789.67</v>
      </c>
      <c r="D31" s="180">
        <f>'[1]Exh JDT-5 (JDT-MYRP)'!H203</f>
        <v>-9.1E-4</v>
      </c>
      <c r="E31" s="180">
        <f>'[1]Exh JDT-5 (JDT-MYRP)'!O203</f>
        <v>-1.668E-2</v>
      </c>
      <c r="F31" s="8">
        <f t="shared" si="0"/>
        <v>-3001.8985997</v>
      </c>
      <c r="G31" s="8">
        <f t="shared" si="1"/>
        <v>-55023.811695600001</v>
      </c>
      <c r="H31" s="8">
        <f t="shared" si="2"/>
        <v>-52021.913095900003</v>
      </c>
      <c r="I31" s="1">
        <f t="shared" ref="I31:I36" si="5">-H31/F31</f>
        <v>-17.329670329670332</v>
      </c>
    </row>
    <row r="32" spans="1:9" x14ac:dyDescent="0.25">
      <c r="A32" t="s">
        <v>377</v>
      </c>
      <c r="B32" t="s">
        <v>41</v>
      </c>
      <c r="C32" s="47">
        <f>'[1]Exh JDT-5 (JDT-MYRP)'!L204</f>
        <v>3300000</v>
      </c>
      <c r="D32" s="180">
        <f>'[1]Exh JDT-5 (JDT-MYRP)'!H204</f>
        <v>-5.5000000000000003E-4</v>
      </c>
      <c r="E32" s="180">
        <f>'[1]Exh JDT-5 (JDT-MYRP)'!O204</f>
        <v>-1.008E-2</v>
      </c>
      <c r="F32" s="8">
        <f t="shared" si="0"/>
        <v>-1815</v>
      </c>
      <c r="G32" s="8">
        <f t="shared" si="1"/>
        <v>-33264</v>
      </c>
      <c r="H32" s="8">
        <f t="shared" si="2"/>
        <v>-31449</v>
      </c>
      <c r="I32" s="1">
        <f t="shared" si="5"/>
        <v>-17.327272727272728</v>
      </c>
    </row>
    <row r="33" spans="1:9" x14ac:dyDescent="0.25">
      <c r="A33" t="s">
        <v>378</v>
      </c>
      <c r="B33" t="s">
        <v>41</v>
      </c>
      <c r="C33" s="47">
        <f>'[1]Exh JDT-5 (JDT-MYRP)'!L205</f>
        <v>6600000</v>
      </c>
      <c r="D33" s="180">
        <f>'[1]Exh JDT-5 (JDT-MYRP)'!H205</f>
        <v>-3.5E-4</v>
      </c>
      <c r="E33" s="180">
        <f>'[1]Exh JDT-5 (JDT-MYRP)'!O205</f>
        <v>-6.4200000000000004E-3</v>
      </c>
      <c r="F33" s="8">
        <f t="shared" si="0"/>
        <v>-2310</v>
      </c>
      <c r="G33" s="8">
        <f t="shared" si="1"/>
        <v>-42372</v>
      </c>
      <c r="H33" s="8">
        <f t="shared" si="2"/>
        <v>-40062</v>
      </c>
      <c r="I33" s="1">
        <f t="shared" si="5"/>
        <v>-17.342857142857142</v>
      </c>
    </row>
    <row r="34" spans="1:9" x14ac:dyDescent="0.25">
      <c r="A34" t="s">
        <v>69</v>
      </c>
      <c r="B34" t="s">
        <v>41</v>
      </c>
      <c r="C34" s="47">
        <f>'[1]Exh JDT-5 (JDT-MYRP)'!L206</f>
        <v>12663691.02</v>
      </c>
      <c r="D34" s="180">
        <f>'[1]Exh JDT-5 (JDT-MYRP)'!H206</f>
        <v>-2.2000000000000001E-4</v>
      </c>
      <c r="E34" s="180">
        <f>'[1]Exh JDT-5 (JDT-MYRP)'!O206</f>
        <v>-4.1099999999999999E-3</v>
      </c>
      <c r="F34" s="8">
        <f t="shared" si="0"/>
        <v>-2786.0120244</v>
      </c>
      <c r="G34" s="8">
        <f t="shared" si="1"/>
        <v>-52047.7700922</v>
      </c>
      <c r="H34" s="8">
        <f t="shared" si="2"/>
        <v>-49261.758067800001</v>
      </c>
      <c r="I34" s="1">
        <f t="shared" si="5"/>
        <v>-17.681818181818183</v>
      </c>
    </row>
    <row r="35" spans="1:9" x14ac:dyDescent="0.25">
      <c r="A35" t="s">
        <v>70</v>
      </c>
      <c r="B35" t="s">
        <v>41</v>
      </c>
      <c r="C35" s="47">
        <f>'[1]Exh JDT-5 (JDT-MYRP)'!L207</f>
        <v>29344602.150000002</v>
      </c>
      <c r="D35" s="180">
        <f>'[1]Exh JDT-5 (JDT-MYRP)'!H207</f>
        <v>-1.6000000000000001E-4</v>
      </c>
      <c r="E35" s="180">
        <f>'[1]Exh JDT-5 (JDT-MYRP)'!O207</f>
        <v>-2.96E-3</v>
      </c>
      <c r="F35" s="8">
        <f t="shared" si="0"/>
        <v>-4695.1363440000005</v>
      </c>
      <c r="G35" s="8">
        <f t="shared" si="1"/>
        <v>-86860.022364000004</v>
      </c>
      <c r="H35" s="8">
        <f t="shared" si="2"/>
        <v>-82164.886020000005</v>
      </c>
      <c r="I35" s="1">
        <f t="shared" si="5"/>
        <v>-17.5</v>
      </c>
    </row>
    <row r="36" spans="1:9" x14ac:dyDescent="0.25">
      <c r="A36" t="s">
        <v>89</v>
      </c>
      <c r="B36" t="s">
        <v>41</v>
      </c>
      <c r="C36" s="47">
        <f>'[1]Exh JDT-5 (JDT-MYRP)'!L208</f>
        <v>86801883.805479586</v>
      </c>
      <c r="D36" s="180">
        <f>'[1]Exh JDT-5 (JDT-MYRP)'!H208</f>
        <v>-3.0000000000000001E-5</v>
      </c>
      <c r="E36" s="180">
        <f>'[1]Exh JDT-5 (JDT-MYRP)'!O208</f>
        <v>-4.8000000000000001E-4</v>
      </c>
      <c r="F36" s="8">
        <f t="shared" si="0"/>
        <v>-2604.0565141643879</v>
      </c>
      <c r="G36" s="8">
        <f t="shared" si="1"/>
        <v>-41664.904226630206</v>
      </c>
      <c r="H36" s="8">
        <f t="shared" si="2"/>
        <v>-39060.847712465817</v>
      </c>
      <c r="I36" s="1">
        <f t="shared" si="5"/>
        <v>-15</v>
      </c>
    </row>
    <row r="37" spans="1:9" x14ac:dyDescent="0.25">
      <c r="A37" t="s">
        <v>6</v>
      </c>
      <c r="B37" t="s">
        <v>41</v>
      </c>
      <c r="C37" s="14">
        <f>SUM(C31:C36)</f>
        <v>142008966.64547959</v>
      </c>
      <c r="D37" s="180"/>
      <c r="E37" s="180"/>
      <c r="F37" s="38">
        <f>SUM(F31:F36)</f>
        <v>-17212.103482264389</v>
      </c>
      <c r="G37" s="38">
        <f t="shared" ref="G37:H37" si="6">SUM(G31:G36)</f>
        <v>-311232.50837843027</v>
      </c>
      <c r="H37" s="38">
        <f t="shared" si="6"/>
        <v>-294020.40489616583</v>
      </c>
      <c r="I37" s="1">
        <f>-H37/F37</f>
        <v>-17.082189007237197</v>
      </c>
    </row>
    <row r="38" spans="1:9" x14ac:dyDescent="0.25">
      <c r="C38" s="47"/>
      <c r="D38" s="180"/>
      <c r="E38" s="180"/>
      <c r="F38" s="38"/>
      <c r="G38" s="38"/>
      <c r="H38" s="8"/>
      <c r="I38" s="1"/>
    </row>
    <row r="39" spans="1:9" x14ac:dyDescent="0.25">
      <c r="A39" t="s">
        <v>13</v>
      </c>
      <c r="C39" s="47">
        <f>Therms_CY2024!P22</f>
        <v>30967900</v>
      </c>
      <c r="D39" s="9"/>
      <c r="E39" s="7"/>
      <c r="F39" s="38">
        <f>C39*D39</f>
        <v>0</v>
      </c>
      <c r="G39" s="38">
        <f t="shared" si="1"/>
        <v>0</v>
      </c>
      <c r="H39" s="8">
        <f t="shared" si="2"/>
        <v>0</v>
      </c>
      <c r="I39" s="1" t="e">
        <f t="shared" si="3"/>
        <v>#DIV/0!</v>
      </c>
    </row>
    <row r="40" spans="1:9" x14ac:dyDescent="0.25">
      <c r="A40" t="s">
        <v>6</v>
      </c>
      <c r="C40" s="10">
        <f>SUM(C9:C14,C23,C25:C28,C37,C39)</f>
        <v>1252743002.407835</v>
      </c>
      <c r="D40" s="6"/>
      <c r="E40" s="123"/>
      <c r="F40" s="79">
        <f t="shared" ref="F40:H40" si="7">SUM(F9:F14,F23,F25:F28,F37,F39)</f>
        <v>-1600115.7125488648</v>
      </c>
      <c r="G40" s="79">
        <f t="shared" si="7"/>
        <v>-29036383.994699184</v>
      </c>
      <c r="H40" s="79">
        <f t="shared" si="7"/>
        <v>-27436268.282150317</v>
      </c>
      <c r="I40" s="2">
        <f>-H40/F40</f>
        <v>-17.146427640815045</v>
      </c>
    </row>
    <row r="41" spans="1:9" x14ac:dyDescent="0.25">
      <c r="F41" s="8"/>
      <c r="G41" s="8"/>
    </row>
    <row r="42" spans="1:9" x14ac:dyDescent="0.25">
      <c r="A42" s="189"/>
      <c r="C42" s="14"/>
      <c r="F42" s="8"/>
      <c r="G42" s="8"/>
    </row>
    <row r="43" spans="1:9" x14ac:dyDescent="0.25">
      <c r="A43" s="41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J25"/>
  <sheetViews>
    <sheetView zoomScale="90" zoomScaleNormal="90" workbookViewId="0">
      <selection activeCell="F25" sqref="F25"/>
    </sheetView>
  </sheetViews>
  <sheetFormatPr defaultRowHeight="15" x14ac:dyDescent="0.25"/>
  <cols>
    <col min="1" max="1" width="36.85546875" bestFit="1" customWidth="1"/>
    <col min="2" max="2" width="9.140625" bestFit="1" customWidth="1"/>
    <col min="3" max="3" width="18.5703125" bestFit="1" customWidth="1"/>
    <col min="4" max="5" width="13.7109375" customWidth="1"/>
    <col min="6" max="8" width="14.42578125" customWidth="1"/>
    <col min="9" max="9" width="8.28515625" customWidth="1"/>
  </cols>
  <sheetData>
    <row r="1" spans="1:10" s="43" customFormat="1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42"/>
    </row>
    <row r="2" spans="1:10" s="43" customFormat="1" x14ac:dyDescent="0.25">
      <c r="A2" s="218" t="s">
        <v>334</v>
      </c>
      <c r="B2" s="218"/>
      <c r="C2" s="218"/>
      <c r="D2" s="218"/>
      <c r="E2" s="218"/>
      <c r="F2" s="218"/>
      <c r="G2" s="218"/>
      <c r="H2" s="218"/>
      <c r="I2" s="218"/>
      <c r="J2" s="42"/>
    </row>
    <row r="3" spans="1:10" s="43" customFormat="1" x14ac:dyDescent="0.25">
      <c r="A3" s="218" t="s">
        <v>335</v>
      </c>
      <c r="B3" s="218"/>
      <c r="C3" s="218"/>
      <c r="D3" s="218"/>
      <c r="E3" s="218"/>
      <c r="F3" s="218"/>
      <c r="G3" s="218"/>
      <c r="H3" s="218"/>
      <c r="I3" s="218"/>
      <c r="J3" s="42"/>
    </row>
    <row r="4" spans="1:10" s="43" customFormat="1" x14ac:dyDescent="0.25">
      <c r="A4" s="218" t="s">
        <v>219</v>
      </c>
      <c r="B4" s="218"/>
      <c r="C4" s="218"/>
      <c r="D4" s="218"/>
      <c r="E4" s="218"/>
      <c r="F4" s="218"/>
      <c r="G4" s="218"/>
      <c r="H4" s="218"/>
      <c r="I4" s="218"/>
      <c r="J4" s="42"/>
    </row>
    <row r="5" spans="1:10" x14ac:dyDescent="0.25">
      <c r="D5" s="3"/>
      <c r="E5" s="3"/>
    </row>
    <row r="6" spans="1:10" x14ac:dyDescent="0.25">
      <c r="A6" s="3"/>
      <c r="B6" s="3"/>
      <c r="C6" s="3" t="s">
        <v>15</v>
      </c>
      <c r="D6" s="3" t="s">
        <v>5</v>
      </c>
      <c r="E6" s="3" t="s">
        <v>1</v>
      </c>
      <c r="F6" s="48" t="s">
        <v>15</v>
      </c>
      <c r="G6" s="48" t="s">
        <v>15</v>
      </c>
      <c r="H6" s="3" t="s">
        <v>272</v>
      </c>
      <c r="I6" s="3"/>
    </row>
    <row r="7" spans="1:10" x14ac:dyDescent="0.25">
      <c r="A7" s="3"/>
      <c r="B7" s="3" t="s">
        <v>17</v>
      </c>
      <c r="C7" s="3" t="s">
        <v>3</v>
      </c>
      <c r="D7" s="3" t="s">
        <v>272</v>
      </c>
      <c r="E7" s="3" t="s">
        <v>272</v>
      </c>
      <c r="F7" s="48" t="s">
        <v>2</v>
      </c>
      <c r="G7" s="48" t="s">
        <v>2</v>
      </c>
      <c r="H7" s="3" t="s">
        <v>2</v>
      </c>
      <c r="I7" s="3" t="s">
        <v>20</v>
      </c>
    </row>
    <row r="8" spans="1:10" x14ac:dyDescent="0.25">
      <c r="A8" s="104" t="s">
        <v>4</v>
      </c>
      <c r="B8" s="104" t="s">
        <v>21</v>
      </c>
      <c r="C8" s="73" t="s">
        <v>252</v>
      </c>
      <c r="D8" s="104" t="s">
        <v>22</v>
      </c>
      <c r="E8" s="104" t="s">
        <v>22</v>
      </c>
      <c r="F8" s="44" t="s">
        <v>23</v>
      </c>
      <c r="G8" s="44" t="s">
        <v>131</v>
      </c>
      <c r="H8" s="104" t="s">
        <v>24</v>
      </c>
      <c r="I8" s="104" t="s">
        <v>24</v>
      </c>
    </row>
    <row r="9" spans="1:10" x14ac:dyDescent="0.25">
      <c r="A9" t="s">
        <v>7</v>
      </c>
      <c r="B9" s="5" t="s">
        <v>30</v>
      </c>
      <c r="C9" s="47">
        <f>SUM(Therms_CY2025!P10,Therms_CY2025!P11)</f>
        <v>0</v>
      </c>
      <c r="D9" s="180">
        <f>'[1]Exh JDT-5 (JDT-MYRP)'!$N$11</f>
        <v>0</v>
      </c>
      <c r="E9" s="180">
        <f>'[1]Exh JDT-5 (JDT-MYRP)'!$T$11</f>
        <v>0</v>
      </c>
      <c r="F9" s="38">
        <f>C9*D9</f>
        <v>0</v>
      </c>
      <c r="G9" s="38">
        <f>C9*E9</f>
        <v>0</v>
      </c>
      <c r="H9" s="8">
        <f>G9-F9</f>
        <v>0</v>
      </c>
      <c r="I9" s="1" t="e">
        <f>-H9/F9</f>
        <v>#DIV/0!</v>
      </c>
    </row>
    <row r="10" spans="1:10" x14ac:dyDescent="0.25">
      <c r="A10" t="s">
        <v>31</v>
      </c>
      <c r="B10" s="5">
        <v>16</v>
      </c>
      <c r="C10" s="47">
        <f>Therms_CY2025!P9</f>
        <v>0</v>
      </c>
      <c r="D10" s="180">
        <f>'[1]Exh JDT-5 (JDT-MYRP)'!$N$11</f>
        <v>0</v>
      </c>
      <c r="E10" s="180">
        <f>'[1]Exh JDT-5 (JDT-MYRP)'!$T$11</f>
        <v>0</v>
      </c>
      <c r="F10" s="38">
        <f t="shared" ref="F10:F20" si="0">C10*D10</f>
        <v>0</v>
      </c>
      <c r="G10" s="38">
        <f t="shared" ref="G10:G21" si="1">C10*E10</f>
        <v>0</v>
      </c>
      <c r="H10" s="8">
        <f t="shared" ref="H10:H21" si="2">G10-F10</f>
        <v>0</v>
      </c>
      <c r="I10" s="1" t="e">
        <f t="shared" ref="I10:I21" si="3">-H10/F10</f>
        <v>#DIV/0!</v>
      </c>
    </row>
    <row r="11" spans="1:10" x14ac:dyDescent="0.25">
      <c r="A11" t="s">
        <v>8</v>
      </c>
      <c r="B11" s="5">
        <v>31</v>
      </c>
      <c r="C11" s="47">
        <f>Therms_CY2025!P12</f>
        <v>0</v>
      </c>
      <c r="D11" s="180">
        <f>'[1]Exh JDT-5 (JDT-MYRP)'!$N$40</f>
        <v>0</v>
      </c>
      <c r="E11" s="180">
        <f>'[1]Exh JDT-5 (JDT-MYRP)'!$T$40</f>
        <v>0</v>
      </c>
      <c r="F11" s="38">
        <f t="shared" si="0"/>
        <v>0</v>
      </c>
      <c r="G11" s="38">
        <f t="shared" si="1"/>
        <v>0</v>
      </c>
      <c r="H11" s="8">
        <f t="shared" si="2"/>
        <v>0</v>
      </c>
      <c r="I11" s="1" t="e">
        <f t="shared" si="3"/>
        <v>#DIV/0!</v>
      </c>
    </row>
    <row r="12" spans="1:10" x14ac:dyDescent="0.25">
      <c r="A12" t="s">
        <v>9</v>
      </c>
      <c r="B12" s="5">
        <v>41</v>
      </c>
      <c r="C12" s="47">
        <f>Therms_CY2025!P13</f>
        <v>0</v>
      </c>
      <c r="D12" s="180">
        <f>'[1]Exh JDT-5 (JDT-MYRP)'!$N$64</f>
        <v>0</v>
      </c>
      <c r="E12" s="180">
        <f>'[1]Exh JDT-5 (JDT-MYRP)'!$T$64</f>
        <v>0</v>
      </c>
      <c r="F12" s="38">
        <f t="shared" si="0"/>
        <v>0</v>
      </c>
      <c r="G12" s="38">
        <f t="shared" si="1"/>
        <v>0</v>
      </c>
      <c r="H12" s="8">
        <f t="shared" si="2"/>
        <v>0</v>
      </c>
      <c r="I12" s="1" t="e">
        <f t="shared" si="3"/>
        <v>#DIV/0!</v>
      </c>
    </row>
    <row r="13" spans="1:10" x14ac:dyDescent="0.25">
      <c r="A13" t="s">
        <v>10</v>
      </c>
      <c r="B13" s="5">
        <v>85</v>
      </c>
      <c r="C13" s="47">
        <f>Therms_CY2025!P14</f>
        <v>0</v>
      </c>
      <c r="D13" s="180">
        <f>'[1]Exh JDT-5 (JDT-MYRP)'!$N$102</f>
        <v>0</v>
      </c>
      <c r="E13" s="180">
        <f>'[1]Exh JDT-5 (JDT-MYRP)'!$T$102</f>
        <v>0</v>
      </c>
      <c r="F13" s="38">
        <f t="shared" si="0"/>
        <v>0</v>
      </c>
      <c r="G13" s="38">
        <f t="shared" si="1"/>
        <v>0</v>
      </c>
      <c r="H13" s="8">
        <f t="shared" si="2"/>
        <v>0</v>
      </c>
      <c r="I13" s="1" t="e">
        <f t="shared" si="3"/>
        <v>#DIV/0!</v>
      </c>
    </row>
    <row r="14" spans="1:10" x14ac:dyDescent="0.25">
      <c r="A14" t="s">
        <v>11</v>
      </c>
      <c r="B14" s="5">
        <v>86</v>
      </c>
      <c r="C14" s="47">
        <f>Therms_CY2025!P15</f>
        <v>0</v>
      </c>
      <c r="D14" s="180">
        <f>'[1]Exh JDT-5 (JDT-MYRP)'!$N$139</f>
        <v>0</v>
      </c>
      <c r="E14" s="180">
        <f>'[1]Exh JDT-5 (JDT-MYRP)'!$T$139</f>
        <v>0</v>
      </c>
      <c r="F14" s="38">
        <f t="shared" si="0"/>
        <v>0</v>
      </c>
      <c r="G14" s="38">
        <f t="shared" si="1"/>
        <v>0</v>
      </c>
      <c r="H14" s="8">
        <f t="shared" si="2"/>
        <v>0</v>
      </c>
      <c r="I14" s="1" t="e">
        <f t="shared" si="3"/>
        <v>#DIV/0!</v>
      </c>
    </row>
    <row r="15" spans="1:10" x14ac:dyDescent="0.25">
      <c r="A15" t="s">
        <v>12</v>
      </c>
      <c r="B15" s="5">
        <v>87</v>
      </c>
      <c r="C15" s="47">
        <f>Therms_CY2025!P16</f>
        <v>0</v>
      </c>
      <c r="D15" s="180">
        <f>'[1]Exh JDT-5 (JDT-MYRP)'!$N$174</f>
        <v>0</v>
      </c>
      <c r="E15" s="180">
        <f>'[1]Exh JDT-5 (JDT-MYRP)'!$T$174</f>
        <v>0</v>
      </c>
      <c r="F15" s="38">
        <f t="shared" si="0"/>
        <v>0</v>
      </c>
      <c r="G15" s="38">
        <f t="shared" si="1"/>
        <v>0</v>
      </c>
      <c r="H15" s="8">
        <f t="shared" si="2"/>
        <v>0</v>
      </c>
      <c r="I15" s="1" t="e">
        <f t="shared" si="3"/>
        <v>#DIV/0!</v>
      </c>
    </row>
    <row r="16" spans="1:10" x14ac:dyDescent="0.25">
      <c r="A16" t="s">
        <v>32</v>
      </c>
      <c r="B16" s="5" t="s">
        <v>33</v>
      </c>
      <c r="C16" s="47">
        <f>Therms_CY2025!P17</f>
        <v>0</v>
      </c>
      <c r="D16" s="180">
        <f>'[1]Exh JDT-5 (JDT-MYRP)'!$N$40</f>
        <v>0</v>
      </c>
      <c r="E16" s="180">
        <f>'[1]Exh JDT-5 (JDT-MYRP)'!$T$40</f>
        <v>0</v>
      </c>
      <c r="F16" s="38">
        <f t="shared" si="0"/>
        <v>0</v>
      </c>
      <c r="G16" s="38">
        <f t="shared" si="1"/>
        <v>0</v>
      </c>
      <c r="H16" s="8">
        <f t="shared" si="2"/>
        <v>0</v>
      </c>
      <c r="I16" s="1" t="e">
        <f t="shared" si="3"/>
        <v>#DIV/0!</v>
      </c>
    </row>
    <row r="17" spans="1:9" x14ac:dyDescent="0.25">
      <c r="A17" t="s">
        <v>34</v>
      </c>
      <c r="B17" t="s">
        <v>35</v>
      </c>
      <c r="C17" s="47">
        <f>Therms_CY2025!P18</f>
        <v>0</v>
      </c>
      <c r="D17" s="180">
        <f>'[1]Exh JDT-5 (JDT-MYRP)'!$N$64</f>
        <v>0</v>
      </c>
      <c r="E17" s="180">
        <f>'[1]Exh JDT-5 (JDT-MYRP)'!$T$64</f>
        <v>0</v>
      </c>
      <c r="F17" s="38">
        <f t="shared" si="0"/>
        <v>0</v>
      </c>
      <c r="G17" s="38">
        <f t="shared" si="1"/>
        <v>0</v>
      </c>
      <c r="H17" s="8">
        <f t="shared" si="2"/>
        <v>0</v>
      </c>
      <c r="I17" s="1" t="e">
        <f t="shared" si="3"/>
        <v>#DIV/0!</v>
      </c>
    </row>
    <row r="18" spans="1:9" x14ac:dyDescent="0.25">
      <c r="A18" t="s">
        <v>36</v>
      </c>
      <c r="B18" t="s">
        <v>37</v>
      </c>
      <c r="C18" s="47">
        <f>Therms_CY2025!P19</f>
        <v>0</v>
      </c>
      <c r="D18" s="180">
        <f>'[1]Exh JDT-5 (JDT-MYRP)'!$N$102</f>
        <v>0</v>
      </c>
      <c r="E18" s="180">
        <f>'[1]Exh JDT-5 (JDT-MYRP)'!$T$102</f>
        <v>0</v>
      </c>
      <c r="F18" s="38">
        <f t="shared" si="0"/>
        <v>0</v>
      </c>
      <c r="G18" s="38">
        <f t="shared" si="1"/>
        <v>0</v>
      </c>
      <c r="H18" s="8">
        <f t="shared" si="2"/>
        <v>0</v>
      </c>
      <c r="I18" s="1" t="e">
        <f t="shared" si="3"/>
        <v>#DIV/0!</v>
      </c>
    </row>
    <row r="19" spans="1:9" x14ac:dyDescent="0.25">
      <c r="A19" t="s">
        <v>38</v>
      </c>
      <c r="B19" t="s">
        <v>39</v>
      </c>
      <c r="C19" s="47">
        <f>Therms_CY2025!P20</f>
        <v>0</v>
      </c>
      <c r="D19" s="180">
        <f>'[1]Exh JDT-5 (JDT-MYRP)'!$N$139</f>
        <v>0</v>
      </c>
      <c r="E19" s="180">
        <f>'[1]Exh JDT-5 (JDT-MYRP)'!$T$139</f>
        <v>0</v>
      </c>
      <c r="F19" s="38">
        <f t="shared" si="0"/>
        <v>0</v>
      </c>
      <c r="G19" s="38">
        <f t="shared" si="1"/>
        <v>0</v>
      </c>
      <c r="H19" s="8">
        <f t="shared" si="2"/>
        <v>0</v>
      </c>
      <c r="I19" s="1" t="e">
        <f t="shared" si="3"/>
        <v>#DIV/0!</v>
      </c>
    </row>
    <row r="20" spans="1:9" x14ac:dyDescent="0.25">
      <c r="A20" t="s">
        <v>40</v>
      </c>
      <c r="B20" t="s">
        <v>41</v>
      </c>
      <c r="C20" s="47">
        <f>Therms_CY2025!P21</f>
        <v>0</v>
      </c>
      <c r="D20" s="180">
        <f>'[1]Exh JDT-5 (JDT-MYRP)'!$N$174</f>
        <v>0</v>
      </c>
      <c r="E20" s="180">
        <f>'[1]Exh JDT-5 (JDT-MYRP)'!$T$174</f>
        <v>0</v>
      </c>
      <c r="F20" s="38">
        <f t="shared" si="0"/>
        <v>0</v>
      </c>
      <c r="G20" s="38">
        <f t="shared" si="1"/>
        <v>0</v>
      </c>
      <c r="H20" s="8">
        <f t="shared" si="2"/>
        <v>0</v>
      </c>
      <c r="I20" s="1" t="e">
        <f t="shared" si="3"/>
        <v>#DIV/0!</v>
      </c>
    </row>
    <row r="21" spans="1:9" x14ac:dyDescent="0.25">
      <c r="A21" t="s">
        <v>13</v>
      </c>
      <c r="C21" s="47">
        <f>Therms_CY2025!P22</f>
        <v>0</v>
      </c>
      <c r="D21" s="9"/>
      <c r="E21" s="7"/>
      <c r="F21" s="38">
        <f>C21*D21</f>
        <v>0</v>
      </c>
      <c r="G21" s="38">
        <f t="shared" si="1"/>
        <v>0</v>
      </c>
      <c r="H21" s="8">
        <f t="shared" si="2"/>
        <v>0</v>
      </c>
      <c r="I21" s="1" t="e">
        <f t="shared" si="3"/>
        <v>#DIV/0!</v>
      </c>
    </row>
    <row r="22" spans="1:9" x14ac:dyDescent="0.25">
      <c r="A22" t="s">
        <v>6</v>
      </c>
      <c r="C22" s="10">
        <f>SUM(C9:C21)</f>
        <v>0</v>
      </c>
      <c r="D22" s="6"/>
      <c r="E22" s="123"/>
      <c r="F22" s="39">
        <f t="shared" ref="F22:H22" si="4">SUM(F9:F21)</f>
        <v>0</v>
      </c>
      <c r="G22" s="39">
        <f t="shared" si="4"/>
        <v>0</v>
      </c>
      <c r="H22" s="11">
        <f t="shared" si="4"/>
        <v>0</v>
      </c>
      <c r="I22" s="2" t="e">
        <f>-H22/F22</f>
        <v>#DIV/0!</v>
      </c>
    </row>
    <row r="23" spans="1:9" x14ac:dyDescent="0.25">
      <c r="F23" s="8"/>
      <c r="G23" s="8"/>
    </row>
    <row r="24" spans="1:9" x14ac:dyDescent="0.25">
      <c r="C24" s="14"/>
      <c r="F24" s="8"/>
      <c r="G24" s="8"/>
    </row>
    <row r="25" spans="1:9" x14ac:dyDescent="0.25">
      <c r="A25" s="41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AF41"/>
  <sheetViews>
    <sheetView tabSelected="1" zoomScale="90" zoomScaleNormal="90" workbookViewId="0">
      <pane xSplit="3" ySplit="10" topLeftCell="D11" activePane="bottomRight" state="frozenSplit"/>
      <selection activeCell="C32" sqref="C32"/>
      <selection pane="topRight" activeCell="C32" sqref="C32"/>
      <selection pane="bottomLeft" activeCell="C32" sqref="C32"/>
      <selection pane="bottomRight" activeCell="O23" sqref="O23"/>
    </sheetView>
  </sheetViews>
  <sheetFormatPr defaultRowHeight="15" outlineLevelCol="1" x14ac:dyDescent="0.25"/>
  <cols>
    <col min="1" max="1" width="2.85546875" customWidth="1"/>
    <col min="2" max="2" width="37.5703125" customWidth="1"/>
    <col min="3" max="3" width="12.5703125" customWidth="1"/>
    <col min="4" max="4" width="16.140625" customWidth="1" outlineLevel="1"/>
    <col min="5" max="5" width="2.28515625" customWidth="1" outlineLevel="1"/>
    <col min="6" max="6" width="16" customWidth="1" outlineLevel="1"/>
    <col min="7" max="7" width="10" customWidth="1" outlineLevel="1"/>
    <col min="8" max="8" width="2.28515625" customWidth="1" outlineLevel="1"/>
    <col min="9" max="9" width="16" customWidth="1" outlineLevel="1"/>
    <col min="10" max="10" width="9.7109375" customWidth="1" outlineLevel="1"/>
    <col min="11" max="11" width="2.28515625" customWidth="1" outlineLevel="1"/>
    <col min="12" max="12" width="16" customWidth="1" outlineLevel="1"/>
    <col min="13" max="13" width="9.5703125" customWidth="1" outlineLevel="1"/>
    <col min="14" max="14" width="2.28515625" customWidth="1"/>
    <col min="15" max="15" width="23.5703125" bestFit="1" customWidth="1"/>
    <col min="16" max="16" width="15.28515625" bestFit="1" customWidth="1"/>
    <col min="17" max="17" width="2.28515625" customWidth="1"/>
    <col min="18" max="18" width="16" bestFit="1" customWidth="1"/>
    <col min="19" max="19" width="9.5703125" bestFit="1" customWidth="1"/>
    <col min="20" max="20" width="2.28515625" customWidth="1"/>
    <col min="21" max="21" width="16" bestFit="1" customWidth="1"/>
    <col min="22" max="22" width="9.5703125" bestFit="1" customWidth="1"/>
    <col min="23" max="23" width="2.28515625" customWidth="1"/>
    <col min="24" max="24" width="16" bestFit="1" customWidth="1"/>
    <col min="25" max="25" width="9.5703125" bestFit="1" customWidth="1"/>
    <col min="26" max="26" width="2.28515625" customWidth="1"/>
    <col min="27" max="27" width="16.140625" bestFit="1" customWidth="1"/>
    <col min="28" max="28" width="16" bestFit="1" customWidth="1"/>
    <col min="29" max="29" width="9.5703125" bestFit="1" customWidth="1"/>
    <col min="30" max="30" width="7.85546875" customWidth="1"/>
    <col min="31" max="31" width="9.28515625" customWidth="1"/>
  </cols>
  <sheetData>
    <row r="1" spans="1:32" x14ac:dyDescent="0.25">
      <c r="A1" s="233"/>
      <c r="B1" s="234" t="s">
        <v>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3"/>
    </row>
    <row r="2" spans="1:32" x14ac:dyDescent="0.25">
      <c r="A2" s="233"/>
      <c r="B2" s="234" t="s">
        <v>195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3"/>
    </row>
    <row r="3" spans="1:32" x14ac:dyDescent="0.25">
      <c r="A3" s="233"/>
      <c r="B3" s="236" t="s">
        <v>205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</row>
    <row r="4" spans="1:32" x14ac:dyDescent="0.25">
      <c r="A4" s="233"/>
      <c r="B4" s="236" t="s">
        <v>204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</row>
    <row r="5" spans="1:32" x14ac:dyDescent="0.25">
      <c r="A5" s="233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</row>
    <row r="6" spans="1:32" x14ac:dyDescent="0.25">
      <c r="A6" s="233"/>
      <c r="B6" s="238"/>
      <c r="C6" s="238"/>
      <c r="D6" s="238"/>
      <c r="E6" s="238"/>
      <c r="F6" s="239" t="s">
        <v>342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182"/>
      <c r="R6" s="182"/>
      <c r="S6" s="182"/>
      <c r="T6" s="182"/>
      <c r="U6" s="182"/>
      <c r="V6" s="183"/>
      <c r="W6" s="3"/>
      <c r="X6" s="181" t="s">
        <v>343</v>
      </c>
      <c r="Y6" s="183"/>
      <c r="Z6" s="3"/>
      <c r="AA6" s="3"/>
      <c r="AB6" s="3"/>
      <c r="AC6" s="3"/>
    </row>
    <row r="7" spans="1:32" x14ac:dyDescent="0.25">
      <c r="A7" s="233"/>
      <c r="B7" s="233"/>
      <c r="C7" s="233"/>
      <c r="D7" s="241" t="s">
        <v>212</v>
      </c>
      <c r="E7" s="241"/>
      <c r="F7" s="233"/>
      <c r="G7" s="233"/>
      <c r="H7" s="238"/>
      <c r="I7" s="233"/>
      <c r="J7" s="233"/>
      <c r="K7" s="233"/>
      <c r="L7" s="233"/>
      <c r="M7" s="233"/>
      <c r="N7" s="233"/>
      <c r="O7" s="233"/>
      <c r="P7" s="233"/>
      <c r="AA7" s="3" t="str">
        <f>D7</f>
        <v>12ME Dec. 2023</v>
      </c>
      <c r="AE7" s="3"/>
      <c r="AF7" s="3"/>
    </row>
    <row r="8" spans="1:32" x14ac:dyDescent="0.25">
      <c r="A8" s="248"/>
      <c r="B8" s="249"/>
      <c r="C8" s="249"/>
      <c r="D8" s="249" t="s">
        <v>136</v>
      </c>
      <c r="E8" s="249"/>
      <c r="F8" s="250"/>
      <c r="G8" s="249"/>
      <c r="H8" s="249"/>
      <c r="I8" s="249" t="s">
        <v>200</v>
      </c>
      <c r="J8" s="249" t="str">
        <f>I8</f>
        <v>Sch. 141N</v>
      </c>
      <c r="K8" s="249"/>
      <c r="L8" s="249" t="s">
        <v>198</v>
      </c>
      <c r="M8" s="249" t="str">
        <f>L8</f>
        <v>Sch. 141R</v>
      </c>
      <c r="N8" s="249"/>
      <c r="O8" s="251" t="s">
        <v>380</v>
      </c>
      <c r="P8" s="251" t="str">
        <f>O8</f>
        <v>Sch. 141D</v>
      </c>
      <c r="Q8" s="3"/>
      <c r="R8" s="3" t="s">
        <v>187</v>
      </c>
      <c r="S8" s="3" t="str">
        <f>R8</f>
        <v>Sch. 149</v>
      </c>
      <c r="T8" s="3"/>
      <c r="W8" s="3"/>
      <c r="X8" s="3" t="s">
        <v>206</v>
      </c>
      <c r="Y8" s="3" t="str">
        <f>X8</f>
        <v>Sch. 141X</v>
      </c>
      <c r="Z8" s="3"/>
      <c r="AA8" s="3" t="s">
        <v>136</v>
      </c>
      <c r="AB8" s="3"/>
      <c r="AC8" s="3"/>
      <c r="AD8" s="3"/>
    </row>
    <row r="9" spans="1:32" x14ac:dyDescent="0.25">
      <c r="A9" s="248"/>
      <c r="B9" s="249"/>
      <c r="C9" s="249" t="s">
        <v>17</v>
      </c>
      <c r="D9" s="249" t="s">
        <v>188</v>
      </c>
      <c r="E9" s="249"/>
      <c r="F9" s="249" t="s">
        <v>197</v>
      </c>
      <c r="G9" s="249" t="str">
        <f>F9</f>
        <v>Base Rate</v>
      </c>
      <c r="H9" s="249"/>
      <c r="I9" s="249" t="s">
        <v>199</v>
      </c>
      <c r="J9" s="249" t="str">
        <f>I9</f>
        <v>Rate Plan</v>
      </c>
      <c r="K9" s="249"/>
      <c r="L9" s="249" t="s">
        <v>199</v>
      </c>
      <c r="M9" s="249" t="str">
        <f>L9</f>
        <v>Rate Plan</v>
      </c>
      <c r="N9" s="249"/>
      <c r="O9" s="251" t="s">
        <v>381</v>
      </c>
      <c r="P9" s="251" t="str">
        <f>O9</f>
        <v>Pipeline</v>
      </c>
      <c r="Q9" s="3"/>
      <c r="R9" s="3" t="s">
        <v>208</v>
      </c>
      <c r="S9" s="3" t="s">
        <v>208</v>
      </c>
      <c r="T9" s="3"/>
      <c r="U9" s="3" t="s">
        <v>339</v>
      </c>
      <c r="V9" s="3" t="s">
        <v>339</v>
      </c>
      <c r="W9" s="3"/>
      <c r="X9" s="3" t="s">
        <v>207</v>
      </c>
      <c r="Y9" s="3" t="s">
        <v>207</v>
      </c>
      <c r="Z9" s="3"/>
      <c r="AA9" s="3" t="s">
        <v>189</v>
      </c>
      <c r="AB9" s="3" t="s">
        <v>6</v>
      </c>
      <c r="AC9" s="3" t="s">
        <v>6</v>
      </c>
      <c r="AD9" s="3"/>
    </row>
    <row r="10" spans="1:32" x14ac:dyDescent="0.25">
      <c r="A10" s="248"/>
      <c r="B10" s="252" t="s">
        <v>4</v>
      </c>
      <c r="C10" s="252" t="s">
        <v>21</v>
      </c>
      <c r="D10" s="252" t="s">
        <v>161</v>
      </c>
      <c r="E10" s="249"/>
      <c r="F10" s="252" t="s">
        <v>122</v>
      </c>
      <c r="G10" s="252" t="s">
        <v>190</v>
      </c>
      <c r="H10" s="249"/>
      <c r="I10" s="252" t="s">
        <v>122</v>
      </c>
      <c r="J10" s="252" t="s">
        <v>164</v>
      </c>
      <c r="K10" s="249"/>
      <c r="L10" s="252" t="s">
        <v>122</v>
      </c>
      <c r="M10" s="252" t="s">
        <v>164</v>
      </c>
      <c r="N10" s="249"/>
      <c r="O10" s="253" t="s">
        <v>122</v>
      </c>
      <c r="P10" s="253" t="s">
        <v>164</v>
      </c>
      <c r="Q10" s="3"/>
      <c r="R10" s="80" t="s">
        <v>122</v>
      </c>
      <c r="S10" s="80" t="s">
        <v>164</v>
      </c>
      <c r="T10" s="3"/>
      <c r="U10" s="80" t="s">
        <v>122</v>
      </c>
      <c r="V10" s="80" t="s">
        <v>164</v>
      </c>
      <c r="W10" s="3"/>
      <c r="X10" s="80" t="s">
        <v>122</v>
      </c>
      <c r="Y10" s="80" t="s">
        <v>164</v>
      </c>
      <c r="Z10" s="3"/>
      <c r="AA10" s="80" t="s">
        <v>131</v>
      </c>
      <c r="AB10" s="80" t="s">
        <v>122</v>
      </c>
      <c r="AC10" s="80" t="s">
        <v>164</v>
      </c>
      <c r="AD10" s="80"/>
    </row>
    <row r="11" spans="1:32" x14ac:dyDescent="0.25">
      <c r="A11" s="248"/>
      <c r="B11" s="249" t="s">
        <v>25</v>
      </c>
      <c r="C11" s="249" t="s">
        <v>26</v>
      </c>
      <c r="D11" s="249" t="s">
        <v>27</v>
      </c>
      <c r="E11" s="249"/>
      <c r="F11" s="254" t="s">
        <v>28</v>
      </c>
      <c r="G11" s="255" t="s">
        <v>165</v>
      </c>
      <c r="H11" s="249"/>
      <c r="I11" s="254" t="s">
        <v>132</v>
      </c>
      <c r="J11" s="255" t="s">
        <v>191</v>
      </c>
      <c r="K11" s="255"/>
      <c r="L11" s="254" t="s">
        <v>78</v>
      </c>
      <c r="M11" s="255" t="s">
        <v>192</v>
      </c>
      <c r="N11" s="255"/>
      <c r="O11" s="256" t="s">
        <v>29</v>
      </c>
      <c r="P11" s="257" t="s">
        <v>340</v>
      </c>
      <c r="Q11" s="4"/>
      <c r="R11" s="74" t="s">
        <v>79</v>
      </c>
      <c r="S11" s="4" t="s">
        <v>209</v>
      </c>
      <c r="T11" s="4"/>
      <c r="U11" s="74" t="s">
        <v>382</v>
      </c>
      <c r="V11" s="4" t="s">
        <v>341</v>
      </c>
      <c r="W11" s="4"/>
      <c r="X11" s="74" t="s">
        <v>383</v>
      </c>
      <c r="Y11" s="4" t="s">
        <v>384</v>
      </c>
      <c r="Z11" s="4"/>
      <c r="AA11" s="3" t="s">
        <v>385</v>
      </c>
      <c r="AB11" s="74" t="s">
        <v>386</v>
      </c>
      <c r="AC11" s="4" t="s">
        <v>387</v>
      </c>
      <c r="AD11" s="3"/>
    </row>
    <row r="12" spans="1:32" x14ac:dyDescent="0.25">
      <c r="A12" s="248"/>
      <c r="B12" s="248" t="s">
        <v>7</v>
      </c>
      <c r="C12" s="258" t="s">
        <v>30</v>
      </c>
      <c r="D12" s="259">
        <f>'Revenue by Sch_RY#1'!O11</f>
        <v>754207139.20534039</v>
      </c>
      <c r="E12" s="259"/>
      <c r="F12" s="260">
        <f>'[1]Exh JDT-5 (JDT-MYRP)'!$G$18-'[2]Revenue Exhibit'!$U$12</f>
        <v>31174372.166929603</v>
      </c>
      <c r="G12" s="261">
        <f>F12/$D12</f>
        <v>4.1333965891354511E-2</v>
      </c>
      <c r="H12" s="262"/>
      <c r="I12" s="260">
        <f>'[1]Exh JDT-5 (JDT-MYRP)'!$H$19</f>
        <v>-1081827.9136999999</v>
      </c>
      <c r="J12" s="261">
        <f>I12/$D12</f>
        <v>-1.4343909749248097E-3</v>
      </c>
      <c r="K12" s="261"/>
      <c r="L12" s="260">
        <f>'[1]Exh JDT-5 (JDT-MYRP)'!$I$19</f>
        <v>30959369.41265</v>
      </c>
      <c r="M12" s="261">
        <f>L12/$D12</f>
        <v>4.1048894664759999E-2</v>
      </c>
      <c r="N12" s="263"/>
      <c r="O12" s="264">
        <f>'[1]Exh JDT-5 (JDT-MYRP)'!$J$19</f>
        <v>2074564.11686</v>
      </c>
      <c r="P12" s="265">
        <f>O12/$D12</f>
        <v>2.7506556342675767E-3</v>
      </c>
      <c r="Q12" s="37"/>
      <c r="R12" s="120">
        <f>'Sch. 149'!H9</f>
        <v>-14369220.17138</v>
      </c>
      <c r="S12" s="62">
        <f t="shared" ref="S12:S25" si="0">R12/$D12</f>
        <v>-1.9052087184589533E-2</v>
      </c>
      <c r="T12" s="62"/>
      <c r="U12" s="143">
        <f>SUM(F12,I12,L12,O12,R12)</f>
        <v>48757257.611359611</v>
      </c>
      <c r="V12" s="62">
        <f>U12/$D12</f>
        <v>6.4647038030867757E-2</v>
      </c>
      <c r="W12" s="62"/>
      <c r="X12" s="120">
        <f>'Sch. 141X'!H9</f>
        <v>-1998199.79354</v>
      </c>
      <c r="Y12" s="62">
        <f t="shared" ref="Y12:Y25" si="1">X12/$D12</f>
        <v>-2.6494045066258252E-3</v>
      </c>
      <c r="Z12" s="62"/>
      <c r="AA12" s="8">
        <f>SUM(D12,U12,X12)</f>
        <v>800966197.02315998</v>
      </c>
      <c r="AB12" s="143">
        <f>AA12-D12</f>
        <v>46759057.817819595</v>
      </c>
      <c r="AC12" s="62">
        <f>AB12/$D12</f>
        <v>6.199763352424191E-2</v>
      </c>
      <c r="AD12" s="62"/>
    </row>
    <row r="13" spans="1:32" x14ac:dyDescent="0.25">
      <c r="A13" s="248"/>
      <c r="B13" s="248" t="s">
        <v>31</v>
      </c>
      <c r="C13" s="258">
        <v>16</v>
      </c>
      <c r="D13" s="259">
        <f>'Revenue by Sch_RY#1'!O12</f>
        <v>10346.180891708256</v>
      </c>
      <c r="E13" s="259"/>
      <c r="F13" s="260">
        <f>'[1]Exh JDT-5 (JDT-MYRP)'!$G$34-'[2]Revenue Exhibit'!$U$11</f>
        <v>215.27438829174207</v>
      </c>
      <c r="G13" s="261">
        <f t="shared" ref="G13:G23" si="2">F13/$D13</f>
        <v>2.0807135555137017E-2</v>
      </c>
      <c r="H13" s="262"/>
      <c r="I13" s="260">
        <f>'[1]Exh JDT-5 (JDT-MYRP)'!$H$35</f>
        <v>-15.014399999999998</v>
      </c>
      <c r="J13" s="261">
        <f t="shared" ref="J13:J23" si="3">I13/$D13</f>
        <v>-1.4512021544136151E-3</v>
      </c>
      <c r="K13" s="261"/>
      <c r="L13" s="260">
        <f>'[1]Exh JDT-5 (JDT-MYRP)'!$I$35</f>
        <v>429.67680000000001</v>
      </c>
      <c r="M13" s="261">
        <f t="shared" ref="M13:M25" si="4">L13/$D13</f>
        <v>4.1529991066013169E-2</v>
      </c>
      <c r="N13" s="263"/>
      <c r="O13" s="264">
        <f>'[1]Exh JDT-5 (JDT-MYRP)'!$J$35</f>
        <v>28.79232</v>
      </c>
      <c r="P13" s="265">
        <f t="shared" ref="P13:P23" si="5">O13/$D13</f>
        <v>2.7828935431696384E-3</v>
      </c>
      <c r="Q13" s="37"/>
      <c r="R13" s="120">
        <f>'Sch. 149'!H10</f>
        <v>-199.42655999999999</v>
      </c>
      <c r="S13" s="62">
        <f t="shared" si="0"/>
        <v>-1.9275379203917312E-2</v>
      </c>
      <c r="T13" s="62"/>
      <c r="U13" s="143">
        <f t="shared" ref="U13:U24" si="6">SUM(F13,I13,L13,O13,R13)</f>
        <v>459.30254829174214</v>
      </c>
      <c r="V13" s="62">
        <f t="shared" ref="V13:V16" si="7">U13/$D13</f>
        <v>4.4393438805988901E-2</v>
      </c>
      <c r="W13" s="62"/>
      <c r="X13" s="120">
        <f>'Sch. 141X'!H10</f>
        <v>-27.732479999999999</v>
      </c>
      <c r="Y13" s="62">
        <f t="shared" si="1"/>
        <v>-2.6804557440345596E-3</v>
      </c>
      <c r="Z13" s="62"/>
      <c r="AA13" s="8">
        <f t="shared" ref="AA13:AA24" si="8">SUM(D13,U13,X13)</f>
        <v>10777.750959999998</v>
      </c>
      <c r="AB13" s="143">
        <f t="shared" ref="AB13:AB24" si="9">AA13-D13</f>
        <v>431.57006829174134</v>
      </c>
      <c r="AC13" s="62">
        <f t="shared" ref="AC13:AC25" si="10">AB13/$D13</f>
        <v>4.1712983061954263E-2</v>
      </c>
      <c r="AD13" s="62"/>
    </row>
    <row r="14" spans="1:32" x14ac:dyDescent="0.25">
      <c r="A14" s="248"/>
      <c r="B14" s="248" t="s">
        <v>8</v>
      </c>
      <c r="C14" s="258">
        <v>31</v>
      </c>
      <c r="D14" s="259">
        <f>'Revenue by Sch_RY#1'!O13</f>
        <v>263664735.84557974</v>
      </c>
      <c r="E14" s="259"/>
      <c r="F14" s="260">
        <f>'[1]Exh JDT-5 (JDT-MYRP)'!$G$48-'[2]Revenue Exhibit'!$U$14</f>
        <v>11472613.184340313</v>
      </c>
      <c r="G14" s="261">
        <f t="shared" si="2"/>
        <v>4.3512125910760653E-2</v>
      </c>
      <c r="H14" s="262"/>
      <c r="I14" s="260">
        <f>'[1]Exh JDT-5 (JDT-MYRP)'!$H$49</f>
        <v>-381811.82935999997</v>
      </c>
      <c r="J14" s="261">
        <f t="shared" si="3"/>
        <v>-1.4480959243014407E-3</v>
      </c>
      <c r="K14" s="261"/>
      <c r="L14" s="260">
        <f>'[1]Exh JDT-5 (JDT-MYRP)'!$I$49</f>
        <v>10921763.85768</v>
      </c>
      <c r="M14" s="261">
        <f t="shared" si="4"/>
        <v>4.1422922267756498E-2</v>
      </c>
      <c r="N14" s="263"/>
      <c r="O14" s="264">
        <f>'[1]Exh JDT-5 (JDT-MYRP)'!$J$49</f>
        <v>732008.66648000001</v>
      </c>
      <c r="P14" s="265">
        <f t="shared" si="5"/>
        <v>2.7762858166543547E-3</v>
      </c>
      <c r="Q14" s="37"/>
      <c r="R14" s="120">
        <f>'Sch. 149'!H11</f>
        <v>-6011712.3705599997</v>
      </c>
      <c r="S14" s="62">
        <f t="shared" si="0"/>
        <v>-2.2800593152058353E-2</v>
      </c>
      <c r="T14" s="62"/>
      <c r="U14" s="143">
        <f t="shared" si="6"/>
        <v>16732861.508580314</v>
      </c>
      <c r="V14" s="62">
        <f t="shared" si="7"/>
        <v>6.346264491881172E-2</v>
      </c>
      <c r="W14" s="62"/>
      <c r="X14" s="120">
        <f>'Sch. 141X'!H11</f>
        <v>-860900.55792000005</v>
      </c>
      <c r="Y14" s="62">
        <f t="shared" si="1"/>
        <v>-3.2651334853675798E-3</v>
      </c>
      <c r="Z14" s="62"/>
      <c r="AA14" s="8">
        <f t="shared" si="8"/>
        <v>279536696.79624009</v>
      </c>
      <c r="AB14" s="143">
        <f t="shared" si="9"/>
        <v>15871960.950660348</v>
      </c>
      <c r="AC14" s="62">
        <f t="shared" si="10"/>
        <v>6.0197511433444262E-2</v>
      </c>
      <c r="AD14" s="62"/>
    </row>
    <row r="15" spans="1:32" x14ac:dyDescent="0.25">
      <c r="A15" s="248"/>
      <c r="B15" s="248" t="s">
        <v>9</v>
      </c>
      <c r="C15" s="258">
        <v>41</v>
      </c>
      <c r="D15" s="259">
        <f>'Revenue by Sch_RY#1'!O14</f>
        <v>48031953.478729695</v>
      </c>
      <c r="E15" s="259"/>
      <c r="F15" s="260">
        <f>'[1]Exh JDT-5 (JDT-MYRP)'!$G$79-'[2]Revenue Exhibit'!$U$16</f>
        <v>1706285.3580703046</v>
      </c>
      <c r="G15" s="261">
        <f t="shared" si="2"/>
        <v>3.552396341377017E-2</v>
      </c>
      <c r="H15" s="262"/>
      <c r="I15" s="260">
        <f>'[1]Exh JDT-5 (JDT-MYRP)'!$H$80</f>
        <v>-50192.16375</v>
      </c>
      <c r="J15" s="261">
        <f t="shared" si="3"/>
        <v>-1.0449744412795313E-3</v>
      </c>
      <c r="K15" s="261"/>
      <c r="L15" s="260">
        <f>'[1]Exh JDT-5 (JDT-MYRP)'!$I$80</f>
        <v>1436834.3409499999</v>
      </c>
      <c r="M15" s="261">
        <f t="shared" si="4"/>
        <v>2.991413500569538E-2</v>
      </c>
      <c r="N15" s="263"/>
      <c r="O15" s="264">
        <f>'[1]Exh JDT-5 (JDT-MYRP)'!$J$80</f>
        <v>151914.94894999999</v>
      </c>
      <c r="P15" s="265">
        <f t="shared" si="5"/>
        <v>3.1627893089393811E-3</v>
      </c>
      <c r="Q15" s="37"/>
      <c r="R15" s="120">
        <f>'Sch. 149'!H12</f>
        <v>-752882.45624999993</v>
      </c>
      <c r="S15" s="62">
        <f t="shared" si="0"/>
        <v>-1.5674616619192967E-2</v>
      </c>
      <c r="T15" s="62"/>
      <c r="U15" s="143">
        <f t="shared" si="6"/>
        <v>2491960.0279703047</v>
      </c>
      <c r="V15" s="62">
        <f t="shared" si="7"/>
        <v>5.1881296667932439E-2</v>
      </c>
      <c r="W15" s="62"/>
      <c r="X15" s="120">
        <f>'Sch. 141X'!H12</f>
        <v>-89007.437050000008</v>
      </c>
      <c r="Y15" s="62">
        <f t="shared" si="1"/>
        <v>-1.8530880092023688E-3</v>
      </c>
      <c r="Z15" s="62"/>
      <c r="AA15" s="8">
        <f t="shared" si="8"/>
        <v>50434906.069650002</v>
      </c>
      <c r="AB15" s="143">
        <f t="shared" si="9"/>
        <v>2402952.5909203067</v>
      </c>
      <c r="AC15" s="62">
        <f t="shared" si="10"/>
        <v>5.002820865873011E-2</v>
      </c>
      <c r="AD15" s="62"/>
    </row>
    <row r="16" spans="1:32" x14ac:dyDescent="0.25">
      <c r="A16" s="248"/>
      <c r="B16" s="248" t="s">
        <v>10</v>
      </c>
      <c r="C16" s="258">
        <v>85</v>
      </c>
      <c r="D16" s="259">
        <f>'Revenue by Sch_RY#1'!O15</f>
        <v>6262366.3661821345</v>
      </c>
      <c r="E16" s="259"/>
      <c r="F16" s="260">
        <f>'[1]Exh JDT-5 (JDT-MYRP)'!$G$116-'[2]Revenue Exhibit'!$U$19</f>
        <v>228268.08826498454</v>
      </c>
      <c r="G16" s="261">
        <f t="shared" si="2"/>
        <v>3.6450771947433777E-2</v>
      </c>
      <c r="H16" s="262"/>
      <c r="I16" s="260">
        <f>'[1]Exh JDT-5 (JDT-MYRP)'!$H$117</f>
        <v>-5006.0879999999997</v>
      </c>
      <c r="J16" s="261">
        <f t="shared" si="3"/>
        <v>-7.9939238736234663E-4</v>
      </c>
      <c r="K16" s="261"/>
      <c r="L16" s="260">
        <f>'[1]Exh JDT-5 (JDT-MYRP)'!$I$117</f>
        <v>142061.65280000001</v>
      </c>
      <c r="M16" s="261">
        <f t="shared" si="4"/>
        <v>2.2684979525815926E-2</v>
      </c>
      <c r="N16" s="263"/>
      <c r="O16" s="264">
        <f>'[1]Exh JDT-5 (JDT-MYRP)'!$J$117</f>
        <v>20469.337599999999</v>
      </c>
      <c r="P16" s="265">
        <f t="shared" si="5"/>
        <v>3.2686266505482617E-3</v>
      </c>
      <c r="Q16" s="37"/>
      <c r="R16" s="120">
        <f>'Sch. 149'!H13</f>
        <v>-74646.334399999992</v>
      </c>
      <c r="S16" s="62">
        <f t="shared" si="0"/>
        <v>-1.1919828709336323E-2</v>
      </c>
      <c r="T16" s="62"/>
      <c r="U16" s="143">
        <f t="shared" si="6"/>
        <v>311146.65626498457</v>
      </c>
      <c r="V16" s="62">
        <f t="shared" si="7"/>
        <v>4.9685157027099296E-2</v>
      </c>
      <c r="W16" s="62"/>
      <c r="X16" s="120">
        <f>'Sch. 141X'!H13</f>
        <v>-9010.9583999999995</v>
      </c>
      <c r="Y16" s="62">
        <f t="shared" si="1"/>
        <v>-1.4389062972522239E-3</v>
      </c>
      <c r="Z16" s="62"/>
      <c r="AA16" s="8">
        <f t="shared" si="8"/>
        <v>6564502.0640471196</v>
      </c>
      <c r="AB16" s="143">
        <f t="shared" si="9"/>
        <v>302135.69786498509</v>
      </c>
      <c r="AC16" s="62">
        <f t="shared" si="10"/>
        <v>4.8246250729847159E-2</v>
      </c>
      <c r="AD16" s="62"/>
    </row>
    <row r="17" spans="1:30" x14ac:dyDescent="0.25">
      <c r="A17" s="248"/>
      <c r="B17" s="248" t="s">
        <v>11</v>
      </c>
      <c r="C17" s="258">
        <v>86</v>
      </c>
      <c r="D17" s="259">
        <f>'Revenue by Sch_RY#1'!O16</f>
        <v>3697688.1502850014</v>
      </c>
      <c r="E17" s="259"/>
      <c r="F17" s="260">
        <f>'[1]Exh JDT-5 (JDT-MYRP)'!$G$152-'[2]Revenue Exhibit'!$U$21</f>
        <v>50570.074469880899</v>
      </c>
      <c r="G17" s="261">
        <f t="shared" si="2"/>
        <v>1.367613287399133E-2</v>
      </c>
      <c r="H17" s="262"/>
      <c r="I17" s="260">
        <f>'[1]Exh JDT-5 (JDT-MYRP)'!$H$153</f>
        <v>-2048.9364</v>
      </c>
      <c r="J17" s="261">
        <f t="shared" si="3"/>
        <v>-5.5411281771884332E-4</v>
      </c>
      <c r="K17" s="261"/>
      <c r="L17" s="260">
        <f>'[1]Exh JDT-5 (JDT-MYRP)'!$I$153</f>
        <v>59248.410900000003</v>
      </c>
      <c r="M17" s="261">
        <f t="shared" si="4"/>
        <v>1.6023095645703221E-2</v>
      </c>
      <c r="N17" s="263"/>
      <c r="O17" s="264">
        <f>'[1]Exh JDT-5 (JDT-MYRP)'!$J$153</f>
        <v>2788.8301000000001</v>
      </c>
      <c r="P17" s="265">
        <f t="shared" si="5"/>
        <v>7.542091130062035E-4</v>
      </c>
      <c r="Q17" s="37"/>
      <c r="R17" s="120">
        <f>'Sch. 149'!H14</f>
        <v>-48150.005400000002</v>
      </c>
      <c r="S17" s="62">
        <f t="shared" si="0"/>
        <v>-1.3021651216392819E-2</v>
      </c>
      <c r="T17" s="62"/>
      <c r="U17" s="143">
        <f t="shared" si="6"/>
        <v>62408.373669880915</v>
      </c>
      <c r="V17" s="62">
        <f>U17/$D17</f>
        <v>1.6877673598589094E-2</v>
      </c>
      <c r="W17" s="62"/>
      <c r="X17" s="120">
        <f>'Sch. 141X'!H14</f>
        <v>-6943.6178</v>
      </c>
      <c r="Y17" s="62">
        <f t="shared" si="1"/>
        <v>-1.8778267711583026E-3</v>
      </c>
      <c r="Z17" s="62"/>
      <c r="AA17" s="8">
        <f t="shared" si="8"/>
        <v>3753152.9061548822</v>
      </c>
      <c r="AB17" s="143">
        <f t="shared" si="9"/>
        <v>55464.755869880784</v>
      </c>
      <c r="AC17" s="62">
        <f>AB17/$D17</f>
        <v>1.4999846827430758E-2</v>
      </c>
      <c r="AD17" s="62"/>
    </row>
    <row r="18" spans="1:30" x14ac:dyDescent="0.25">
      <c r="A18" s="248"/>
      <c r="B18" s="248" t="s">
        <v>12</v>
      </c>
      <c r="C18" s="258">
        <v>87</v>
      </c>
      <c r="D18" s="259">
        <f>'Revenue by Sch_RY#1'!O17</f>
        <v>11062369.983882254</v>
      </c>
      <c r="E18" s="259"/>
      <c r="F18" s="260">
        <f>'[1]Exh JDT-5 (JDT-MYRP)'!$G$191-'[2]Revenue Exhibit'!$U$23</f>
        <v>193717.55461970414</v>
      </c>
      <c r="G18" s="261">
        <f t="shared" si="2"/>
        <v>1.7511397187216518E-2</v>
      </c>
      <c r="H18" s="262"/>
      <c r="I18" s="260">
        <f>'[1]Exh JDT-5 (JDT-MYRP)'!$H$192</f>
        <v>-4525.2510166006559</v>
      </c>
      <c r="J18" s="261">
        <f t="shared" si="3"/>
        <v>-4.0906704650033352E-4</v>
      </c>
      <c r="K18" s="261"/>
      <c r="L18" s="260">
        <f>'[1]Exh JDT-5 (JDT-MYRP)'!$I$192</f>
        <v>131313.84533541062</v>
      </c>
      <c r="M18" s="261">
        <f t="shared" si="4"/>
        <v>1.1870317619708378E-2</v>
      </c>
      <c r="N18" s="263"/>
      <c r="O18" s="264">
        <f>'[1]Exh JDT-5 (JDT-MYRP)'!$J$192</f>
        <v>17428.370257522623</v>
      </c>
      <c r="P18" s="265">
        <f t="shared" si="5"/>
        <v>1.5754644152126134E-3</v>
      </c>
      <c r="Q18" s="37"/>
      <c r="R18" s="120">
        <f>'Sch. 149'!H15</f>
        <v>-81604.764551208456</v>
      </c>
      <c r="S18" s="62">
        <f t="shared" si="0"/>
        <v>-7.3767885787679914E-3</v>
      </c>
      <c r="T18" s="62"/>
      <c r="U18" s="143">
        <f t="shared" si="6"/>
        <v>256329.75464482821</v>
      </c>
      <c r="V18" s="62">
        <f t="shared" ref="V18:V19" si="11">U18/$D18</f>
        <v>2.317132359686918E-2</v>
      </c>
      <c r="W18" s="62"/>
      <c r="X18" s="120">
        <f>'Sch. 141X'!H15</f>
        <v>-9382.3659778127385</v>
      </c>
      <c r="Y18" s="62">
        <f t="shared" si="1"/>
        <v>-8.4813344622198844E-4</v>
      </c>
      <c r="Z18" s="62"/>
      <c r="AA18" s="8">
        <f t="shared" si="8"/>
        <v>11309317.372549269</v>
      </c>
      <c r="AB18" s="143">
        <f t="shared" si="9"/>
        <v>246947.38866701536</v>
      </c>
      <c r="AC18" s="62">
        <f t="shared" si="10"/>
        <v>2.2323190150647182E-2</v>
      </c>
      <c r="AD18" s="62"/>
    </row>
    <row r="19" spans="1:30" x14ac:dyDescent="0.25">
      <c r="A19" s="248"/>
      <c r="B19" s="248" t="s">
        <v>32</v>
      </c>
      <c r="C19" s="258" t="s">
        <v>33</v>
      </c>
      <c r="D19" s="259">
        <f>'Revenue by Sch_RY#1'!O18</f>
        <v>25227.026823518318</v>
      </c>
      <c r="E19" s="259"/>
      <c r="F19" s="260">
        <f>'[1]Exh JDT-5 (JDT-MYRP)'!$G$58-'[2]Revenue Exhibit'!$U$15</f>
        <v>703.26913648168556</v>
      </c>
      <c r="G19" s="261">
        <f t="shared" si="2"/>
        <v>2.7877606877797077E-2</v>
      </c>
      <c r="H19" s="262"/>
      <c r="I19" s="260">
        <f>'[1]Exh JDT-5 (JDT-MYRP)'!$H$59</f>
        <v>-54.00329</v>
      </c>
      <c r="J19" s="261">
        <f t="shared" si="3"/>
        <v>-2.1406918214260007E-3</v>
      </c>
      <c r="K19" s="261"/>
      <c r="L19" s="260">
        <f>'[1]Exh JDT-5 (JDT-MYRP)'!$I$59</f>
        <v>1544.76927</v>
      </c>
      <c r="M19" s="261">
        <f t="shared" si="4"/>
        <v>6.1234694076587062E-2</v>
      </c>
      <c r="N19" s="263"/>
      <c r="O19" s="264"/>
      <c r="P19" s="265">
        <f t="shared" si="5"/>
        <v>0</v>
      </c>
      <c r="Q19" s="37"/>
      <c r="R19" s="120">
        <f>'Sch. 149'!H16</f>
        <v>-850.29383999999993</v>
      </c>
      <c r="S19" s="62">
        <f t="shared" si="0"/>
        <v>-3.3705669952643777E-2</v>
      </c>
      <c r="T19" s="62"/>
      <c r="U19" s="143">
        <f t="shared" si="6"/>
        <v>1343.7412764816859</v>
      </c>
      <c r="V19" s="62">
        <f t="shared" si="11"/>
        <v>5.3265939180314366E-2</v>
      </c>
      <c r="W19" s="62"/>
      <c r="X19" s="120">
        <f>'Sch. 141X'!H16</f>
        <v>-121.76538000000001</v>
      </c>
      <c r="Y19" s="62">
        <f t="shared" si="1"/>
        <v>-4.8267828330242311E-3</v>
      </c>
      <c r="Z19" s="62"/>
      <c r="AA19" s="8">
        <f>SUM(D19,U19,X19)</f>
        <v>26449.002720000004</v>
      </c>
      <c r="AB19" s="143">
        <f>AA19-D19</f>
        <v>1221.9758964816865</v>
      </c>
      <c r="AC19" s="62">
        <f t="shared" si="10"/>
        <v>4.8439156347290166E-2</v>
      </c>
      <c r="AD19" s="62"/>
    </row>
    <row r="20" spans="1:30" x14ac:dyDescent="0.25">
      <c r="A20" s="248"/>
      <c r="B20" s="248" t="s">
        <v>34</v>
      </c>
      <c r="C20" s="248" t="s">
        <v>35</v>
      </c>
      <c r="D20" s="259">
        <f>'Revenue by Sch_RY#1'!O19</f>
        <v>4847808.8298120676</v>
      </c>
      <c r="E20" s="259"/>
      <c r="F20" s="260">
        <f>'[1]Exh JDT-5 (JDT-MYRP)'!$G$96-'[2]Revenue Exhibit'!$U$17</f>
        <v>370914.63848793134</v>
      </c>
      <c r="G20" s="261">
        <f t="shared" si="2"/>
        <v>7.6511812142210728E-2</v>
      </c>
      <c r="H20" s="262"/>
      <c r="I20" s="260">
        <f>'[1]Exh JDT-5 (JDT-MYRP)'!$H$97</f>
        <v>-19098.390749999999</v>
      </c>
      <c r="J20" s="261">
        <f t="shared" si="3"/>
        <v>-3.9395923850281808E-3</v>
      </c>
      <c r="K20" s="261"/>
      <c r="L20" s="260">
        <f>'[1]Exh JDT-5 (JDT-MYRP)'!$I$97</f>
        <v>546723.26587</v>
      </c>
      <c r="M20" s="261">
        <f t="shared" si="4"/>
        <v>0.11277739800874007</v>
      </c>
      <c r="N20" s="263"/>
      <c r="O20" s="264"/>
      <c r="P20" s="265">
        <f t="shared" si="5"/>
        <v>0</v>
      </c>
      <c r="Q20" s="37"/>
      <c r="R20" s="120">
        <f>'Sch. 149'!H17</f>
        <v>-286475.86125000002</v>
      </c>
      <c r="S20" s="62">
        <f t="shared" si="0"/>
        <v>-5.9093885775422725E-2</v>
      </c>
      <c r="T20" s="62"/>
      <c r="U20" s="143">
        <f t="shared" si="6"/>
        <v>612063.65235793125</v>
      </c>
      <c r="V20" s="62">
        <f>U20/$D20</f>
        <v>0.12625573199049989</v>
      </c>
      <c r="W20" s="62"/>
      <c r="X20" s="120">
        <f>'Sch. 141X'!H17</f>
        <v>-33867.81293</v>
      </c>
      <c r="Y20" s="62">
        <f t="shared" si="1"/>
        <v>-6.9862104961166413E-3</v>
      </c>
      <c r="Z20" s="62"/>
      <c r="AA20" s="8">
        <f t="shared" si="8"/>
        <v>5426004.6692399988</v>
      </c>
      <c r="AB20" s="143">
        <f t="shared" si="9"/>
        <v>578195.83942793123</v>
      </c>
      <c r="AC20" s="62">
        <f>AB20/$D20</f>
        <v>0.11926952149438323</v>
      </c>
      <c r="AD20" s="62"/>
    </row>
    <row r="21" spans="1:30" x14ac:dyDescent="0.25">
      <c r="A21" s="248"/>
      <c r="B21" s="248" t="s">
        <v>36</v>
      </c>
      <c r="C21" s="248" t="s">
        <v>37</v>
      </c>
      <c r="D21" s="259">
        <f>'Revenue by Sch_RY#1'!O20</f>
        <v>6975820.2195017952</v>
      </c>
      <c r="E21" s="259"/>
      <c r="F21" s="260">
        <f>'[1]Exh JDT-5 (JDT-MYRP)'!$G$133-'[2]Revenue Exhibit'!$U$20</f>
        <v>666897.40410293639</v>
      </c>
      <c r="G21" s="261">
        <f t="shared" si="2"/>
        <v>9.5601288897689707E-2</v>
      </c>
      <c r="H21" s="262"/>
      <c r="I21" s="260">
        <f>'[1]Exh JDT-5 (JDT-MYRP)'!$H$134</f>
        <v>-28254.383099999999</v>
      </c>
      <c r="J21" s="261">
        <f t="shared" si="3"/>
        <v>-4.0503313174573034E-3</v>
      </c>
      <c r="K21" s="261"/>
      <c r="L21" s="260">
        <f>'[1]Exh JDT-5 (JDT-MYRP)'!$I$134</f>
        <v>801796.60485999996</v>
      </c>
      <c r="M21" s="261">
        <f t="shared" si="4"/>
        <v>0.11493940205317724</v>
      </c>
      <c r="N21" s="263"/>
      <c r="O21" s="264"/>
      <c r="P21" s="265">
        <f t="shared" si="5"/>
        <v>0</v>
      </c>
      <c r="Q21" s="37"/>
      <c r="R21" s="120">
        <f>'Sch. 149'!H18</f>
        <v>-421304.24578</v>
      </c>
      <c r="S21" s="62">
        <f t="shared" si="0"/>
        <v>-6.0394940311418899E-2</v>
      </c>
      <c r="T21" s="62"/>
      <c r="U21" s="143">
        <f t="shared" si="6"/>
        <v>1019135.3800829365</v>
      </c>
      <c r="V21" s="62">
        <f t="shared" ref="V21:V25" si="12">U21/$D21</f>
        <v>0.14609541932199077</v>
      </c>
      <c r="W21" s="62"/>
      <c r="X21" s="120">
        <f>'Sch. 141X'!H18</f>
        <v>-50857.889579999995</v>
      </c>
      <c r="Y21" s="62">
        <f t="shared" si="1"/>
        <v>-7.2905963714231447E-3</v>
      </c>
      <c r="Z21" s="62"/>
      <c r="AA21" s="8">
        <f t="shared" si="8"/>
        <v>7944097.710004732</v>
      </c>
      <c r="AB21" s="143">
        <f t="shared" si="9"/>
        <v>968277.49050293677</v>
      </c>
      <c r="AC21" s="62">
        <f t="shared" si="10"/>
        <v>0.13880482295056767</v>
      </c>
      <c r="AD21" s="62"/>
    </row>
    <row r="22" spans="1:30" x14ac:dyDescent="0.25">
      <c r="A22" s="248"/>
      <c r="B22" s="248" t="s">
        <v>38</v>
      </c>
      <c r="C22" s="248" t="s">
        <v>39</v>
      </c>
      <c r="D22" s="259">
        <f>'Revenue by Sch_RY#1'!O21</f>
        <v>140883.25711508218</v>
      </c>
      <c r="E22" s="259"/>
      <c r="F22" s="260">
        <f>'[1]Exh JDT-5 (JDT-MYRP)'!$G$168-'[2]Revenue Exhibit'!$U$22</f>
        <v>8817.8948840305384</v>
      </c>
      <c r="G22" s="261">
        <f t="shared" si="2"/>
        <v>6.259008390775303E-2</v>
      </c>
      <c r="H22" s="262"/>
      <c r="I22" s="260">
        <f>'[1]Exh JDT-5 (JDT-MYRP)'!$H$169</f>
        <v>-195.26724000000002</v>
      </c>
      <c r="J22" s="261">
        <f t="shared" si="3"/>
        <v>-1.3860216181720844E-3</v>
      </c>
      <c r="K22" s="261"/>
      <c r="L22" s="260">
        <f>'[1]Exh JDT-5 (JDT-MYRP)'!$I$169</f>
        <v>5646.4776900000006</v>
      </c>
      <c r="M22" s="261">
        <f t="shared" si="4"/>
        <v>4.0079125125476109E-2</v>
      </c>
      <c r="N22" s="263"/>
      <c r="O22" s="264"/>
      <c r="P22" s="265">
        <f t="shared" si="5"/>
        <v>0</v>
      </c>
      <c r="Q22" s="37"/>
      <c r="R22" s="120">
        <f>'Sch. 149'!H19</f>
        <v>-4588.7801399999998</v>
      </c>
      <c r="S22" s="62">
        <f t="shared" si="0"/>
        <v>-3.2571508027043977E-2</v>
      </c>
      <c r="T22" s="62"/>
      <c r="U22" s="143">
        <f t="shared" si="6"/>
        <v>9680.3251940305418</v>
      </c>
      <c r="V22" s="62">
        <f t="shared" si="12"/>
        <v>6.8711679388013105E-2</v>
      </c>
      <c r="W22" s="62"/>
      <c r="X22" s="120">
        <f>'Sch. 141X'!H19</f>
        <v>-661.73897999999997</v>
      </c>
      <c r="Y22" s="62">
        <f t="shared" si="1"/>
        <v>-4.6970732615831739E-3</v>
      </c>
      <c r="Z22" s="62"/>
      <c r="AA22" s="8">
        <f t="shared" si="8"/>
        <v>149901.84332911271</v>
      </c>
      <c r="AB22" s="143">
        <f t="shared" si="9"/>
        <v>9018.5862140305398</v>
      </c>
      <c r="AC22" s="62">
        <f t="shared" si="10"/>
        <v>6.401460612642991E-2</v>
      </c>
      <c r="AD22" s="62"/>
    </row>
    <row r="23" spans="1:30" x14ac:dyDescent="0.25">
      <c r="A23" s="248"/>
      <c r="B23" s="266" t="s">
        <v>40</v>
      </c>
      <c r="C23" s="266" t="s">
        <v>41</v>
      </c>
      <c r="D23" s="259">
        <f>'Revenue by Sch_RY#1'!O22</f>
        <v>6088383.7285085246</v>
      </c>
      <c r="E23" s="259"/>
      <c r="F23" s="260">
        <f>'[1]Exh JDT-5 (JDT-MYRP)'!$G$211-'[2]Revenue Exhibit'!$U$24</f>
        <v>564949.66697120015</v>
      </c>
      <c r="G23" s="261">
        <f t="shared" si="2"/>
        <v>9.2791402802989267E-2</v>
      </c>
      <c r="H23" s="262"/>
      <c r="I23" s="260">
        <f>'[1]Exh JDT-5 (JDT-MYRP)'!$H$212</f>
        <v>-16820.436862264389</v>
      </c>
      <c r="J23" s="261">
        <f t="shared" si="3"/>
        <v>-2.7627097128427717E-3</v>
      </c>
      <c r="K23" s="261"/>
      <c r="L23" s="260">
        <f>'[1]Exh JDT-5 (JDT-MYRP)'!$I$212</f>
        <v>485921.47076992894</v>
      </c>
      <c r="M23" s="261">
        <f t="shared" si="4"/>
        <v>7.9811242595408061E-2</v>
      </c>
      <c r="N23" s="263"/>
      <c r="O23" s="267"/>
      <c r="P23" s="265">
        <f t="shared" si="5"/>
        <v>0</v>
      </c>
      <c r="Q23" s="37"/>
      <c r="R23" s="120">
        <f>'Sch. 149'!H20</f>
        <v>-482285.76329409354</v>
      </c>
      <c r="S23" s="62">
        <f t="shared" si="0"/>
        <v>-7.9214087810499975E-2</v>
      </c>
      <c r="T23" s="62"/>
      <c r="U23" s="143">
        <f t="shared" si="6"/>
        <v>551764.93758477108</v>
      </c>
      <c r="V23" s="62">
        <f t="shared" si="12"/>
        <v>9.0625847875054566E-2</v>
      </c>
      <c r="W23" s="62"/>
      <c r="X23" s="120">
        <f>'Sch. 141X'!H20</f>
        <v>-55449.96743755621</v>
      </c>
      <c r="Y23" s="62">
        <f t="shared" si="1"/>
        <v>-9.1075020744692484E-3</v>
      </c>
      <c r="Z23" s="62"/>
      <c r="AA23" s="8">
        <f t="shared" si="8"/>
        <v>6584698.6986557394</v>
      </c>
      <c r="AB23" s="143">
        <f t="shared" si="9"/>
        <v>496314.97014721483</v>
      </c>
      <c r="AC23" s="62">
        <f t="shared" si="10"/>
        <v>8.1518345800585312E-2</v>
      </c>
      <c r="AD23" s="62"/>
    </row>
    <row r="24" spans="1:30" x14ac:dyDescent="0.25">
      <c r="A24" s="248"/>
      <c r="B24" s="248" t="s">
        <v>13</v>
      </c>
      <c r="C24" s="248"/>
      <c r="D24" s="259">
        <f>'Revenue by Sch_RY#1'!O23</f>
        <v>1694863.0973755296</v>
      </c>
      <c r="E24" s="259"/>
      <c r="F24" s="260">
        <f>'[1]Exh JDT-5 (JDT-MYRP)'!$G$215-'[2]Revenue Exhibit'!$U$25</f>
        <v>20093.055977700045</v>
      </c>
      <c r="G24" s="261">
        <f>F24/$D24</f>
        <v>1.1855267843646985E-2</v>
      </c>
      <c r="H24" s="262"/>
      <c r="I24" s="260"/>
      <c r="J24" s="261">
        <f>I24/$D24</f>
        <v>0</v>
      </c>
      <c r="K24" s="261"/>
      <c r="L24" s="260"/>
      <c r="M24" s="261">
        <f>L24/$D24</f>
        <v>0</v>
      </c>
      <c r="N24" s="263"/>
      <c r="O24" s="268"/>
      <c r="P24" s="265">
        <f>O24/$D24</f>
        <v>0</v>
      </c>
      <c r="Q24" s="37"/>
      <c r="R24" s="120">
        <f>'Sch. 149'!H21</f>
        <v>-28892.086800000001</v>
      </c>
      <c r="S24" s="62">
        <f t="shared" si="0"/>
        <v>-1.704685578719542E-2</v>
      </c>
      <c r="T24" s="62"/>
      <c r="U24" s="143">
        <f t="shared" si="6"/>
        <v>-8799.0308222999556</v>
      </c>
      <c r="V24" s="62">
        <f t="shared" si="12"/>
        <v>-5.1915879435484348E-3</v>
      </c>
      <c r="W24" s="62"/>
      <c r="X24" s="120">
        <f>'Sch. 141X'!H21</f>
        <v>-6524.0196000000005</v>
      </c>
      <c r="Y24" s="62">
        <f t="shared" si="1"/>
        <v>-3.8492900164634821E-3</v>
      </c>
      <c r="Z24" s="62"/>
      <c r="AA24" s="8">
        <f t="shared" si="8"/>
        <v>1679540.0469532297</v>
      </c>
      <c r="AB24" s="143">
        <f t="shared" si="9"/>
        <v>-15323.050422299886</v>
      </c>
      <c r="AC24" s="62">
        <f t="shared" si="10"/>
        <v>-9.0408779600118748E-3</v>
      </c>
      <c r="AD24" s="62"/>
    </row>
    <row r="25" spans="1:30" x14ac:dyDescent="0.25">
      <c r="A25" s="248"/>
      <c r="B25" s="248" t="s">
        <v>6</v>
      </c>
      <c r="C25" s="248"/>
      <c r="D25" s="269">
        <f>SUM(D12:D24)</f>
        <v>1106709585.3700273</v>
      </c>
      <c r="E25" s="270"/>
      <c r="F25" s="271">
        <f>SUM(F12:F24)</f>
        <v>46458417.630643368</v>
      </c>
      <c r="G25" s="272">
        <f t="shared" ref="G25" si="13">F25/$D25</f>
        <v>4.1978869836127822E-2</v>
      </c>
      <c r="H25" s="262"/>
      <c r="I25" s="271">
        <f>SUM(I12:I24)</f>
        <v>-1589849.677868865</v>
      </c>
      <c r="J25" s="272">
        <f t="shared" ref="J25" si="14">I25/$D25</f>
        <v>-1.4365554422638349E-3</v>
      </c>
      <c r="K25" s="261"/>
      <c r="L25" s="271">
        <f>SUM(L12:L24)</f>
        <v>45492653.78557533</v>
      </c>
      <c r="M25" s="272">
        <f t="shared" si="4"/>
        <v>4.1106225505731842E-2</v>
      </c>
      <c r="N25" s="270"/>
      <c r="O25" s="273">
        <f>SUM(O12:O24)</f>
        <v>2999203.0625675227</v>
      </c>
      <c r="P25" s="274">
        <f t="shared" ref="P25" si="15">O25/$D25</f>
        <v>2.7100181494901774E-3</v>
      </c>
      <c r="Q25" s="8"/>
      <c r="R25" s="79">
        <f>SUM(R12:R24)</f>
        <v>-22562812.560205296</v>
      </c>
      <c r="S25" s="63">
        <f t="shared" si="0"/>
        <v>-2.0387292979541186E-2</v>
      </c>
      <c r="T25" s="62"/>
      <c r="U25" s="79">
        <f>SUM(U12:U24)</f>
        <v>70797612.240712062</v>
      </c>
      <c r="V25" s="63">
        <f t="shared" si="12"/>
        <v>6.3971265069544828E-2</v>
      </c>
      <c r="W25" s="62"/>
      <c r="X25" s="79">
        <f>SUM(X12:X24)</f>
        <v>-3120955.6570753693</v>
      </c>
      <c r="Y25" s="63">
        <f t="shared" si="1"/>
        <v>-2.8200312876407235E-3</v>
      </c>
      <c r="Z25" s="62"/>
      <c r="AA25" s="79">
        <f>SUM(AA12:AA24)</f>
        <v>1174386241.9536645</v>
      </c>
      <c r="AB25" s="79">
        <f>SUM(AB12:AB24)</f>
        <v>67676656.583636746</v>
      </c>
      <c r="AC25" s="63">
        <f t="shared" si="10"/>
        <v>6.1151233781904145E-2</v>
      </c>
      <c r="AD25" s="62"/>
    </row>
    <row r="26" spans="1:30" s="13" customFormat="1" x14ac:dyDescent="0.25">
      <c r="A26" s="242"/>
      <c r="B26" s="234"/>
      <c r="C26" s="243"/>
      <c r="D26" s="243"/>
      <c r="E26" s="243"/>
      <c r="F26" s="244"/>
      <c r="G26" s="245"/>
      <c r="H26" s="246"/>
      <c r="I26" s="244"/>
      <c r="J26" s="245"/>
      <c r="K26" s="245"/>
      <c r="L26" s="244"/>
      <c r="M26" s="245"/>
      <c r="N26" s="246"/>
      <c r="O26" s="247"/>
      <c r="P26" s="247"/>
      <c r="Q26" s="146"/>
      <c r="R26" s="16"/>
      <c r="S26" s="145"/>
      <c r="T26" s="145"/>
      <c r="U26" s="16"/>
      <c r="V26" s="145"/>
      <c r="W26" s="145"/>
      <c r="X26" s="16"/>
      <c r="Y26" s="145"/>
      <c r="Z26" s="145"/>
      <c r="AA26" s="146"/>
      <c r="AB26" s="16"/>
      <c r="AC26" s="145"/>
      <c r="AD26" s="147"/>
    </row>
    <row r="27" spans="1:30" x14ac:dyDescent="0.25">
      <c r="F27" s="40"/>
      <c r="G27" s="8"/>
      <c r="I27" s="40"/>
      <c r="J27" s="8"/>
      <c r="K27" s="8"/>
      <c r="L27" s="40"/>
      <c r="M27" s="8"/>
      <c r="N27" s="8"/>
      <c r="O27" s="55"/>
      <c r="P27" s="55"/>
      <c r="Q27" s="8"/>
      <c r="R27" s="40"/>
      <c r="S27" s="8"/>
      <c r="T27" s="8"/>
      <c r="U27" s="40"/>
      <c r="V27" s="8"/>
      <c r="W27" s="8"/>
      <c r="X27" s="40"/>
      <c r="Y27" s="8"/>
      <c r="Z27" s="8"/>
      <c r="AB27" s="40"/>
      <c r="AC27" s="8"/>
      <c r="AD27" s="62"/>
    </row>
    <row r="28" spans="1:30" s="13" customFormat="1" x14ac:dyDescent="0.25">
      <c r="B28" s="102" t="s">
        <v>160</v>
      </c>
      <c r="C28" s="15"/>
      <c r="D28" s="15"/>
      <c r="E28" s="15"/>
      <c r="F28" s="16"/>
      <c r="G28" s="125"/>
      <c r="I28" s="16"/>
      <c r="J28" s="125"/>
      <c r="K28" s="125"/>
      <c r="L28" s="16"/>
      <c r="M28" s="125"/>
      <c r="O28" s="230"/>
      <c r="P28" s="230"/>
      <c r="R28" s="16"/>
      <c r="S28" s="125"/>
      <c r="T28" s="125"/>
      <c r="U28" s="16"/>
      <c r="V28" s="125"/>
      <c r="W28" s="125"/>
      <c r="X28" s="16"/>
      <c r="Y28" s="125"/>
      <c r="Z28" s="125"/>
      <c r="AB28" s="16"/>
      <c r="AC28" s="125"/>
      <c r="AD28" s="147"/>
    </row>
    <row r="29" spans="1:30" s="13" customFormat="1" x14ac:dyDescent="0.25">
      <c r="B29" s="12" t="s">
        <v>42</v>
      </c>
      <c r="C29" s="12"/>
      <c r="D29" s="16">
        <f>D12+D13</f>
        <v>754217485.38623214</v>
      </c>
      <c r="E29" s="16"/>
      <c r="F29" s="16">
        <f>F12+F13</f>
        <v>31174587.441317894</v>
      </c>
      <c r="G29" s="62">
        <f t="shared" ref="G29:G36" si="16">F29/$D29</f>
        <v>4.1333684309047138E-2</v>
      </c>
      <c r="I29" s="16">
        <f>I12+I13</f>
        <v>-1081842.9280999999</v>
      </c>
      <c r="J29" s="62">
        <f t="shared" ref="J29:J36" si="17">I29/$D29</f>
        <v>-1.4343912055366787E-3</v>
      </c>
      <c r="K29" s="62"/>
      <c r="L29" s="16">
        <f>L12+L13</f>
        <v>30959799.089450002</v>
      </c>
      <c r="M29" s="62">
        <f t="shared" ref="M29:M36" si="18">L29/$D29</f>
        <v>4.1048901264329078E-2</v>
      </c>
      <c r="N29" s="16"/>
      <c r="O29" s="231">
        <f>O12+O13</f>
        <v>2074592.90918</v>
      </c>
      <c r="P29" s="228">
        <f t="shared" ref="P29:P36" si="19">O29/$D29</f>
        <v>2.750656076499749E-3</v>
      </c>
      <c r="Q29" s="16"/>
      <c r="R29" s="16">
        <f>R12+R13</f>
        <v>-14369419.59794</v>
      </c>
      <c r="S29" s="62">
        <f t="shared" ref="S29:S36" si="20">R29/$D29</f>
        <v>-1.905209024765777E-2</v>
      </c>
      <c r="T29" s="62"/>
      <c r="U29" s="16">
        <f>U12+U13</f>
        <v>48757716.9139079</v>
      </c>
      <c r="V29" s="62">
        <f t="shared" ref="V29:V36" si="21">U29/$D29</f>
        <v>6.464676019668153E-2</v>
      </c>
      <c r="W29" s="62"/>
      <c r="X29" s="16">
        <f>X12+X13</f>
        <v>-1998227.52602</v>
      </c>
      <c r="Y29" s="62">
        <f t="shared" ref="Y29:Y36" si="22">X29/$D29</f>
        <v>-2.6494049325795129E-3</v>
      </c>
      <c r="Z29" s="62"/>
      <c r="AA29" s="16">
        <f>AA12+AA13</f>
        <v>800976974.77411997</v>
      </c>
      <c r="AB29" s="16">
        <f>AB12+AB13</f>
        <v>46759489.387887888</v>
      </c>
      <c r="AC29" s="62">
        <f t="shared" ref="AC29:AC36" si="23">AB29/$D29</f>
        <v>6.1997355264101994E-2</v>
      </c>
      <c r="AD29" s="62"/>
    </row>
    <row r="30" spans="1:30" s="13" customFormat="1" x14ac:dyDescent="0.25">
      <c r="B30" s="12" t="s">
        <v>43</v>
      </c>
      <c r="C30" s="12"/>
      <c r="D30" s="16">
        <f>D14+D19</f>
        <v>263689962.87240326</v>
      </c>
      <c r="E30" s="16"/>
      <c r="F30" s="16">
        <f>F14+F19</f>
        <v>11473316.453476794</v>
      </c>
      <c r="G30" s="62">
        <f t="shared" si="16"/>
        <v>4.3510630167704213E-2</v>
      </c>
      <c r="I30" s="16">
        <f>I14+I19</f>
        <v>-381865.83265</v>
      </c>
      <c r="J30" s="62">
        <f t="shared" si="17"/>
        <v>-1.4481621844468185E-3</v>
      </c>
      <c r="K30" s="62"/>
      <c r="L30" s="16">
        <f>L14+L19</f>
        <v>10923308.626949999</v>
      </c>
      <c r="M30" s="62">
        <f t="shared" si="18"/>
        <v>4.142481764554562E-2</v>
      </c>
      <c r="N30" s="16"/>
      <c r="O30" s="231">
        <f>O14+O19</f>
        <v>732008.66648000001</v>
      </c>
      <c r="P30" s="228">
        <f t="shared" si="19"/>
        <v>2.7760202114109709E-3</v>
      </c>
      <c r="Q30" s="16"/>
      <c r="R30" s="16">
        <f>R14+R19</f>
        <v>-6012562.6644000001</v>
      </c>
      <c r="S30" s="62">
        <f t="shared" si="20"/>
        <v>-2.2801636432818698E-2</v>
      </c>
      <c r="T30" s="62"/>
      <c r="U30" s="16">
        <f>U14+U19</f>
        <v>16734205.249856796</v>
      </c>
      <c r="V30" s="62">
        <f t="shared" si="21"/>
        <v>6.3461669407395296E-2</v>
      </c>
      <c r="W30" s="62"/>
      <c r="X30" s="16">
        <f>X14+X19</f>
        <v>-861022.32330000005</v>
      </c>
      <c r="Y30" s="62">
        <f t="shared" si="22"/>
        <v>-3.2652828872240369E-3</v>
      </c>
      <c r="Z30" s="62"/>
      <c r="AA30" s="16">
        <f t="shared" ref="AA30:AB34" si="24">AA14+AA19</f>
        <v>279563145.79896009</v>
      </c>
      <c r="AB30" s="16">
        <f t="shared" si="24"/>
        <v>15873182.926556829</v>
      </c>
      <c r="AC30" s="62">
        <f t="shared" si="23"/>
        <v>6.019638652017139E-2</v>
      </c>
      <c r="AD30" s="62"/>
    </row>
    <row r="31" spans="1:30" s="13" customFormat="1" x14ac:dyDescent="0.25">
      <c r="B31" s="12" t="s">
        <v>44</v>
      </c>
      <c r="C31" s="12"/>
      <c r="D31" s="16">
        <f>D15+D20</f>
        <v>52879762.30854176</v>
      </c>
      <c r="E31" s="16"/>
      <c r="F31" s="16">
        <f>F15+F20</f>
        <v>2077199.996558236</v>
      </c>
      <c r="G31" s="62">
        <f t="shared" si="16"/>
        <v>3.9281568333046427E-2</v>
      </c>
      <c r="I31" s="16">
        <f>I15+I20</f>
        <v>-69290.554499999998</v>
      </c>
      <c r="J31" s="62">
        <f t="shared" si="17"/>
        <v>-1.3103416406394734E-3</v>
      </c>
      <c r="K31" s="62"/>
      <c r="L31" s="16">
        <f>L15+L20</f>
        <v>1983557.6068199999</v>
      </c>
      <c r="M31" s="62">
        <f t="shared" si="18"/>
        <v>3.7510713366039325E-2</v>
      </c>
      <c r="N31" s="16"/>
      <c r="O31" s="231">
        <f>O15+O20</f>
        <v>151914.94894999999</v>
      </c>
      <c r="P31" s="228">
        <f t="shared" si="19"/>
        <v>2.8728372125352937E-3</v>
      </c>
      <c r="Q31" s="16"/>
      <c r="R31" s="16">
        <f>R15+R20</f>
        <v>-1039358.3174999999</v>
      </c>
      <c r="S31" s="62">
        <f t="shared" si="20"/>
        <v>-1.9655124609592099E-2</v>
      </c>
      <c r="T31" s="62"/>
      <c r="U31" s="16">
        <f>U15+U20</f>
        <v>3104023.680328236</v>
      </c>
      <c r="V31" s="62">
        <f t="shared" si="21"/>
        <v>5.8699652661389469E-2</v>
      </c>
      <c r="W31" s="62"/>
      <c r="X31" s="16">
        <f>X15+X20</f>
        <v>-122875.24998000001</v>
      </c>
      <c r="Y31" s="62">
        <f t="shared" si="22"/>
        <v>-2.3236725094006663E-3</v>
      </c>
      <c r="Z31" s="62"/>
      <c r="AA31" s="16">
        <f t="shared" si="24"/>
        <v>55860910.73889</v>
      </c>
      <c r="AB31" s="16">
        <f t="shared" si="24"/>
        <v>2981148.430348238</v>
      </c>
      <c r="AC31" s="62">
        <f t="shared" si="23"/>
        <v>5.6375980151988844E-2</v>
      </c>
      <c r="AD31" s="62"/>
    </row>
    <row r="32" spans="1:30" s="13" customFormat="1" x14ac:dyDescent="0.25">
      <c r="B32" s="12" t="s">
        <v>45</v>
      </c>
      <c r="C32" s="12"/>
      <c r="D32" s="16">
        <f>D16+D21</f>
        <v>13238186.585683931</v>
      </c>
      <c r="E32" s="16"/>
      <c r="F32" s="16">
        <f>F16+F21</f>
        <v>895165.49236792093</v>
      </c>
      <c r="G32" s="62">
        <f t="shared" si="16"/>
        <v>6.7619948289290077E-2</v>
      </c>
      <c r="I32" s="16">
        <f>I16+I21</f>
        <v>-33260.471099999995</v>
      </c>
      <c r="J32" s="62">
        <f t="shared" si="17"/>
        <v>-2.5124642929544904E-3</v>
      </c>
      <c r="K32" s="62"/>
      <c r="L32" s="16">
        <f>L16+L21</f>
        <v>943858.25766</v>
      </c>
      <c r="M32" s="62">
        <f t="shared" si="18"/>
        <v>7.1298153380064108E-2</v>
      </c>
      <c r="N32" s="16"/>
      <c r="O32" s="231">
        <f>O16+O21</f>
        <v>20469.337599999999</v>
      </c>
      <c r="P32" s="228">
        <f t="shared" si="19"/>
        <v>1.5462342570496774E-3</v>
      </c>
      <c r="Q32" s="16"/>
      <c r="R32" s="16">
        <f>R16+R21</f>
        <v>-495950.58017999999</v>
      </c>
      <c r="S32" s="62">
        <f t="shared" si="20"/>
        <v>-3.746363423494363E-2</v>
      </c>
      <c r="T32" s="62"/>
      <c r="U32" s="16">
        <f>U16+U21</f>
        <v>1330282.036347921</v>
      </c>
      <c r="V32" s="62">
        <f t="shared" si="21"/>
        <v>0.10048823739850574</v>
      </c>
      <c r="W32" s="62"/>
      <c r="X32" s="16">
        <f>X16+X21</f>
        <v>-59868.847979999991</v>
      </c>
      <c r="Y32" s="62">
        <f t="shared" si="22"/>
        <v>-4.5224357273180825E-3</v>
      </c>
      <c r="Z32" s="62"/>
      <c r="AA32" s="16">
        <f t="shared" si="24"/>
        <v>14508599.774051853</v>
      </c>
      <c r="AB32" s="16">
        <f t="shared" si="24"/>
        <v>1270413.1883679219</v>
      </c>
      <c r="AC32" s="62">
        <f t="shared" si="23"/>
        <v>9.596580167118772E-2</v>
      </c>
      <c r="AD32" s="62"/>
    </row>
    <row r="33" spans="2:30" s="13" customFormat="1" x14ac:dyDescent="0.25">
      <c r="B33" s="12" t="s">
        <v>46</v>
      </c>
      <c r="C33" s="12"/>
      <c r="D33" s="16">
        <f>D17+D22</f>
        <v>3838571.4074000837</v>
      </c>
      <c r="E33" s="16"/>
      <c r="F33" s="16">
        <f>F17+F22</f>
        <v>59387.969353911438</v>
      </c>
      <c r="G33" s="62">
        <f t="shared" si="16"/>
        <v>1.5471372823603589E-2</v>
      </c>
      <c r="I33" s="16">
        <f>I17+I22</f>
        <v>-2244.2036400000002</v>
      </c>
      <c r="J33" s="62">
        <f t="shared" si="17"/>
        <v>-5.8464553653308994E-4</v>
      </c>
      <c r="K33" s="62"/>
      <c r="L33" s="16">
        <f>L17+L22</f>
        <v>64894.888590000002</v>
      </c>
      <c r="M33" s="62">
        <f t="shared" si="18"/>
        <v>1.6906000098081849E-2</v>
      </c>
      <c r="N33" s="16"/>
      <c r="O33" s="231">
        <f>O17+O22</f>
        <v>2788.8301000000001</v>
      </c>
      <c r="P33" s="228">
        <f t="shared" si="19"/>
        <v>7.2652812830930572E-4</v>
      </c>
      <c r="Q33" s="16"/>
      <c r="R33" s="16">
        <f>R17+R22</f>
        <v>-52738.785540000004</v>
      </c>
      <c r="S33" s="62">
        <f t="shared" si="20"/>
        <v>-1.3739170108527614E-2</v>
      </c>
      <c r="T33" s="62"/>
      <c r="U33" s="16">
        <f>U17+U22</f>
        <v>72088.698863911457</v>
      </c>
      <c r="V33" s="62">
        <f t="shared" si="21"/>
        <v>1.8780085404934047E-2</v>
      </c>
      <c r="W33" s="62"/>
      <c r="X33" s="16">
        <f>X17+X22</f>
        <v>-7605.3567800000001</v>
      </c>
      <c r="Y33" s="62">
        <f t="shared" si="22"/>
        <v>-1.9812987626954713E-3</v>
      </c>
      <c r="Z33" s="62"/>
      <c r="AA33" s="16">
        <f t="shared" si="24"/>
        <v>3903054.7494839947</v>
      </c>
      <c r="AB33" s="16">
        <f t="shared" si="24"/>
        <v>64483.342083911324</v>
      </c>
      <c r="AC33" s="62">
        <f t="shared" si="23"/>
        <v>1.679878664223854E-2</v>
      </c>
      <c r="AD33" s="62"/>
    </row>
    <row r="34" spans="2:30" s="13" customFormat="1" x14ac:dyDescent="0.25">
      <c r="B34" s="12" t="s">
        <v>47</v>
      </c>
      <c r="C34" s="12"/>
      <c r="D34" s="16">
        <f>D18+D23</f>
        <v>17150753.71239078</v>
      </c>
      <c r="E34" s="16"/>
      <c r="F34" s="16">
        <f>F18+F23</f>
        <v>758667.22159090429</v>
      </c>
      <c r="G34" s="62">
        <f t="shared" si="16"/>
        <v>4.4235211718001377E-2</v>
      </c>
      <c r="I34" s="16">
        <f>I18+I23</f>
        <v>-21345.687878865043</v>
      </c>
      <c r="J34" s="62">
        <f t="shared" si="17"/>
        <v>-1.2445918259232874E-3</v>
      </c>
      <c r="K34" s="62"/>
      <c r="L34" s="16">
        <f>L18+L23</f>
        <v>617235.31610533956</v>
      </c>
      <c r="M34" s="62">
        <f t="shared" si="18"/>
        <v>3.5988815795273771E-2</v>
      </c>
      <c r="N34" s="16"/>
      <c r="O34" s="231">
        <f>O18+O23</f>
        <v>17428.370257522623</v>
      </c>
      <c r="P34" s="228">
        <f t="shared" si="19"/>
        <v>1.016186842268703E-3</v>
      </c>
      <c r="Q34" s="16"/>
      <c r="R34" s="16">
        <f>R18+R23</f>
        <v>-563890.52784530201</v>
      </c>
      <c r="S34" s="62">
        <f t="shared" si="20"/>
        <v>-3.2878469209076923E-2</v>
      </c>
      <c r="T34" s="62"/>
      <c r="U34" s="16">
        <f>U18+U23</f>
        <v>808094.69222959923</v>
      </c>
      <c r="V34" s="62">
        <f t="shared" si="21"/>
        <v>4.7117153320543628E-2</v>
      </c>
      <c r="W34" s="62"/>
      <c r="X34" s="16">
        <f>X18+X23</f>
        <v>-64832.33341536895</v>
      </c>
      <c r="Y34" s="62">
        <f t="shared" si="22"/>
        <v>-3.780144855589058E-3</v>
      </c>
      <c r="Z34" s="62"/>
      <c r="AA34" s="16">
        <f t="shared" si="24"/>
        <v>17894016.071205009</v>
      </c>
      <c r="AB34" s="16">
        <f t="shared" si="24"/>
        <v>743262.35881423019</v>
      </c>
      <c r="AC34" s="62">
        <f t="shared" si="23"/>
        <v>4.3337008464954564E-2</v>
      </c>
      <c r="AD34" s="62"/>
    </row>
    <row r="35" spans="2:30" s="13" customFormat="1" x14ac:dyDescent="0.25">
      <c r="B35" s="12" t="s">
        <v>13</v>
      </c>
      <c r="C35" s="12"/>
      <c r="D35" s="16">
        <f>D24</f>
        <v>1694863.0973755296</v>
      </c>
      <c r="E35" s="16"/>
      <c r="F35" s="16">
        <f>F24</f>
        <v>20093.055977700045</v>
      </c>
      <c r="G35" s="62">
        <f t="shared" si="16"/>
        <v>1.1855267843646985E-2</v>
      </c>
      <c r="I35" s="16">
        <f>I24</f>
        <v>0</v>
      </c>
      <c r="J35" s="62">
        <f t="shared" si="17"/>
        <v>0</v>
      </c>
      <c r="K35" s="62"/>
      <c r="L35" s="16">
        <f>L24</f>
        <v>0</v>
      </c>
      <c r="M35" s="62">
        <f t="shared" si="18"/>
        <v>0</v>
      </c>
      <c r="N35" s="16"/>
      <c r="O35" s="231">
        <f>O24</f>
        <v>0</v>
      </c>
      <c r="P35" s="228">
        <f t="shared" si="19"/>
        <v>0</v>
      </c>
      <c r="Q35" s="16"/>
      <c r="R35" s="16">
        <f>R24</f>
        <v>-28892.086800000001</v>
      </c>
      <c r="S35" s="62">
        <f t="shared" si="20"/>
        <v>-1.704685578719542E-2</v>
      </c>
      <c r="T35" s="62"/>
      <c r="U35" s="16">
        <f>U24</f>
        <v>-8799.0308222999556</v>
      </c>
      <c r="V35" s="62">
        <f t="shared" si="21"/>
        <v>-5.1915879435484348E-3</v>
      </c>
      <c r="W35" s="62"/>
      <c r="X35" s="16">
        <f>X24</f>
        <v>-6524.0196000000005</v>
      </c>
      <c r="Y35" s="62">
        <f t="shared" si="22"/>
        <v>-3.8492900164634821E-3</v>
      </c>
      <c r="Z35" s="62"/>
      <c r="AA35" s="16">
        <f>AA24</f>
        <v>1679540.0469532297</v>
      </c>
      <c r="AB35" s="16">
        <f>AB24</f>
        <v>-15323.050422299886</v>
      </c>
      <c r="AC35" s="62">
        <f t="shared" si="23"/>
        <v>-9.0408779600118748E-3</v>
      </c>
      <c r="AD35" s="62"/>
    </row>
    <row r="36" spans="2:30" s="13" customFormat="1" x14ac:dyDescent="0.25">
      <c r="B36" s="12" t="s">
        <v>14</v>
      </c>
      <c r="C36" s="12"/>
      <c r="D36" s="128">
        <f>SUM(D29:D35)</f>
        <v>1106709585.3700278</v>
      </c>
      <c r="E36" s="148"/>
      <c r="F36" s="18">
        <f>SUM(F29:F35)</f>
        <v>46458417.630643368</v>
      </c>
      <c r="G36" s="63">
        <f t="shared" si="16"/>
        <v>4.1978869836127801E-2</v>
      </c>
      <c r="I36" s="18">
        <f>SUM(I29:I35)</f>
        <v>-1589849.677868865</v>
      </c>
      <c r="J36" s="63">
        <f t="shared" si="17"/>
        <v>-1.4365554422638342E-3</v>
      </c>
      <c r="K36" s="62"/>
      <c r="L36" s="18">
        <f>SUM(L29:L35)</f>
        <v>45492653.785575338</v>
      </c>
      <c r="M36" s="63">
        <f t="shared" si="18"/>
        <v>4.1106225505731835E-2</v>
      </c>
      <c r="N36" s="16"/>
      <c r="O36" s="232">
        <f>SUM(O29:O35)</f>
        <v>2999203.0625675227</v>
      </c>
      <c r="P36" s="229">
        <f t="shared" si="19"/>
        <v>2.7100181494901761E-3</v>
      </c>
      <c r="Q36" s="16"/>
      <c r="R36" s="18">
        <f>SUM(R29:R35)</f>
        <v>-22562812.560205303</v>
      </c>
      <c r="S36" s="63">
        <f t="shared" si="20"/>
        <v>-2.0387292979541186E-2</v>
      </c>
      <c r="T36" s="62"/>
      <c r="U36" s="18">
        <f>SUM(U29:U35)</f>
        <v>70797612.240712062</v>
      </c>
      <c r="V36" s="63">
        <f t="shared" si="21"/>
        <v>6.39712650695448E-2</v>
      </c>
      <c r="W36" s="62"/>
      <c r="X36" s="18">
        <f>SUM(X29:X35)</f>
        <v>-3120955.6570753693</v>
      </c>
      <c r="Y36" s="63">
        <f t="shared" si="22"/>
        <v>-2.8200312876407222E-3</v>
      </c>
      <c r="Z36" s="62"/>
      <c r="AA36" s="18">
        <f>SUM(AA29:AA35)</f>
        <v>1174386241.9536641</v>
      </c>
      <c r="AB36" s="18">
        <f>SUM(AB29:AB35)</f>
        <v>67676656.583636731</v>
      </c>
      <c r="AC36" s="63">
        <f t="shared" si="23"/>
        <v>6.115123378190411E-2</v>
      </c>
      <c r="AD36" s="62"/>
    </row>
    <row r="37" spans="2:30" s="13" customFormat="1" x14ac:dyDescent="0.25">
      <c r="B37" s="12"/>
      <c r="C37" s="12"/>
      <c r="D37" s="12"/>
      <c r="E37" s="12"/>
      <c r="F37" s="16"/>
      <c r="G37" s="149"/>
      <c r="I37" s="16"/>
      <c r="J37" s="149"/>
      <c r="K37" s="149"/>
      <c r="L37" s="16"/>
      <c r="M37" s="149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B37" s="16"/>
      <c r="AC37" s="149"/>
      <c r="AD37" s="62"/>
    </row>
    <row r="38" spans="2:30" x14ac:dyDescent="0.25">
      <c r="B38" s="12" t="s">
        <v>196</v>
      </c>
      <c r="F38" s="14"/>
      <c r="G38" s="14"/>
      <c r="J38" s="40"/>
      <c r="K38" s="40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B38" s="14"/>
    </row>
    <row r="39" spans="2:30" x14ac:dyDescent="0.25">
      <c r="B39" s="184" t="s">
        <v>379</v>
      </c>
      <c r="F39" s="14"/>
      <c r="G39" s="14"/>
      <c r="J39" s="40"/>
      <c r="K39" s="40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B39" s="14"/>
    </row>
    <row r="40" spans="2:30" x14ac:dyDescent="0.25">
      <c r="B40" s="189" t="s">
        <v>388</v>
      </c>
    </row>
    <row r="41" spans="2:30" x14ac:dyDescent="0.25">
      <c r="I41" s="8"/>
    </row>
  </sheetData>
  <printOptions horizontalCentered="1"/>
  <pageMargins left="0.45" right="0.45" top="0.75" bottom="0.75" header="0.3" footer="0.3"/>
  <pageSetup scale="42" orientation="landscape" blackAndWhite="1" r:id="rId1"/>
  <headerFooter>
    <oddFooter>&amp;R&amp;A
 Page &amp;P of &amp;N</oddFooter>
  </headerFooter>
  <customProperties>
    <customPr name="_pios_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J43"/>
  <sheetViews>
    <sheetView zoomScale="90" zoomScaleNormal="90" workbookViewId="0">
      <selection activeCell="N18" sqref="N18"/>
    </sheetView>
  </sheetViews>
  <sheetFormatPr defaultRowHeight="15" x14ac:dyDescent="0.25"/>
  <cols>
    <col min="1" max="1" width="36.85546875" bestFit="1" customWidth="1"/>
    <col min="2" max="2" width="9.140625" bestFit="1" customWidth="1"/>
    <col min="3" max="3" width="18.5703125" bestFit="1" customWidth="1"/>
    <col min="4" max="5" width="13.7109375" customWidth="1"/>
    <col min="6" max="8" width="14.42578125" customWidth="1"/>
    <col min="9" max="9" width="8.28515625" customWidth="1"/>
  </cols>
  <sheetData>
    <row r="1" spans="1:10" s="43" customFormat="1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42"/>
    </row>
    <row r="2" spans="1:10" s="43" customFormat="1" x14ac:dyDescent="0.25">
      <c r="A2" s="218" t="s">
        <v>336</v>
      </c>
      <c r="B2" s="218"/>
      <c r="C2" s="218"/>
      <c r="D2" s="218"/>
      <c r="E2" s="218"/>
      <c r="F2" s="218"/>
      <c r="G2" s="218"/>
      <c r="H2" s="218"/>
      <c r="I2" s="218"/>
      <c r="J2" s="42"/>
    </row>
    <row r="3" spans="1:10" s="43" customFormat="1" x14ac:dyDescent="0.25">
      <c r="A3" s="218" t="s">
        <v>337</v>
      </c>
      <c r="B3" s="218"/>
      <c r="C3" s="218"/>
      <c r="D3" s="218"/>
      <c r="E3" s="218"/>
      <c r="F3" s="218"/>
      <c r="G3" s="218"/>
      <c r="H3" s="218"/>
      <c r="I3" s="218"/>
      <c r="J3" s="42"/>
    </row>
    <row r="4" spans="1:10" s="43" customFormat="1" x14ac:dyDescent="0.25">
      <c r="A4" s="218" t="s">
        <v>214</v>
      </c>
      <c r="B4" s="218"/>
      <c r="C4" s="218"/>
      <c r="D4" s="218"/>
      <c r="E4" s="218"/>
      <c r="F4" s="218"/>
      <c r="G4" s="218"/>
      <c r="H4" s="218"/>
      <c r="I4" s="218"/>
      <c r="J4" s="42"/>
    </row>
    <row r="5" spans="1:10" x14ac:dyDescent="0.25">
      <c r="D5" s="3"/>
      <c r="E5" s="3"/>
    </row>
    <row r="6" spans="1:10" x14ac:dyDescent="0.25">
      <c r="A6" s="3"/>
      <c r="B6" s="3"/>
      <c r="C6" s="3" t="s">
        <v>15</v>
      </c>
      <c r="D6" s="3" t="s">
        <v>5</v>
      </c>
      <c r="E6" s="3" t="s">
        <v>1</v>
      </c>
      <c r="F6" s="48" t="s">
        <v>15</v>
      </c>
      <c r="G6" s="48" t="s">
        <v>15</v>
      </c>
      <c r="H6" s="3" t="s">
        <v>273</v>
      </c>
      <c r="I6" s="3"/>
    </row>
    <row r="7" spans="1:10" x14ac:dyDescent="0.25">
      <c r="A7" s="3"/>
      <c r="B7" s="3" t="s">
        <v>17</v>
      </c>
      <c r="C7" s="3" t="s">
        <v>3</v>
      </c>
      <c r="D7" s="3" t="s">
        <v>273</v>
      </c>
      <c r="E7" s="3" t="s">
        <v>273</v>
      </c>
      <c r="F7" s="48" t="s">
        <v>2</v>
      </c>
      <c r="G7" s="48" t="s">
        <v>2</v>
      </c>
      <c r="H7" s="3" t="s">
        <v>2</v>
      </c>
      <c r="I7" s="3" t="s">
        <v>20</v>
      </c>
    </row>
    <row r="8" spans="1:10" x14ac:dyDescent="0.25">
      <c r="A8" s="104" t="s">
        <v>4</v>
      </c>
      <c r="B8" s="104" t="s">
        <v>21</v>
      </c>
      <c r="C8" s="73" t="s">
        <v>220</v>
      </c>
      <c r="D8" s="104" t="s">
        <v>22</v>
      </c>
      <c r="E8" s="104" t="s">
        <v>22</v>
      </c>
      <c r="F8" s="44" t="s">
        <v>23</v>
      </c>
      <c r="G8" s="44" t="s">
        <v>131</v>
      </c>
      <c r="H8" s="104" t="s">
        <v>24</v>
      </c>
      <c r="I8" s="104" t="s">
        <v>24</v>
      </c>
    </row>
    <row r="9" spans="1:10" x14ac:dyDescent="0.25">
      <c r="A9" t="s">
        <v>7</v>
      </c>
      <c r="B9" s="5" t="s">
        <v>30</v>
      </c>
      <c r="C9" s="47">
        <f>SUM(Therms_CY2024!P10,Therms_CY2024!P11)</f>
        <v>639464549</v>
      </c>
      <c r="D9" s="180">
        <f>'[1]Exh JDT-5 (JDT-MYRP)'!$I$11</f>
        <v>4.8649999999999999E-2</v>
      </c>
      <c r="E9" s="180">
        <f>'[1]Exh JDT-5 (JDT-MYRP)'!$P$11</f>
        <v>9.8780000000000007E-2</v>
      </c>
      <c r="F9" s="38">
        <f>C9*D9</f>
        <v>31109950.308849998</v>
      </c>
      <c r="G9" s="38">
        <f>C9*E9</f>
        <v>63166308.150220007</v>
      </c>
      <c r="H9" s="8">
        <f>G9-F9</f>
        <v>32056357.841370009</v>
      </c>
      <c r="I9" s="1">
        <f>-H9/F9</f>
        <v>-1.0304213771839674</v>
      </c>
    </row>
    <row r="10" spans="1:10" x14ac:dyDescent="0.25">
      <c r="A10" t="s">
        <v>31</v>
      </c>
      <c r="B10" s="5">
        <v>16</v>
      </c>
      <c r="C10" s="47">
        <f>Therms_CY2024!P9</f>
        <v>8832</v>
      </c>
      <c r="D10" s="180">
        <f>'[1]Exh JDT-5 (JDT-MYRP)'!$I$11</f>
        <v>4.8649999999999999E-2</v>
      </c>
      <c r="E10" s="180">
        <f>'[1]Exh JDT-5 (JDT-MYRP)'!$P$11</f>
        <v>9.8780000000000007E-2</v>
      </c>
      <c r="F10" s="38">
        <f t="shared" ref="F10:F28" si="0">C10*D10</f>
        <v>429.67680000000001</v>
      </c>
      <c r="G10" s="38">
        <f t="shared" ref="G10:G39" si="1">C10*E10</f>
        <v>872.42496000000006</v>
      </c>
      <c r="H10" s="8">
        <f t="shared" ref="H10:H39" si="2">G10-F10</f>
        <v>442.74816000000004</v>
      </c>
      <c r="I10" s="1">
        <f t="shared" ref="I10:I39" si="3">-H10/F10</f>
        <v>-1.0304213771839672</v>
      </c>
    </row>
    <row r="11" spans="1:10" x14ac:dyDescent="0.25">
      <c r="A11" t="s">
        <v>8</v>
      </c>
      <c r="B11" s="5">
        <v>31</v>
      </c>
      <c r="C11" s="47">
        <f>Therms_CY2024!P12</f>
        <v>245936243</v>
      </c>
      <c r="D11" s="180">
        <f>'[1]Exh JDT-5 (JDT-MYRP)'!$I$40</f>
        <v>4.4909999999999999E-2</v>
      </c>
      <c r="E11" s="180">
        <f>'[1]Exh JDT-5 (JDT-MYRP)'!$P$40</f>
        <v>9.06E-2</v>
      </c>
      <c r="F11" s="38">
        <f t="shared" si="0"/>
        <v>11044996.67313</v>
      </c>
      <c r="G11" s="38">
        <f t="shared" si="1"/>
        <v>22281823.615800001</v>
      </c>
      <c r="H11" s="8">
        <f t="shared" si="2"/>
        <v>11236826.942670001</v>
      </c>
      <c r="I11" s="1">
        <f t="shared" si="3"/>
        <v>-1.017368069472278</v>
      </c>
    </row>
    <row r="12" spans="1:10" x14ac:dyDescent="0.25">
      <c r="A12" t="s">
        <v>9</v>
      </c>
      <c r="B12" s="5">
        <v>41</v>
      </c>
      <c r="C12" s="47">
        <f>Therms_CY2024!P13</f>
        <v>66890541</v>
      </c>
      <c r="D12" s="180">
        <f>'[1]Exh JDT-5 (JDT-MYRP)'!$I$64</f>
        <v>2.147E-2</v>
      </c>
      <c r="E12" s="180">
        <f>'[1]Exh JDT-5 (JDT-MYRP)'!$P$64</f>
        <v>4.3319999999999997E-2</v>
      </c>
      <c r="F12" s="38">
        <f t="shared" si="0"/>
        <v>1436139.91527</v>
      </c>
      <c r="G12" s="38">
        <f t="shared" si="1"/>
        <v>2897698.23612</v>
      </c>
      <c r="H12" s="8">
        <f t="shared" si="2"/>
        <v>1461558.32085</v>
      </c>
      <c r="I12" s="1">
        <f t="shared" si="3"/>
        <v>-1.0176991150442478</v>
      </c>
    </row>
    <row r="13" spans="1:10" x14ac:dyDescent="0.25">
      <c r="A13" t="s">
        <v>10</v>
      </c>
      <c r="B13" s="5">
        <v>85</v>
      </c>
      <c r="C13" s="47">
        <f>Therms_CY2024!P14</f>
        <v>10745378</v>
      </c>
      <c r="D13" s="180">
        <f>'[1]Exh JDT-5 (JDT-MYRP)'!$I$102</f>
        <v>1.277E-2</v>
      </c>
      <c r="E13" s="180">
        <f>'[1]Exh JDT-5 (JDT-MYRP)'!$P$102</f>
        <v>2.6360000000000001E-2</v>
      </c>
      <c r="F13" s="38">
        <f t="shared" si="0"/>
        <v>137218.47706</v>
      </c>
      <c r="G13" s="38">
        <f t="shared" si="1"/>
        <v>283248.16408000002</v>
      </c>
      <c r="H13" s="8">
        <f t="shared" si="2"/>
        <v>146029.68702000001</v>
      </c>
      <c r="I13" s="1">
        <f t="shared" si="3"/>
        <v>-1.0642129992169147</v>
      </c>
    </row>
    <row r="14" spans="1:10" x14ac:dyDescent="0.25">
      <c r="A14" t="s">
        <v>11</v>
      </c>
      <c r="B14" s="5">
        <v>86</v>
      </c>
      <c r="C14" s="47">
        <f>Therms_CY2024!P15</f>
        <v>5489408</v>
      </c>
      <c r="D14" s="180">
        <f>'[1]Exh JDT-5 (JDT-MYRP)'!$I$139</f>
        <v>1.0410000000000001E-2</v>
      </c>
      <c r="E14" s="180">
        <f>'[1]Exh JDT-5 (JDT-MYRP)'!$P$139</f>
        <v>2.1819999999999999E-2</v>
      </c>
      <c r="F14" s="38">
        <f t="shared" si="0"/>
        <v>57144.737280000001</v>
      </c>
      <c r="G14" s="38">
        <f t="shared" si="1"/>
        <v>119778.88256</v>
      </c>
      <c r="H14" s="8">
        <f t="shared" si="2"/>
        <v>62634.145279999997</v>
      </c>
      <c r="I14" s="1">
        <f t="shared" si="3"/>
        <v>-1.0960614793467818</v>
      </c>
    </row>
    <row r="15" spans="1:10" x14ac:dyDescent="0.25">
      <c r="B15" s="5"/>
      <c r="C15" s="47"/>
      <c r="D15" s="180"/>
      <c r="E15" s="180"/>
      <c r="F15" s="38"/>
      <c r="G15" s="38"/>
      <c r="H15" s="8"/>
      <c r="I15" s="1"/>
    </row>
    <row r="16" spans="1:10" x14ac:dyDescent="0.25">
      <c r="A16" t="s">
        <v>12</v>
      </c>
      <c r="B16" s="5">
        <v>87</v>
      </c>
    </row>
    <row r="17" spans="1:9" x14ac:dyDescent="0.25">
      <c r="A17" t="s">
        <v>376</v>
      </c>
      <c r="B17" s="5">
        <v>87</v>
      </c>
      <c r="C17" s="47">
        <f>'[1]Exh JDT-5 (JDT-MYRP)'!L185</f>
        <v>1512193</v>
      </c>
      <c r="D17" s="180">
        <f>'[1]Exh JDT-5 (JDT-MYRP)'!I185</f>
        <v>2.6460000000000001E-2</v>
      </c>
      <c r="E17" s="180">
        <f>'[1]Exh JDT-5 (JDT-MYRP)'!P185</f>
        <v>5.33E-2</v>
      </c>
      <c r="F17" s="8">
        <f t="shared" ref="F17" si="4">C17*D17</f>
        <v>40012.626779999999</v>
      </c>
      <c r="G17" s="8">
        <f t="shared" ref="G17" si="5">C17*E17</f>
        <v>80599.886899999998</v>
      </c>
      <c r="H17" s="8">
        <f t="shared" ref="H17" si="6">G17-F17</f>
        <v>40587.260119999999</v>
      </c>
      <c r="I17" s="1">
        <f t="shared" si="3"/>
        <v>-1.0143613000755858</v>
      </c>
    </row>
    <row r="18" spans="1:9" x14ac:dyDescent="0.25">
      <c r="A18" t="s">
        <v>377</v>
      </c>
      <c r="B18" s="5">
        <v>87</v>
      </c>
      <c r="C18" s="47">
        <f>'[1]Exh JDT-5 (JDT-MYRP)'!L186</f>
        <v>1398016.115</v>
      </c>
      <c r="D18" s="180">
        <f>'[1]Exh JDT-5 (JDT-MYRP)'!I186</f>
        <v>1.5990000000000001E-2</v>
      </c>
      <c r="E18" s="180">
        <f>'[1]Exh JDT-5 (JDT-MYRP)'!P186</f>
        <v>3.2210000000000003E-2</v>
      </c>
      <c r="F18" s="8">
        <f t="shared" ref="F18:F22" si="7">C18*D18</f>
        <v>22354.277678850001</v>
      </c>
      <c r="G18" s="8">
        <f t="shared" ref="G18:G22" si="8">C18*E18</f>
        <v>45030.099064150003</v>
      </c>
      <c r="H18" s="8">
        <f t="shared" ref="H18:H22" si="9">G18-F18</f>
        <v>22675.821385300002</v>
      </c>
      <c r="I18" s="1">
        <f t="shared" ref="I18:I22" si="10">-H18/F18</f>
        <v>-1.0143839899937461</v>
      </c>
    </row>
    <row r="19" spans="1:9" x14ac:dyDescent="0.25">
      <c r="A19" t="s">
        <v>378</v>
      </c>
      <c r="B19" s="5">
        <v>87</v>
      </c>
      <c r="C19" s="47">
        <f>'[1]Exh JDT-5 (JDT-MYRP)'!L187</f>
        <v>2316890.0959999999</v>
      </c>
      <c r="D19" s="180">
        <f>'[1]Exh JDT-5 (JDT-MYRP)'!I187</f>
        <v>1.017E-2</v>
      </c>
      <c r="E19" s="180">
        <f>'[1]Exh JDT-5 (JDT-MYRP)'!P187</f>
        <v>2.0500000000000001E-2</v>
      </c>
      <c r="F19" s="8">
        <f t="shared" si="7"/>
        <v>23562.77227632</v>
      </c>
      <c r="G19" s="8">
        <f t="shared" si="8"/>
        <v>47496.246967999999</v>
      </c>
      <c r="H19" s="8">
        <f t="shared" si="9"/>
        <v>23933.47469168</v>
      </c>
      <c r="I19" s="1">
        <f t="shared" si="10"/>
        <v>-1.0157325467059981</v>
      </c>
    </row>
    <row r="20" spans="1:9" x14ac:dyDescent="0.25">
      <c r="A20" t="s">
        <v>69</v>
      </c>
      <c r="B20" s="5">
        <v>87</v>
      </c>
      <c r="C20" s="47">
        <f>'[1]Exh JDT-5 (JDT-MYRP)'!L188</f>
        <v>3045256.878</v>
      </c>
      <c r="D20" s="180">
        <f>'[1]Exh JDT-5 (JDT-MYRP)'!I188</f>
        <v>6.5199999999999998E-3</v>
      </c>
      <c r="E20" s="180">
        <f>'[1]Exh JDT-5 (JDT-MYRP)'!P188</f>
        <v>1.3140000000000001E-2</v>
      </c>
      <c r="F20" s="8">
        <f t="shared" si="7"/>
        <v>19855.07484456</v>
      </c>
      <c r="G20" s="8">
        <f t="shared" si="8"/>
        <v>40014.67537692</v>
      </c>
      <c r="H20" s="8">
        <f t="shared" si="9"/>
        <v>20159.60053236</v>
      </c>
      <c r="I20" s="1">
        <f t="shared" si="10"/>
        <v>-1.0153374233128833</v>
      </c>
    </row>
    <row r="21" spans="1:9" x14ac:dyDescent="0.25">
      <c r="A21" t="s">
        <v>70</v>
      </c>
      <c r="B21" s="5">
        <v>87</v>
      </c>
      <c r="C21" s="47">
        <f>'[1]Exh JDT-5 (JDT-MYRP)'!L189</f>
        <v>3792042.2029999997</v>
      </c>
      <c r="D21" s="180">
        <f>'[1]Exh JDT-5 (JDT-MYRP)'!I189</f>
        <v>4.7000000000000002E-3</v>
      </c>
      <c r="E21" s="180">
        <f>'[1]Exh JDT-5 (JDT-MYRP)'!P189</f>
        <v>9.4599999999999997E-3</v>
      </c>
      <c r="F21" s="8">
        <f t="shared" si="7"/>
        <v>17822.598354099999</v>
      </c>
      <c r="G21" s="8">
        <f t="shared" si="8"/>
        <v>35872.719240379993</v>
      </c>
      <c r="H21" s="8">
        <f t="shared" si="9"/>
        <v>18050.120886279994</v>
      </c>
      <c r="I21" s="1">
        <f t="shared" si="10"/>
        <v>-1.0127659574468082</v>
      </c>
    </row>
    <row r="22" spans="1:9" x14ac:dyDescent="0.25">
      <c r="A22" t="s">
        <v>89</v>
      </c>
      <c r="B22" s="5">
        <v>87</v>
      </c>
      <c r="C22" s="47">
        <f>'[1]Exh JDT-5 (JDT-MYRP)'!L190</f>
        <v>9755057.4703552071</v>
      </c>
      <c r="D22" s="180">
        <f>'[1]Exh JDT-5 (JDT-MYRP)'!I190</f>
        <v>7.9000000000000001E-4</v>
      </c>
      <c r="E22" s="180">
        <f>'[1]Exh JDT-5 (JDT-MYRP)'!P190</f>
        <v>1.5399999999999999E-3</v>
      </c>
      <c r="F22" s="8">
        <f t="shared" si="7"/>
        <v>7706.4954015806134</v>
      </c>
      <c r="G22" s="8">
        <f t="shared" si="8"/>
        <v>15022.788504347018</v>
      </c>
      <c r="H22" s="8">
        <f t="shared" si="9"/>
        <v>7316.2931027664044</v>
      </c>
      <c r="I22" s="1">
        <f t="shared" si="10"/>
        <v>-0.94936708860759489</v>
      </c>
    </row>
    <row r="23" spans="1:9" x14ac:dyDescent="0.25">
      <c r="A23" t="s">
        <v>6</v>
      </c>
      <c r="B23" s="5">
        <v>87</v>
      </c>
      <c r="C23" s="14">
        <f>SUM(C17:C22)</f>
        <v>21819455.762355208</v>
      </c>
      <c r="D23" s="180"/>
      <c r="E23" s="180"/>
      <c r="F23" s="38">
        <f>SUM(F17:F22)</f>
        <v>131313.84533541062</v>
      </c>
      <c r="G23" s="38">
        <f t="shared" ref="G23:H23" si="11">SUM(G17:G22)</f>
        <v>264036.416053797</v>
      </c>
      <c r="H23" s="38">
        <f t="shared" si="11"/>
        <v>132722.57071838641</v>
      </c>
      <c r="I23" s="1">
        <f>-H23/F23</f>
        <v>-1.0107279272751288</v>
      </c>
    </row>
    <row r="24" spans="1:9" x14ac:dyDescent="0.25">
      <c r="B24" s="5"/>
      <c r="C24" s="47"/>
      <c r="D24" s="180"/>
      <c r="E24" s="180"/>
      <c r="F24" s="38"/>
      <c r="G24" s="38"/>
      <c r="H24" s="8"/>
      <c r="I24" s="1"/>
    </row>
    <row r="25" spans="1:9" x14ac:dyDescent="0.25">
      <c r="A25" t="s">
        <v>32</v>
      </c>
      <c r="B25" s="5" t="s">
        <v>33</v>
      </c>
      <c r="C25" s="47">
        <f>Therms_CY2024!P17</f>
        <v>33867</v>
      </c>
      <c r="D25" s="180">
        <f>'[1]Exh JDT-5 (JDT-MYRP)'!$I$40</f>
        <v>4.4909999999999999E-2</v>
      </c>
      <c r="E25" s="180">
        <f>'[1]Exh JDT-5 (JDT-MYRP)'!$P$40</f>
        <v>9.06E-2</v>
      </c>
      <c r="F25" s="38">
        <f t="shared" si="0"/>
        <v>1520.9669699999999</v>
      </c>
      <c r="G25" s="38">
        <f t="shared" si="1"/>
        <v>3068.3501999999999</v>
      </c>
      <c r="H25" s="8">
        <f t="shared" si="2"/>
        <v>1547.3832299999999</v>
      </c>
      <c r="I25" s="1">
        <f t="shared" si="3"/>
        <v>-1.0173680694722778</v>
      </c>
    </row>
    <row r="26" spans="1:9" x14ac:dyDescent="0.25">
      <c r="A26" t="s">
        <v>34</v>
      </c>
      <c r="B26" t="s">
        <v>35</v>
      </c>
      <c r="C26" s="47">
        <f>Therms_CY2024!P18</f>
        <v>26510234</v>
      </c>
      <c r="D26" s="180">
        <f>'[1]Exh JDT-5 (JDT-MYRP)'!$I$64</f>
        <v>2.147E-2</v>
      </c>
      <c r="E26" s="180">
        <f>'[1]Exh JDT-5 (JDT-MYRP)'!$P$64</f>
        <v>4.3319999999999997E-2</v>
      </c>
      <c r="F26" s="38">
        <f t="shared" si="0"/>
        <v>569174.72398000001</v>
      </c>
      <c r="G26" s="38">
        <f t="shared" si="1"/>
        <v>1148423.3368799998</v>
      </c>
      <c r="H26" s="8">
        <f t="shared" si="2"/>
        <v>579248.61289999983</v>
      </c>
      <c r="I26" s="1">
        <f t="shared" si="3"/>
        <v>-1.0176991150442474</v>
      </c>
    </row>
    <row r="27" spans="1:9" x14ac:dyDescent="0.25">
      <c r="A27" t="s">
        <v>36</v>
      </c>
      <c r="B27" t="s">
        <v>37</v>
      </c>
      <c r="C27" s="47">
        <f>Therms_CY2024!P19</f>
        <v>62288926</v>
      </c>
      <c r="D27" s="180">
        <f>'[1]Exh JDT-5 (JDT-MYRP)'!$I$102</f>
        <v>1.277E-2</v>
      </c>
      <c r="E27" s="180">
        <f>'[1]Exh JDT-5 (JDT-MYRP)'!$P$102</f>
        <v>2.6360000000000001E-2</v>
      </c>
      <c r="F27" s="38">
        <f t="shared" si="0"/>
        <v>795429.58502</v>
      </c>
      <c r="G27" s="38">
        <f t="shared" si="1"/>
        <v>1641936.0893600001</v>
      </c>
      <c r="H27" s="8">
        <f t="shared" si="2"/>
        <v>846506.5043400001</v>
      </c>
      <c r="I27" s="1">
        <f t="shared" si="3"/>
        <v>-1.0642129992169147</v>
      </c>
    </row>
    <row r="28" spans="1:9" x14ac:dyDescent="0.25">
      <c r="A28" t="s">
        <v>38</v>
      </c>
      <c r="B28" t="s">
        <v>39</v>
      </c>
      <c r="C28" s="47">
        <f>Therms_CY2024!P20</f>
        <v>578702</v>
      </c>
      <c r="D28" s="180">
        <f>'[1]Exh JDT-5 (JDT-MYRP)'!$I$139</f>
        <v>1.0410000000000001E-2</v>
      </c>
      <c r="E28" s="180">
        <f>'[1]Exh JDT-5 (JDT-MYRP)'!$P$139</f>
        <v>2.1819999999999999E-2</v>
      </c>
      <c r="F28" s="38">
        <f t="shared" si="0"/>
        <v>6024.2878200000005</v>
      </c>
      <c r="G28" s="38">
        <f t="shared" si="1"/>
        <v>12627.27764</v>
      </c>
      <c r="H28" s="8">
        <f t="shared" si="2"/>
        <v>6602.9898199999998</v>
      </c>
      <c r="I28" s="1">
        <f t="shared" si="3"/>
        <v>-1.0960614793467818</v>
      </c>
    </row>
    <row r="29" spans="1:9" x14ac:dyDescent="0.25">
      <c r="C29" s="47"/>
      <c r="D29" s="180"/>
      <c r="E29" s="180"/>
      <c r="F29" s="38"/>
      <c r="G29" s="38"/>
      <c r="H29" s="8"/>
      <c r="I29" s="1"/>
    </row>
    <row r="30" spans="1:9" x14ac:dyDescent="0.25">
      <c r="A30" t="s">
        <v>40</v>
      </c>
      <c r="B30" t="s">
        <v>41</v>
      </c>
    </row>
    <row r="31" spans="1:9" x14ac:dyDescent="0.25">
      <c r="A31" t="s">
        <v>376</v>
      </c>
      <c r="B31" t="s">
        <v>41</v>
      </c>
      <c r="C31" s="47">
        <f>'[1]Exh JDT-5 (JDT-MYRP)'!L203</f>
        <v>3298789.67</v>
      </c>
      <c r="D31" s="180">
        <f>'[1]Exh JDT-5 (JDT-MYRP)'!I203</f>
        <v>2.6460000000000001E-2</v>
      </c>
      <c r="E31" s="180">
        <f>'[1]Exh JDT-5 (JDT-MYRP)'!P203</f>
        <v>5.33E-2</v>
      </c>
      <c r="F31" s="8">
        <f t="shared" ref="F31" si="12">C31*D31</f>
        <v>87285.974668199997</v>
      </c>
      <c r="G31" s="8">
        <f t="shared" ref="G31" si="13">C31*E31</f>
        <v>175825.48941099999</v>
      </c>
      <c r="H31" s="8">
        <f t="shared" ref="H31" si="14">G31-F31</f>
        <v>88539.514742799991</v>
      </c>
      <c r="I31" s="1">
        <f t="shared" ref="I31" si="15">-H31/F31</f>
        <v>-1.0143613000755858</v>
      </c>
    </row>
    <row r="32" spans="1:9" x14ac:dyDescent="0.25">
      <c r="A32" t="s">
        <v>377</v>
      </c>
      <c r="B32" t="s">
        <v>41</v>
      </c>
      <c r="C32" s="47">
        <f>'[1]Exh JDT-5 (JDT-MYRP)'!L204</f>
        <v>3300000</v>
      </c>
      <c r="D32" s="180">
        <f>'[1]Exh JDT-5 (JDT-MYRP)'!I204</f>
        <v>1.5990000000000001E-2</v>
      </c>
      <c r="E32" s="180">
        <f>'[1]Exh JDT-5 (JDT-MYRP)'!P204</f>
        <v>3.2210000000000003E-2</v>
      </c>
      <c r="F32" s="8">
        <f t="shared" ref="F32:F36" si="16">C32*D32</f>
        <v>52767</v>
      </c>
      <c r="G32" s="8">
        <f t="shared" ref="G32:G36" si="17">C32*E32</f>
        <v>106293.00000000001</v>
      </c>
      <c r="H32" s="8">
        <f t="shared" ref="H32:H36" si="18">G32-F32</f>
        <v>53526.000000000015</v>
      </c>
      <c r="I32" s="1">
        <f t="shared" ref="I32:I36" si="19">-H32/F32</f>
        <v>-1.0143839899937463</v>
      </c>
    </row>
    <row r="33" spans="1:9" x14ac:dyDescent="0.25">
      <c r="A33" t="s">
        <v>378</v>
      </c>
      <c r="B33" t="s">
        <v>41</v>
      </c>
      <c r="C33" s="47">
        <f>'[1]Exh JDT-5 (JDT-MYRP)'!L205</f>
        <v>6600000</v>
      </c>
      <c r="D33" s="180">
        <f>'[1]Exh JDT-5 (JDT-MYRP)'!I205</f>
        <v>1.017E-2</v>
      </c>
      <c r="E33" s="180">
        <f>'[1]Exh JDT-5 (JDT-MYRP)'!P205</f>
        <v>2.0500000000000001E-2</v>
      </c>
      <c r="F33" s="8">
        <f t="shared" si="16"/>
        <v>67122</v>
      </c>
      <c r="G33" s="8">
        <f t="shared" si="17"/>
        <v>135300</v>
      </c>
      <c r="H33" s="8">
        <f t="shared" si="18"/>
        <v>68178</v>
      </c>
      <c r="I33" s="1">
        <f t="shared" si="19"/>
        <v>-1.0157325467059981</v>
      </c>
    </row>
    <row r="34" spans="1:9" x14ac:dyDescent="0.25">
      <c r="A34" t="s">
        <v>69</v>
      </c>
      <c r="B34" t="s">
        <v>41</v>
      </c>
      <c r="C34" s="47">
        <f>'[1]Exh JDT-5 (JDT-MYRP)'!L206</f>
        <v>12663691.02</v>
      </c>
      <c r="D34" s="180">
        <f>'[1]Exh JDT-5 (JDT-MYRP)'!I206</f>
        <v>6.5199999999999998E-3</v>
      </c>
      <c r="E34" s="180">
        <f>'[1]Exh JDT-5 (JDT-MYRP)'!P206</f>
        <v>1.3140000000000001E-2</v>
      </c>
      <c r="F34" s="8">
        <f t="shared" si="16"/>
        <v>82567.265450399995</v>
      </c>
      <c r="G34" s="8">
        <f t="shared" si="17"/>
        <v>166400.90000280002</v>
      </c>
      <c r="H34" s="8">
        <f t="shared" si="18"/>
        <v>83833.634552400021</v>
      </c>
      <c r="I34" s="1">
        <f t="shared" si="19"/>
        <v>-1.0153374233128838</v>
      </c>
    </row>
    <row r="35" spans="1:9" x14ac:dyDescent="0.25">
      <c r="A35" t="s">
        <v>70</v>
      </c>
      <c r="B35" t="s">
        <v>41</v>
      </c>
      <c r="C35" s="47">
        <f>'[1]Exh JDT-5 (JDT-MYRP)'!L207</f>
        <v>29344602.150000002</v>
      </c>
      <c r="D35" s="180">
        <f>'[1]Exh JDT-5 (JDT-MYRP)'!I207</f>
        <v>4.7000000000000002E-3</v>
      </c>
      <c r="E35" s="180">
        <f>'[1]Exh JDT-5 (JDT-MYRP)'!P207</f>
        <v>9.4599999999999997E-3</v>
      </c>
      <c r="F35" s="8">
        <f t="shared" si="16"/>
        <v>137919.63010500002</v>
      </c>
      <c r="G35" s="8">
        <f t="shared" si="17"/>
        <v>277599.93633900001</v>
      </c>
      <c r="H35" s="8">
        <f t="shared" si="18"/>
        <v>139680.30623399999</v>
      </c>
      <c r="I35" s="1">
        <f t="shared" si="19"/>
        <v>-1.0127659574468082</v>
      </c>
    </row>
    <row r="36" spans="1:9" x14ac:dyDescent="0.25">
      <c r="A36" t="s">
        <v>89</v>
      </c>
      <c r="B36" t="s">
        <v>41</v>
      </c>
      <c r="C36" s="47">
        <f>'[1]Exh JDT-5 (JDT-MYRP)'!L208</f>
        <v>86801883.805479586</v>
      </c>
      <c r="D36" s="180">
        <f>'[1]Exh JDT-5 (JDT-MYRP)'!I208</f>
        <v>7.9000000000000001E-4</v>
      </c>
      <c r="E36" s="180">
        <f>'[1]Exh JDT-5 (JDT-MYRP)'!P208</f>
        <v>1.5399999999999999E-3</v>
      </c>
      <c r="F36" s="8">
        <f t="shared" si="16"/>
        <v>68573.488206328868</v>
      </c>
      <c r="G36" s="8">
        <f t="shared" si="17"/>
        <v>133674.90106043857</v>
      </c>
      <c r="H36" s="8">
        <f t="shared" si="18"/>
        <v>65101.412854109702</v>
      </c>
      <c r="I36" s="1">
        <f t="shared" si="19"/>
        <v>-0.94936708860759522</v>
      </c>
    </row>
    <row r="37" spans="1:9" x14ac:dyDescent="0.25">
      <c r="A37" t="s">
        <v>6</v>
      </c>
      <c r="B37" t="s">
        <v>41</v>
      </c>
      <c r="C37" s="14">
        <f>SUM(C31:C36)</f>
        <v>142008966.64547959</v>
      </c>
      <c r="D37" s="180"/>
      <c r="E37" s="180"/>
      <c r="F37" s="38">
        <f>SUM(F31:F36)</f>
        <v>496235.35842992895</v>
      </c>
      <c r="G37" s="38">
        <f t="shared" ref="G37:H37" si="20">SUM(G31:G36)</f>
        <v>995094.22681323858</v>
      </c>
      <c r="H37" s="38">
        <f t="shared" si="20"/>
        <v>498858.86838330975</v>
      </c>
      <c r="I37" s="1">
        <f>-H37/F37</f>
        <v>-1.0052868259159957</v>
      </c>
    </row>
    <row r="38" spans="1:9" x14ac:dyDescent="0.25">
      <c r="C38" s="47"/>
      <c r="D38" s="180"/>
      <c r="E38" s="180"/>
      <c r="F38" s="38"/>
      <c r="G38" s="38"/>
      <c r="H38" s="8"/>
      <c r="I38" s="1"/>
    </row>
    <row r="39" spans="1:9" x14ac:dyDescent="0.25">
      <c r="A39" t="s">
        <v>13</v>
      </c>
      <c r="C39" s="47">
        <f>Therms_CY2024!P22</f>
        <v>30967900</v>
      </c>
      <c r="D39" s="9"/>
      <c r="E39" s="7"/>
      <c r="F39" s="38">
        <f>C39*D39</f>
        <v>0</v>
      </c>
      <c r="G39" s="38">
        <f t="shared" si="1"/>
        <v>0</v>
      </c>
      <c r="H39" s="8">
        <f t="shared" si="2"/>
        <v>0</v>
      </c>
      <c r="I39" s="1" t="e">
        <f t="shared" si="3"/>
        <v>#DIV/0!</v>
      </c>
    </row>
    <row r="40" spans="1:9" x14ac:dyDescent="0.25">
      <c r="A40" t="s">
        <v>6</v>
      </c>
      <c r="C40" s="10">
        <f>SUM(C9:C14,C23,C25:C28,C37,C39)</f>
        <v>1252743002.407835</v>
      </c>
      <c r="D40" s="6"/>
      <c r="E40" s="123"/>
      <c r="F40" s="79">
        <f t="shared" ref="F40:H40" si="21">SUM(F9:F14,F23,F25:F28,F37,F39)</f>
        <v>45785578.555945329</v>
      </c>
      <c r="G40" s="79">
        <f t="shared" si="21"/>
        <v>92814915.17068705</v>
      </c>
      <c r="H40" s="79">
        <f t="shared" si="21"/>
        <v>47029336.614741705</v>
      </c>
      <c r="I40" s="2">
        <f>-H40/F40</f>
        <v>-1.0271648431236187</v>
      </c>
    </row>
    <row r="41" spans="1:9" x14ac:dyDescent="0.25">
      <c r="F41" s="8"/>
      <c r="G41" s="8"/>
    </row>
    <row r="42" spans="1:9" x14ac:dyDescent="0.25">
      <c r="A42" s="189"/>
      <c r="C42" s="14"/>
      <c r="F42" s="8"/>
      <c r="G42" s="8"/>
    </row>
    <row r="43" spans="1:9" x14ac:dyDescent="0.25">
      <c r="A43" s="41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J25"/>
  <sheetViews>
    <sheetView zoomScale="90" zoomScaleNormal="90" workbookViewId="0">
      <selection activeCell="H35" sqref="H35"/>
    </sheetView>
  </sheetViews>
  <sheetFormatPr defaultRowHeight="15" x14ac:dyDescent="0.25"/>
  <cols>
    <col min="1" max="1" width="36.85546875" bestFit="1" customWidth="1"/>
    <col min="2" max="2" width="9.140625" bestFit="1" customWidth="1"/>
    <col min="3" max="3" width="18.5703125" bestFit="1" customWidth="1"/>
    <col min="4" max="5" width="13.7109375" customWidth="1"/>
    <col min="6" max="8" width="14.42578125" customWidth="1"/>
    <col min="9" max="9" width="8.28515625" customWidth="1"/>
  </cols>
  <sheetData>
    <row r="1" spans="1:10" s="43" customFormat="1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42"/>
    </row>
    <row r="2" spans="1:10" s="43" customFormat="1" x14ac:dyDescent="0.25">
      <c r="A2" s="218" t="s">
        <v>336</v>
      </c>
      <c r="B2" s="218"/>
      <c r="C2" s="218"/>
      <c r="D2" s="218"/>
      <c r="E2" s="218"/>
      <c r="F2" s="218"/>
      <c r="G2" s="218"/>
      <c r="H2" s="218"/>
      <c r="I2" s="218"/>
      <c r="J2" s="42"/>
    </row>
    <row r="3" spans="1:10" s="43" customFormat="1" x14ac:dyDescent="0.25">
      <c r="A3" s="218" t="s">
        <v>337</v>
      </c>
      <c r="B3" s="218"/>
      <c r="C3" s="218"/>
      <c r="D3" s="218"/>
      <c r="E3" s="218"/>
      <c r="F3" s="218"/>
      <c r="G3" s="218"/>
      <c r="H3" s="218"/>
      <c r="I3" s="218"/>
      <c r="J3" s="42"/>
    </row>
    <row r="4" spans="1:10" s="43" customFormat="1" x14ac:dyDescent="0.25">
      <c r="A4" s="218" t="s">
        <v>219</v>
      </c>
      <c r="B4" s="218"/>
      <c r="C4" s="218"/>
      <c r="D4" s="218"/>
      <c r="E4" s="218"/>
      <c r="F4" s="218"/>
      <c r="G4" s="218"/>
      <c r="H4" s="218"/>
      <c r="I4" s="218"/>
      <c r="J4" s="42"/>
    </row>
    <row r="5" spans="1:10" x14ac:dyDescent="0.25">
      <c r="D5" s="3"/>
      <c r="E5" s="3"/>
    </row>
    <row r="6" spans="1:10" x14ac:dyDescent="0.25">
      <c r="A6" s="3"/>
      <c r="B6" s="3"/>
      <c r="C6" s="3" t="s">
        <v>15</v>
      </c>
      <c r="D6" s="3" t="s">
        <v>5</v>
      </c>
      <c r="E6" s="3" t="s">
        <v>1</v>
      </c>
      <c r="F6" s="48" t="s">
        <v>15</v>
      </c>
      <c r="G6" s="48" t="s">
        <v>15</v>
      </c>
      <c r="H6" s="3" t="s">
        <v>273</v>
      </c>
      <c r="I6" s="3"/>
    </row>
    <row r="7" spans="1:10" x14ac:dyDescent="0.25">
      <c r="A7" s="3"/>
      <c r="B7" s="3" t="s">
        <v>17</v>
      </c>
      <c r="C7" s="3" t="s">
        <v>3</v>
      </c>
      <c r="D7" s="3" t="s">
        <v>273</v>
      </c>
      <c r="E7" s="3" t="s">
        <v>273</v>
      </c>
      <c r="F7" s="48" t="s">
        <v>2</v>
      </c>
      <c r="G7" s="48" t="s">
        <v>2</v>
      </c>
      <c r="H7" s="3" t="s">
        <v>2</v>
      </c>
      <c r="I7" s="3" t="s">
        <v>20</v>
      </c>
    </row>
    <row r="8" spans="1:10" x14ac:dyDescent="0.25">
      <c r="A8" s="104" t="s">
        <v>4</v>
      </c>
      <c r="B8" s="104" t="s">
        <v>21</v>
      </c>
      <c r="C8" s="73" t="s">
        <v>252</v>
      </c>
      <c r="D8" s="104" t="s">
        <v>22</v>
      </c>
      <c r="E8" s="104" t="s">
        <v>22</v>
      </c>
      <c r="F8" s="44" t="s">
        <v>23</v>
      </c>
      <c r="G8" s="44" t="s">
        <v>131</v>
      </c>
      <c r="H8" s="104" t="s">
        <v>24</v>
      </c>
      <c r="I8" s="104" t="s">
        <v>24</v>
      </c>
    </row>
    <row r="9" spans="1:10" x14ac:dyDescent="0.25">
      <c r="A9" t="s">
        <v>7</v>
      </c>
      <c r="B9" s="5" t="s">
        <v>30</v>
      </c>
      <c r="C9" s="47">
        <f>SUM(Therms_CY2025!P10,Therms_CY2025!P11)</f>
        <v>0</v>
      </c>
      <c r="D9" s="180">
        <f>'[1]Exh JDT-5 (JDT-MYRP)'!$O$11</f>
        <v>-3.09E-2</v>
      </c>
      <c r="E9" s="180">
        <f>'[1]Exh JDT-5 (JDT-MYRP)'!$U$11</f>
        <v>0</v>
      </c>
      <c r="F9" s="38">
        <f>C9*D9</f>
        <v>0</v>
      </c>
      <c r="G9" s="38">
        <f>C9*E9</f>
        <v>0</v>
      </c>
      <c r="H9" s="8">
        <f>G9-F9</f>
        <v>0</v>
      </c>
      <c r="I9" s="1" t="e">
        <f>-H9/F9</f>
        <v>#DIV/0!</v>
      </c>
    </row>
    <row r="10" spans="1:10" x14ac:dyDescent="0.25">
      <c r="A10" t="s">
        <v>31</v>
      </c>
      <c r="B10" s="5">
        <v>16</v>
      </c>
      <c r="C10" s="47">
        <f>Therms_CY2025!P9</f>
        <v>0</v>
      </c>
      <c r="D10" s="180">
        <f>'[1]Exh JDT-5 (JDT-MYRP)'!$O$11</f>
        <v>-3.09E-2</v>
      </c>
      <c r="E10" s="180">
        <f>'[1]Exh JDT-5 (JDT-MYRP)'!$U$11</f>
        <v>0</v>
      </c>
      <c r="F10" s="38">
        <f t="shared" ref="F10:F20" si="0">C10*D10</f>
        <v>0</v>
      </c>
      <c r="G10" s="38">
        <f t="shared" ref="G10:G21" si="1">C10*E10</f>
        <v>0</v>
      </c>
      <c r="H10" s="8">
        <f t="shared" ref="H10:H21" si="2">G10-F10</f>
        <v>0</v>
      </c>
      <c r="I10" s="1" t="e">
        <f t="shared" ref="I10:I21" si="3">-H10/F10</f>
        <v>#DIV/0!</v>
      </c>
    </row>
    <row r="11" spans="1:10" x14ac:dyDescent="0.25">
      <c r="A11" t="s">
        <v>8</v>
      </c>
      <c r="B11" s="5">
        <v>31</v>
      </c>
      <c r="C11" s="47">
        <f>Therms_CY2025!P12</f>
        <v>0</v>
      </c>
      <c r="D11" s="180">
        <f>'[1]Exh JDT-5 (JDT-MYRP)'!$O$40</f>
        <v>-2.835E-2</v>
      </c>
      <c r="E11" s="180">
        <f>'[1]Exh JDT-5 (JDT-MYRP)'!$U$40</f>
        <v>0</v>
      </c>
      <c r="F11" s="38">
        <f t="shared" si="0"/>
        <v>0</v>
      </c>
      <c r="G11" s="38">
        <f t="shared" si="1"/>
        <v>0</v>
      </c>
      <c r="H11" s="8">
        <f t="shared" si="2"/>
        <v>0</v>
      </c>
      <c r="I11" s="1" t="e">
        <f t="shared" si="3"/>
        <v>#DIV/0!</v>
      </c>
    </row>
    <row r="12" spans="1:10" x14ac:dyDescent="0.25">
      <c r="A12" t="s">
        <v>9</v>
      </c>
      <c r="B12" s="5">
        <v>41</v>
      </c>
      <c r="C12" s="47">
        <f>Therms_CY2025!P13</f>
        <v>0</v>
      </c>
      <c r="D12" s="180">
        <f>'[1]Exh JDT-5 (JDT-MYRP)'!$O$64</f>
        <v>-1.355E-2</v>
      </c>
      <c r="E12" s="180">
        <f>'[1]Exh JDT-5 (JDT-MYRP)'!$U$64</f>
        <v>0</v>
      </c>
      <c r="F12" s="38">
        <f t="shared" si="0"/>
        <v>0</v>
      </c>
      <c r="G12" s="38">
        <f t="shared" si="1"/>
        <v>0</v>
      </c>
      <c r="H12" s="8">
        <f t="shared" si="2"/>
        <v>0</v>
      </c>
      <c r="I12" s="1" t="e">
        <f t="shared" si="3"/>
        <v>#DIV/0!</v>
      </c>
    </row>
    <row r="13" spans="1:10" x14ac:dyDescent="0.25">
      <c r="A13" t="s">
        <v>10</v>
      </c>
      <c r="B13" s="5">
        <v>85</v>
      </c>
      <c r="C13" s="47">
        <f>Therms_CY2025!P14</f>
        <v>0</v>
      </c>
      <c r="D13" s="180">
        <f>'[1]Exh JDT-5 (JDT-MYRP)'!$O$102</f>
        <v>-8.2500000000000004E-3</v>
      </c>
      <c r="E13" s="180">
        <f>'[1]Exh JDT-5 (JDT-MYRP)'!$U$102</f>
        <v>0</v>
      </c>
      <c r="F13" s="38">
        <f t="shared" si="0"/>
        <v>0</v>
      </c>
      <c r="G13" s="38">
        <f t="shared" si="1"/>
        <v>0</v>
      </c>
      <c r="H13" s="8">
        <f t="shared" si="2"/>
        <v>0</v>
      </c>
      <c r="I13" s="1" t="e">
        <f t="shared" si="3"/>
        <v>#DIV/0!</v>
      </c>
    </row>
    <row r="14" spans="1:10" x14ac:dyDescent="0.25">
      <c r="A14" t="s">
        <v>11</v>
      </c>
      <c r="B14" s="5">
        <v>86</v>
      </c>
      <c r="C14" s="47">
        <f>Therms_CY2025!P15</f>
        <v>0</v>
      </c>
      <c r="D14" s="180">
        <f>'[1]Exh JDT-5 (JDT-MYRP)'!$O$139</f>
        <v>-6.8300000000000001E-3</v>
      </c>
      <c r="E14" s="180">
        <f>'[1]Exh JDT-5 (JDT-MYRP)'!$U$139</f>
        <v>0</v>
      </c>
      <c r="F14" s="38">
        <f t="shared" si="0"/>
        <v>0</v>
      </c>
      <c r="G14" s="38">
        <f t="shared" si="1"/>
        <v>0</v>
      </c>
      <c r="H14" s="8">
        <f t="shared" si="2"/>
        <v>0</v>
      </c>
      <c r="I14" s="1" t="e">
        <f t="shared" si="3"/>
        <v>#DIV/0!</v>
      </c>
    </row>
    <row r="15" spans="1:10" x14ac:dyDescent="0.25">
      <c r="A15" t="s">
        <v>12</v>
      </c>
      <c r="B15" s="5">
        <v>87</v>
      </c>
      <c r="C15" s="47">
        <f>Therms_CY2025!P16</f>
        <v>0</v>
      </c>
      <c r="D15" s="180">
        <f>'[1]Exh JDT-5 (JDT-MYRP)'!$O$174</f>
        <v>-5.8611569639943552E-2</v>
      </c>
      <c r="E15" s="180">
        <f>'[1]Exh JDT-5 (JDT-MYRP)'!$U$174</f>
        <v>0</v>
      </c>
      <c r="F15" s="38">
        <f t="shared" si="0"/>
        <v>0</v>
      </c>
      <c r="G15" s="38">
        <f t="shared" si="1"/>
        <v>0</v>
      </c>
      <c r="H15" s="8">
        <f t="shared" si="2"/>
        <v>0</v>
      </c>
      <c r="I15" s="1" t="e">
        <f t="shared" si="3"/>
        <v>#DIV/0!</v>
      </c>
    </row>
    <row r="16" spans="1:10" x14ac:dyDescent="0.25">
      <c r="A16" t="s">
        <v>32</v>
      </c>
      <c r="B16" s="5" t="s">
        <v>33</v>
      </c>
      <c r="C16" s="47">
        <f>Therms_CY2025!P17</f>
        <v>0</v>
      </c>
      <c r="D16" s="180">
        <f>'[1]Exh JDT-5 (JDT-MYRP)'!$O$40</f>
        <v>-2.835E-2</v>
      </c>
      <c r="E16" s="180">
        <f>'[1]Exh JDT-5 (JDT-MYRP)'!$U$40</f>
        <v>0</v>
      </c>
      <c r="F16" s="38">
        <f t="shared" si="0"/>
        <v>0</v>
      </c>
      <c r="G16" s="38">
        <f t="shared" si="1"/>
        <v>0</v>
      </c>
      <c r="H16" s="8">
        <f t="shared" si="2"/>
        <v>0</v>
      </c>
      <c r="I16" s="1" t="e">
        <f t="shared" si="3"/>
        <v>#DIV/0!</v>
      </c>
    </row>
    <row r="17" spans="1:9" x14ac:dyDescent="0.25">
      <c r="A17" t="s">
        <v>34</v>
      </c>
      <c r="B17" t="s">
        <v>35</v>
      </c>
      <c r="C17" s="47">
        <f>Therms_CY2025!P18</f>
        <v>0</v>
      </c>
      <c r="D17" s="180">
        <f>'[1]Exh JDT-5 (JDT-MYRP)'!$O$64</f>
        <v>-1.355E-2</v>
      </c>
      <c r="E17" s="180">
        <f>'[1]Exh JDT-5 (JDT-MYRP)'!$U$64</f>
        <v>0</v>
      </c>
      <c r="F17" s="38">
        <f t="shared" si="0"/>
        <v>0</v>
      </c>
      <c r="G17" s="38">
        <f t="shared" si="1"/>
        <v>0</v>
      </c>
      <c r="H17" s="8">
        <f t="shared" si="2"/>
        <v>0</v>
      </c>
      <c r="I17" s="1" t="e">
        <f t="shared" si="3"/>
        <v>#DIV/0!</v>
      </c>
    </row>
    <row r="18" spans="1:9" x14ac:dyDescent="0.25">
      <c r="A18" t="s">
        <v>36</v>
      </c>
      <c r="B18" t="s">
        <v>37</v>
      </c>
      <c r="C18" s="47">
        <f>Therms_CY2025!P19</f>
        <v>0</v>
      </c>
      <c r="D18" s="180">
        <f>'[1]Exh JDT-5 (JDT-MYRP)'!$O$102</f>
        <v>-8.2500000000000004E-3</v>
      </c>
      <c r="E18" s="180">
        <f>'[1]Exh JDT-5 (JDT-MYRP)'!$U$102</f>
        <v>0</v>
      </c>
      <c r="F18" s="38">
        <f t="shared" si="0"/>
        <v>0</v>
      </c>
      <c r="G18" s="38">
        <f t="shared" si="1"/>
        <v>0</v>
      </c>
      <c r="H18" s="8">
        <f t="shared" si="2"/>
        <v>0</v>
      </c>
      <c r="I18" s="1" t="e">
        <f t="shared" si="3"/>
        <v>#DIV/0!</v>
      </c>
    </row>
    <row r="19" spans="1:9" x14ac:dyDescent="0.25">
      <c r="A19" t="s">
        <v>38</v>
      </c>
      <c r="B19" t="s">
        <v>39</v>
      </c>
      <c r="C19" s="47">
        <f>Therms_CY2025!P20</f>
        <v>0</v>
      </c>
      <c r="D19" s="180">
        <f>'[1]Exh JDT-5 (JDT-MYRP)'!$O$139</f>
        <v>-6.8300000000000001E-3</v>
      </c>
      <c r="E19" s="180">
        <f>'[1]Exh JDT-5 (JDT-MYRP)'!$U$139</f>
        <v>0</v>
      </c>
      <c r="F19" s="38">
        <f t="shared" si="0"/>
        <v>0</v>
      </c>
      <c r="G19" s="38">
        <f t="shared" si="1"/>
        <v>0</v>
      </c>
      <c r="H19" s="8">
        <f t="shared" si="2"/>
        <v>0</v>
      </c>
      <c r="I19" s="1" t="e">
        <f t="shared" si="3"/>
        <v>#DIV/0!</v>
      </c>
    </row>
    <row r="20" spans="1:9" x14ac:dyDescent="0.25">
      <c r="A20" t="s">
        <v>40</v>
      </c>
      <c r="B20" t="s">
        <v>41</v>
      </c>
      <c r="C20" s="47">
        <f>Therms_CY2025!P21</f>
        <v>0</v>
      </c>
      <c r="D20" s="180">
        <f>'[1]Exh JDT-5 (JDT-MYRP)'!$O$174</f>
        <v>-5.8611569639943552E-2</v>
      </c>
      <c r="E20" s="180">
        <f>'[1]Exh JDT-5 (JDT-MYRP)'!$U$174</f>
        <v>0</v>
      </c>
      <c r="F20" s="38">
        <f t="shared" si="0"/>
        <v>0</v>
      </c>
      <c r="G20" s="38">
        <f t="shared" si="1"/>
        <v>0</v>
      </c>
      <c r="H20" s="8">
        <f t="shared" si="2"/>
        <v>0</v>
      </c>
      <c r="I20" s="1" t="e">
        <f t="shared" si="3"/>
        <v>#DIV/0!</v>
      </c>
    </row>
    <row r="21" spans="1:9" x14ac:dyDescent="0.25">
      <c r="A21" t="s">
        <v>13</v>
      </c>
      <c r="C21" s="47">
        <f>Therms_CY2025!P22</f>
        <v>0</v>
      </c>
      <c r="D21" s="9"/>
      <c r="E21" s="7"/>
      <c r="F21" s="38">
        <f>C21*D21</f>
        <v>0</v>
      </c>
      <c r="G21" s="38">
        <f t="shared" si="1"/>
        <v>0</v>
      </c>
      <c r="H21" s="8">
        <f t="shared" si="2"/>
        <v>0</v>
      </c>
      <c r="I21" s="1" t="e">
        <f t="shared" si="3"/>
        <v>#DIV/0!</v>
      </c>
    </row>
    <row r="22" spans="1:9" x14ac:dyDescent="0.25">
      <c r="A22" t="s">
        <v>6</v>
      </c>
      <c r="C22" s="10">
        <f>SUM(C9:C21)</f>
        <v>0</v>
      </c>
      <c r="D22" s="6"/>
      <c r="E22" s="123"/>
      <c r="F22" s="39">
        <f t="shared" ref="F22:H22" si="4">SUM(F9:F21)</f>
        <v>0</v>
      </c>
      <c r="G22" s="39">
        <f t="shared" si="4"/>
        <v>0</v>
      </c>
      <c r="H22" s="11">
        <f t="shared" si="4"/>
        <v>0</v>
      </c>
      <c r="I22" s="2" t="e">
        <f>-H22/F22</f>
        <v>#DIV/0!</v>
      </c>
    </row>
    <row r="23" spans="1:9" x14ac:dyDescent="0.25">
      <c r="F23" s="8"/>
      <c r="G23" s="8"/>
    </row>
    <row r="24" spans="1:9" x14ac:dyDescent="0.25">
      <c r="C24" s="14"/>
      <c r="F24" s="8"/>
      <c r="G24" s="8"/>
    </row>
    <row r="25" spans="1:9" x14ac:dyDescent="0.25">
      <c r="A25" s="41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J25"/>
  <sheetViews>
    <sheetView zoomScale="90" zoomScaleNormal="90" workbookViewId="0">
      <selection activeCell="C8" sqref="C8"/>
    </sheetView>
  </sheetViews>
  <sheetFormatPr defaultRowHeight="15" x14ac:dyDescent="0.25"/>
  <cols>
    <col min="1" max="1" width="36.85546875" bestFit="1" customWidth="1"/>
    <col min="2" max="2" width="9.140625" bestFit="1" customWidth="1"/>
    <col min="3" max="3" width="18.5703125" bestFit="1" customWidth="1"/>
    <col min="4" max="5" width="13.7109375" customWidth="1"/>
    <col min="6" max="8" width="14.42578125" customWidth="1"/>
    <col min="9" max="9" width="8.28515625" customWidth="1"/>
  </cols>
  <sheetData>
    <row r="1" spans="1:10" s="43" customFormat="1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42"/>
    </row>
    <row r="2" spans="1:10" s="43" customFormat="1" x14ac:dyDescent="0.25">
      <c r="A2" s="218" t="s">
        <v>155</v>
      </c>
      <c r="B2" s="218"/>
      <c r="C2" s="218"/>
      <c r="D2" s="218"/>
      <c r="E2" s="218"/>
      <c r="F2" s="218"/>
      <c r="G2" s="218"/>
      <c r="H2" s="218"/>
      <c r="I2" s="218"/>
      <c r="J2" s="42"/>
    </row>
    <row r="3" spans="1:10" s="43" customFormat="1" x14ac:dyDescent="0.25">
      <c r="A3" s="218" t="s">
        <v>169</v>
      </c>
      <c r="B3" s="218"/>
      <c r="C3" s="218"/>
      <c r="D3" s="218"/>
      <c r="E3" s="218"/>
      <c r="F3" s="218"/>
      <c r="G3" s="218"/>
      <c r="H3" s="218"/>
      <c r="I3" s="218"/>
      <c r="J3" s="42"/>
    </row>
    <row r="4" spans="1:10" s="43" customFormat="1" x14ac:dyDescent="0.25">
      <c r="A4" s="218" t="s">
        <v>258</v>
      </c>
      <c r="B4" s="218"/>
      <c r="C4" s="218"/>
      <c r="D4" s="218"/>
      <c r="E4" s="218"/>
      <c r="F4" s="218"/>
      <c r="G4" s="218"/>
      <c r="H4" s="218"/>
      <c r="I4" s="218"/>
      <c r="J4" s="42"/>
    </row>
    <row r="5" spans="1:10" x14ac:dyDescent="0.25">
      <c r="D5" s="3"/>
      <c r="E5" s="3"/>
    </row>
    <row r="6" spans="1:10" x14ac:dyDescent="0.25">
      <c r="A6" s="3"/>
      <c r="B6" s="3"/>
      <c r="C6" s="3" t="s">
        <v>15</v>
      </c>
      <c r="D6" s="3" t="s">
        <v>5</v>
      </c>
      <c r="E6" s="3" t="s">
        <v>1</v>
      </c>
      <c r="F6" s="48" t="s">
        <v>15</v>
      </c>
      <c r="G6" s="48" t="s">
        <v>15</v>
      </c>
      <c r="H6" s="3" t="s">
        <v>135</v>
      </c>
      <c r="I6" s="3"/>
    </row>
    <row r="7" spans="1:10" x14ac:dyDescent="0.25">
      <c r="A7" s="3"/>
      <c r="B7" s="3" t="s">
        <v>17</v>
      </c>
      <c r="C7" s="3" t="s">
        <v>3</v>
      </c>
      <c r="D7" s="3" t="s">
        <v>135</v>
      </c>
      <c r="E7" s="3" t="s">
        <v>135</v>
      </c>
      <c r="F7" s="48" t="s">
        <v>2</v>
      </c>
      <c r="G7" s="48" t="s">
        <v>2</v>
      </c>
      <c r="H7" s="3" t="s">
        <v>2</v>
      </c>
      <c r="I7" s="3" t="s">
        <v>20</v>
      </c>
    </row>
    <row r="8" spans="1:10" x14ac:dyDescent="0.25">
      <c r="A8" s="104" t="s">
        <v>4</v>
      </c>
      <c r="B8" s="104" t="s">
        <v>21</v>
      </c>
      <c r="C8" s="71" t="str">
        <f>'Sch. 101'!$D$8</f>
        <v>12ME Dec. 2023</v>
      </c>
      <c r="D8" s="104" t="s">
        <v>22</v>
      </c>
      <c r="E8" s="104" t="s">
        <v>22</v>
      </c>
      <c r="F8" s="44" t="s">
        <v>23</v>
      </c>
      <c r="G8" s="44" t="s">
        <v>131</v>
      </c>
      <c r="H8" s="104" t="s">
        <v>24</v>
      </c>
      <c r="I8" s="104" t="s">
        <v>24</v>
      </c>
    </row>
    <row r="9" spans="1:10" x14ac:dyDescent="0.25">
      <c r="A9" t="s">
        <v>7</v>
      </c>
      <c r="B9" s="5" t="s">
        <v>30</v>
      </c>
      <c r="C9" s="47">
        <f>SUM(Therms_CY2023!P10,Therms_CY2023!P11)</f>
        <v>636369361</v>
      </c>
      <c r="D9" s="7">
        <v>3.14E-3</v>
      </c>
      <c r="E9" s="7">
        <v>0</v>
      </c>
      <c r="F9" s="38">
        <f>C9*D9</f>
        <v>1998199.79354</v>
      </c>
      <c r="G9" s="38">
        <f>C9*E9</f>
        <v>0</v>
      </c>
      <c r="H9" s="8">
        <f>G9-F9</f>
        <v>-1998199.79354</v>
      </c>
      <c r="I9" s="1">
        <f>-H9/F9</f>
        <v>1</v>
      </c>
    </row>
    <row r="10" spans="1:10" x14ac:dyDescent="0.25">
      <c r="A10" t="s">
        <v>31</v>
      </c>
      <c r="B10" s="5">
        <v>16</v>
      </c>
      <c r="C10" s="47">
        <f>Therms_CY2023!P9</f>
        <v>8832</v>
      </c>
      <c r="D10" s="7">
        <v>3.14E-3</v>
      </c>
      <c r="E10" s="7">
        <v>0</v>
      </c>
      <c r="F10" s="38">
        <f t="shared" ref="F10:F20" si="0">C10*D10</f>
        <v>27.732479999999999</v>
      </c>
      <c r="G10" s="38">
        <f t="shared" ref="G10:G21" si="1">C10*E10</f>
        <v>0</v>
      </c>
      <c r="H10" s="8">
        <f t="shared" ref="H10:H21" si="2">G10-F10</f>
        <v>-27.732479999999999</v>
      </c>
      <c r="I10" s="1">
        <f t="shared" ref="I10:I21" si="3">-H10/F10</f>
        <v>1</v>
      </c>
    </row>
    <row r="11" spans="1:10" x14ac:dyDescent="0.25">
      <c r="A11" t="s">
        <v>8</v>
      </c>
      <c r="B11" s="5">
        <v>31</v>
      </c>
      <c r="C11" s="47">
        <f>Therms_CY2023!P12</f>
        <v>243192248</v>
      </c>
      <c r="D11" s="7">
        <v>3.5400000000000002E-3</v>
      </c>
      <c r="E11" s="7">
        <v>0</v>
      </c>
      <c r="F11" s="38">
        <f t="shared" si="0"/>
        <v>860900.55792000005</v>
      </c>
      <c r="G11" s="38">
        <f t="shared" si="1"/>
        <v>0</v>
      </c>
      <c r="H11" s="8">
        <f t="shared" si="2"/>
        <v>-860900.55792000005</v>
      </c>
      <c r="I11" s="1">
        <f t="shared" si="3"/>
        <v>1</v>
      </c>
    </row>
    <row r="12" spans="1:10" x14ac:dyDescent="0.25">
      <c r="A12" t="s">
        <v>9</v>
      </c>
      <c r="B12" s="5">
        <v>41</v>
      </c>
      <c r="C12" s="47">
        <f>Therms_CY2023!P13</f>
        <v>66922885</v>
      </c>
      <c r="D12" s="7">
        <v>1.33E-3</v>
      </c>
      <c r="E12" s="7">
        <v>0</v>
      </c>
      <c r="F12" s="38">
        <f t="shared" si="0"/>
        <v>89007.437050000008</v>
      </c>
      <c r="G12" s="38">
        <f t="shared" si="1"/>
        <v>0</v>
      </c>
      <c r="H12" s="8">
        <f t="shared" si="2"/>
        <v>-89007.437050000008</v>
      </c>
      <c r="I12" s="1">
        <f t="shared" si="3"/>
        <v>1</v>
      </c>
    </row>
    <row r="13" spans="1:10" x14ac:dyDescent="0.25">
      <c r="A13" t="s">
        <v>10</v>
      </c>
      <c r="B13" s="5">
        <v>85</v>
      </c>
      <c r="C13" s="47">
        <f>Therms_CY2023!P14</f>
        <v>11124640</v>
      </c>
      <c r="D13" s="7">
        <v>8.0999999999999996E-4</v>
      </c>
      <c r="E13" s="7">
        <v>0</v>
      </c>
      <c r="F13" s="38">
        <f t="shared" si="0"/>
        <v>9010.9583999999995</v>
      </c>
      <c r="G13" s="38">
        <f t="shared" si="1"/>
        <v>0</v>
      </c>
      <c r="H13" s="8">
        <f t="shared" si="2"/>
        <v>-9010.9583999999995</v>
      </c>
      <c r="I13" s="1">
        <f t="shared" si="3"/>
        <v>1</v>
      </c>
    </row>
    <row r="14" spans="1:10" x14ac:dyDescent="0.25">
      <c r="A14" t="s">
        <v>11</v>
      </c>
      <c r="B14" s="5">
        <v>86</v>
      </c>
      <c r="C14" s="47">
        <f>Therms_CY2023!P15</f>
        <v>5691490</v>
      </c>
      <c r="D14" s="7">
        <v>1.2199999999999999E-3</v>
      </c>
      <c r="E14" s="7">
        <v>0</v>
      </c>
      <c r="F14" s="38">
        <f t="shared" si="0"/>
        <v>6943.6178</v>
      </c>
      <c r="G14" s="38">
        <f t="shared" si="1"/>
        <v>0</v>
      </c>
      <c r="H14" s="8">
        <f t="shared" si="2"/>
        <v>-6943.6178</v>
      </c>
      <c r="I14" s="1">
        <f t="shared" si="3"/>
        <v>1</v>
      </c>
    </row>
    <row r="15" spans="1:10" x14ac:dyDescent="0.25">
      <c r="A15" t="s">
        <v>12</v>
      </c>
      <c r="B15" s="5">
        <v>87</v>
      </c>
      <c r="C15" s="47">
        <f>Therms_CY2023!P16</f>
        <v>21819455.762355205</v>
      </c>
      <c r="D15" s="7">
        <v>4.2999999999999999E-4</v>
      </c>
      <c r="E15" s="7">
        <v>0</v>
      </c>
      <c r="F15" s="38">
        <f t="shared" si="0"/>
        <v>9382.3659778127385</v>
      </c>
      <c r="G15" s="38">
        <f t="shared" si="1"/>
        <v>0</v>
      </c>
      <c r="H15" s="8">
        <f t="shared" si="2"/>
        <v>-9382.3659778127385</v>
      </c>
      <c r="I15" s="1">
        <f t="shared" si="3"/>
        <v>1</v>
      </c>
    </row>
    <row r="16" spans="1:10" x14ac:dyDescent="0.25">
      <c r="A16" t="s">
        <v>32</v>
      </c>
      <c r="B16" s="5" t="s">
        <v>33</v>
      </c>
      <c r="C16" s="47">
        <f>Therms_CY2023!P17</f>
        <v>34397</v>
      </c>
      <c r="D16" s="7">
        <v>3.5400000000000002E-3</v>
      </c>
      <c r="E16" s="7">
        <v>0</v>
      </c>
      <c r="F16" s="38">
        <f t="shared" si="0"/>
        <v>121.76538000000001</v>
      </c>
      <c r="G16" s="38">
        <f t="shared" si="1"/>
        <v>0</v>
      </c>
      <c r="H16" s="8">
        <f t="shared" si="2"/>
        <v>-121.76538000000001</v>
      </c>
      <c r="I16" s="1">
        <f t="shared" si="3"/>
        <v>1</v>
      </c>
    </row>
    <row r="17" spans="1:9" x14ac:dyDescent="0.25">
      <c r="A17" t="s">
        <v>34</v>
      </c>
      <c r="B17" t="s">
        <v>35</v>
      </c>
      <c r="C17" s="47">
        <f>Therms_CY2023!P18</f>
        <v>25464521</v>
      </c>
      <c r="D17" s="7">
        <v>1.33E-3</v>
      </c>
      <c r="E17" s="7">
        <v>0</v>
      </c>
      <c r="F17" s="38">
        <f t="shared" si="0"/>
        <v>33867.81293</v>
      </c>
      <c r="G17" s="38">
        <f t="shared" si="1"/>
        <v>0</v>
      </c>
      <c r="H17" s="8">
        <f t="shared" si="2"/>
        <v>-33867.81293</v>
      </c>
      <c r="I17" s="1">
        <f t="shared" si="3"/>
        <v>1</v>
      </c>
    </row>
    <row r="18" spans="1:9" x14ac:dyDescent="0.25">
      <c r="A18" t="s">
        <v>36</v>
      </c>
      <c r="B18" t="s">
        <v>37</v>
      </c>
      <c r="C18" s="47">
        <f>Therms_CY2023!P19</f>
        <v>62787518</v>
      </c>
      <c r="D18" s="7">
        <v>8.0999999999999996E-4</v>
      </c>
      <c r="E18" s="7">
        <v>0</v>
      </c>
      <c r="F18" s="38">
        <f t="shared" si="0"/>
        <v>50857.889579999995</v>
      </c>
      <c r="G18" s="38">
        <f t="shared" si="1"/>
        <v>0</v>
      </c>
      <c r="H18" s="8">
        <f t="shared" si="2"/>
        <v>-50857.889579999995</v>
      </c>
      <c r="I18" s="1">
        <f t="shared" si="3"/>
        <v>1</v>
      </c>
    </row>
    <row r="19" spans="1:9" x14ac:dyDescent="0.25">
      <c r="A19" t="s">
        <v>38</v>
      </c>
      <c r="B19" t="s">
        <v>39</v>
      </c>
      <c r="C19" s="47">
        <f>Therms_CY2023!P20</f>
        <v>542409</v>
      </c>
      <c r="D19" s="7">
        <v>1.2199999999999999E-3</v>
      </c>
      <c r="E19" s="7">
        <v>0</v>
      </c>
      <c r="F19" s="38">
        <f t="shared" si="0"/>
        <v>661.73897999999997</v>
      </c>
      <c r="G19" s="38">
        <f t="shared" si="1"/>
        <v>0</v>
      </c>
      <c r="H19" s="8">
        <f t="shared" si="2"/>
        <v>-661.73897999999997</v>
      </c>
      <c r="I19" s="1">
        <f t="shared" si="3"/>
        <v>1</v>
      </c>
    </row>
    <row r="20" spans="1:9" x14ac:dyDescent="0.25">
      <c r="A20" t="s">
        <v>40</v>
      </c>
      <c r="B20" t="s">
        <v>41</v>
      </c>
      <c r="C20" s="47">
        <f>Therms_CY2023!P21</f>
        <v>128953412.64547956</v>
      </c>
      <c r="D20" s="7">
        <v>4.2999999999999999E-4</v>
      </c>
      <c r="E20" s="7">
        <v>0</v>
      </c>
      <c r="F20" s="38">
        <f t="shared" si="0"/>
        <v>55449.96743755621</v>
      </c>
      <c r="G20" s="38">
        <f t="shared" si="1"/>
        <v>0</v>
      </c>
      <c r="H20" s="8">
        <f t="shared" si="2"/>
        <v>-55449.96743755621</v>
      </c>
      <c r="I20" s="1">
        <f t="shared" si="3"/>
        <v>1</v>
      </c>
    </row>
    <row r="21" spans="1:9" x14ac:dyDescent="0.25">
      <c r="A21" t="s">
        <v>13</v>
      </c>
      <c r="C21" s="47">
        <f>Therms_CY2023!P22</f>
        <v>31066760</v>
      </c>
      <c r="D21" s="9">
        <v>2.1000000000000001E-4</v>
      </c>
      <c r="E21" s="7">
        <v>0</v>
      </c>
      <c r="F21" s="38">
        <f>C21*D21</f>
        <v>6524.0196000000005</v>
      </c>
      <c r="G21" s="38">
        <f t="shared" si="1"/>
        <v>0</v>
      </c>
      <c r="H21" s="8">
        <f t="shared" si="2"/>
        <v>-6524.0196000000005</v>
      </c>
      <c r="I21" s="1">
        <f t="shared" si="3"/>
        <v>1</v>
      </c>
    </row>
    <row r="22" spans="1:9" x14ac:dyDescent="0.25">
      <c r="A22" t="s">
        <v>6</v>
      </c>
      <c r="C22" s="10">
        <f>SUM(C9:C21)</f>
        <v>1233977929.407835</v>
      </c>
      <c r="D22" s="6"/>
      <c r="E22" s="123"/>
      <c r="F22" s="39">
        <f t="shared" ref="F22:H22" si="4">SUM(F9:F21)</f>
        <v>3120955.6570753693</v>
      </c>
      <c r="G22" s="39">
        <f t="shared" si="4"/>
        <v>0</v>
      </c>
      <c r="H22" s="11">
        <f t="shared" si="4"/>
        <v>-3120955.6570753693</v>
      </c>
      <c r="I22" s="2">
        <f>-H22/F22</f>
        <v>1</v>
      </c>
    </row>
    <row r="23" spans="1:9" x14ac:dyDescent="0.25">
      <c r="F23" s="8"/>
      <c r="G23" s="8"/>
    </row>
    <row r="24" spans="1:9" x14ac:dyDescent="0.25">
      <c r="C24" s="14"/>
      <c r="F24" s="8"/>
      <c r="G24" s="8"/>
    </row>
    <row r="25" spans="1:9" x14ac:dyDescent="0.25">
      <c r="A25" s="41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J25"/>
  <sheetViews>
    <sheetView zoomScale="90" zoomScaleNormal="90" workbookViewId="0">
      <selection activeCell="C8" sqref="C8"/>
    </sheetView>
  </sheetViews>
  <sheetFormatPr defaultRowHeight="15" x14ac:dyDescent="0.25"/>
  <cols>
    <col min="1" max="1" width="36.85546875" bestFit="1" customWidth="1"/>
    <col min="2" max="2" width="9.140625" bestFit="1" customWidth="1"/>
    <col min="3" max="3" width="18.5703125" bestFit="1" customWidth="1"/>
    <col min="4" max="5" width="13.7109375" customWidth="1"/>
    <col min="6" max="8" width="14.42578125" customWidth="1"/>
    <col min="9" max="9" width="8.28515625" customWidth="1"/>
  </cols>
  <sheetData>
    <row r="1" spans="1:10" s="43" customFormat="1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42"/>
    </row>
    <row r="2" spans="1:10" s="43" customFormat="1" x14ac:dyDescent="0.25">
      <c r="A2" s="218" t="s">
        <v>168</v>
      </c>
      <c r="B2" s="218"/>
      <c r="C2" s="218"/>
      <c r="D2" s="218"/>
      <c r="E2" s="218"/>
      <c r="F2" s="218"/>
      <c r="G2" s="218"/>
      <c r="H2" s="218"/>
      <c r="I2" s="218"/>
      <c r="J2" s="42"/>
    </row>
    <row r="3" spans="1:10" s="43" customFormat="1" x14ac:dyDescent="0.25">
      <c r="A3" s="218" t="s">
        <v>170</v>
      </c>
      <c r="B3" s="218"/>
      <c r="C3" s="218"/>
      <c r="D3" s="218"/>
      <c r="E3" s="218"/>
      <c r="F3" s="218"/>
      <c r="G3" s="218"/>
      <c r="H3" s="218"/>
      <c r="I3" s="218"/>
      <c r="J3" s="42"/>
    </row>
    <row r="4" spans="1:10" s="43" customFormat="1" x14ac:dyDescent="0.25">
      <c r="A4" s="218" t="s">
        <v>172</v>
      </c>
      <c r="B4" s="218"/>
      <c r="C4" s="218"/>
      <c r="D4" s="218"/>
      <c r="E4" s="218"/>
      <c r="F4" s="218"/>
      <c r="G4" s="218"/>
      <c r="H4" s="218"/>
      <c r="I4" s="218"/>
      <c r="J4" s="42"/>
    </row>
    <row r="5" spans="1:10" x14ac:dyDescent="0.25">
      <c r="D5" s="3"/>
      <c r="E5" s="3"/>
    </row>
    <row r="6" spans="1:10" x14ac:dyDescent="0.25">
      <c r="A6" s="3"/>
      <c r="B6" s="3"/>
      <c r="C6" s="3" t="s">
        <v>15</v>
      </c>
      <c r="D6" s="3" t="s">
        <v>5</v>
      </c>
      <c r="E6" s="3" t="s">
        <v>1</v>
      </c>
      <c r="F6" s="48" t="s">
        <v>15</v>
      </c>
      <c r="G6" s="48" t="s">
        <v>15</v>
      </c>
      <c r="H6" s="3" t="s">
        <v>171</v>
      </c>
      <c r="I6" s="3"/>
    </row>
    <row r="7" spans="1:10" x14ac:dyDescent="0.25">
      <c r="A7" s="3"/>
      <c r="B7" s="3" t="s">
        <v>17</v>
      </c>
      <c r="C7" s="3" t="s">
        <v>3</v>
      </c>
      <c r="D7" s="3" t="s">
        <v>171</v>
      </c>
      <c r="E7" s="3" t="s">
        <v>171</v>
      </c>
      <c r="F7" s="48" t="s">
        <v>2</v>
      </c>
      <c r="G7" s="48" t="s">
        <v>2</v>
      </c>
      <c r="H7" s="3" t="s">
        <v>2</v>
      </c>
      <c r="I7" s="3" t="s">
        <v>20</v>
      </c>
    </row>
    <row r="8" spans="1:10" x14ac:dyDescent="0.25">
      <c r="A8" s="104" t="s">
        <v>4</v>
      </c>
      <c r="B8" s="104" t="s">
        <v>21</v>
      </c>
      <c r="C8" s="71" t="str">
        <f>'Sch. 101'!$D$8</f>
        <v>12ME Dec. 2023</v>
      </c>
      <c r="D8" s="104" t="s">
        <v>22</v>
      </c>
      <c r="E8" s="104" t="s">
        <v>22</v>
      </c>
      <c r="F8" s="44" t="s">
        <v>23</v>
      </c>
      <c r="G8" s="44" t="s">
        <v>131</v>
      </c>
      <c r="H8" s="104" t="s">
        <v>24</v>
      </c>
      <c r="I8" s="104" t="s">
        <v>24</v>
      </c>
    </row>
    <row r="9" spans="1:10" x14ac:dyDescent="0.25">
      <c r="A9" t="s">
        <v>7</v>
      </c>
      <c r="B9" s="5" t="s">
        <v>30</v>
      </c>
      <c r="C9" s="47">
        <f>SUM(Therms_CY2023!P10,Therms_CY2023!P11)</f>
        <v>636369361</v>
      </c>
      <c r="D9" s="7">
        <v>-1.3699999999999999E-3</v>
      </c>
      <c r="E9" s="7">
        <v>-1.3699999999999999E-3</v>
      </c>
      <c r="F9" s="38">
        <f>C9*D9</f>
        <v>-871826.02456999989</v>
      </c>
      <c r="G9" s="38">
        <f>C9*E9</f>
        <v>-871826.02456999989</v>
      </c>
      <c r="H9" s="8">
        <f>G9-F9</f>
        <v>0</v>
      </c>
      <c r="I9" s="1">
        <f>-H9/F9</f>
        <v>0</v>
      </c>
    </row>
    <row r="10" spans="1:10" x14ac:dyDescent="0.25">
      <c r="A10" t="s">
        <v>31</v>
      </c>
      <c r="B10" s="5">
        <v>16</v>
      </c>
      <c r="C10" s="47">
        <f>Therms_CY2023!P9</f>
        <v>8832</v>
      </c>
      <c r="D10" s="7">
        <v>-1.3699999999999999E-3</v>
      </c>
      <c r="E10" s="7">
        <v>-1.3699999999999999E-3</v>
      </c>
      <c r="F10" s="38">
        <f t="shared" ref="F10:F20" si="0">C10*D10</f>
        <v>-12.099839999999999</v>
      </c>
      <c r="G10" s="38">
        <f t="shared" ref="G10:G21" si="1">C10*E10</f>
        <v>-12.099839999999999</v>
      </c>
      <c r="H10" s="8">
        <f t="shared" ref="H10:H21" si="2">G10-F10</f>
        <v>0</v>
      </c>
      <c r="I10" s="1">
        <f t="shared" ref="I10:I21" si="3">-H10/F10</f>
        <v>0</v>
      </c>
    </row>
    <row r="11" spans="1:10" x14ac:dyDescent="0.25">
      <c r="A11" t="s">
        <v>8</v>
      </c>
      <c r="B11" s="5">
        <v>31</v>
      </c>
      <c r="C11" s="47">
        <f>Therms_CY2023!P12</f>
        <v>243192248</v>
      </c>
      <c r="D11" s="7">
        <v>-1.47E-3</v>
      </c>
      <c r="E11" s="7">
        <v>-1.47E-3</v>
      </c>
      <c r="F11" s="38">
        <f t="shared" si="0"/>
        <v>-357492.60456000001</v>
      </c>
      <c r="G11" s="38">
        <f t="shared" si="1"/>
        <v>-357492.60456000001</v>
      </c>
      <c r="H11" s="8">
        <f t="shared" si="2"/>
        <v>0</v>
      </c>
      <c r="I11" s="1">
        <f t="shared" si="3"/>
        <v>0</v>
      </c>
    </row>
    <row r="12" spans="1:10" x14ac:dyDescent="0.25">
      <c r="A12" t="s">
        <v>9</v>
      </c>
      <c r="B12" s="5">
        <v>41</v>
      </c>
      <c r="C12" s="47">
        <f>Therms_CY2023!P13</f>
        <v>66922885</v>
      </c>
      <c r="D12" s="7">
        <v>-5.5999999999999995E-4</v>
      </c>
      <c r="E12" s="7">
        <v>-5.5999999999999995E-4</v>
      </c>
      <c r="F12" s="38">
        <f t="shared" si="0"/>
        <v>-37476.815599999994</v>
      </c>
      <c r="G12" s="38">
        <f t="shared" si="1"/>
        <v>-37476.815599999994</v>
      </c>
      <c r="H12" s="8">
        <f t="shared" si="2"/>
        <v>0</v>
      </c>
      <c r="I12" s="1">
        <f t="shared" si="3"/>
        <v>0</v>
      </c>
    </row>
    <row r="13" spans="1:10" x14ac:dyDescent="0.25">
      <c r="A13" t="s">
        <v>10</v>
      </c>
      <c r="B13" s="5">
        <v>85</v>
      </c>
      <c r="C13" s="47">
        <f>Therms_CY2023!P14</f>
        <v>11124640</v>
      </c>
      <c r="D13" s="7">
        <v>-2.7E-4</v>
      </c>
      <c r="E13" s="7">
        <v>-2.7E-4</v>
      </c>
      <c r="F13" s="38">
        <f t="shared" si="0"/>
        <v>-3003.6527999999998</v>
      </c>
      <c r="G13" s="38">
        <f t="shared" si="1"/>
        <v>-3003.6527999999998</v>
      </c>
      <c r="H13" s="8">
        <f t="shared" si="2"/>
        <v>0</v>
      </c>
      <c r="I13" s="1">
        <f t="shared" si="3"/>
        <v>0</v>
      </c>
    </row>
    <row r="14" spans="1:10" x14ac:dyDescent="0.25">
      <c r="A14" t="s">
        <v>11</v>
      </c>
      <c r="B14" s="5">
        <v>86</v>
      </c>
      <c r="C14" s="47">
        <f>Therms_CY2023!P15</f>
        <v>5691490</v>
      </c>
      <c r="D14" s="7">
        <v>-3.3E-4</v>
      </c>
      <c r="E14" s="7">
        <v>-3.3E-4</v>
      </c>
      <c r="F14" s="38">
        <f t="shared" si="0"/>
        <v>-1878.1917000000001</v>
      </c>
      <c r="G14" s="38">
        <f t="shared" si="1"/>
        <v>-1878.1917000000001</v>
      </c>
      <c r="H14" s="8">
        <f t="shared" si="2"/>
        <v>0</v>
      </c>
      <c r="I14" s="1">
        <f t="shared" si="3"/>
        <v>0</v>
      </c>
    </row>
    <row r="15" spans="1:10" x14ac:dyDescent="0.25">
      <c r="A15" t="s">
        <v>12</v>
      </c>
      <c r="B15" s="5">
        <v>87</v>
      </c>
      <c r="C15" s="47">
        <f>Therms_CY2023!P16</f>
        <v>21819455.762355205</v>
      </c>
      <c r="D15" s="7">
        <v>-1.3999999999999999E-4</v>
      </c>
      <c r="E15" s="7">
        <v>-1.3999999999999999E-4</v>
      </c>
      <c r="F15" s="38">
        <f t="shared" si="0"/>
        <v>-3054.7238067297285</v>
      </c>
      <c r="G15" s="38">
        <f t="shared" si="1"/>
        <v>-3054.7238067297285</v>
      </c>
      <c r="H15" s="8">
        <f t="shared" si="2"/>
        <v>0</v>
      </c>
      <c r="I15" s="1">
        <f t="shared" si="3"/>
        <v>0</v>
      </c>
    </row>
    <row r="16" spans="1:10" x14ac:dyDescent="0.25">
      <c r="A16" t="s">
        <v>32</v>
      </c>
      <c r="B16" s="5" t="s">
        <v>33</v>
      </c>
      <c r="C16" s="47">
        <f>Therms_CY2023!P17</f>
        <v>34397</v>
      </c>
      <c r="D16" s="7">
        <v>-1.47E-3</v>
      </c>
      <c r="E16" s="7">
        <v>-1.47E-3</v>
      </c>
      <c r="F16" s="38">
        <f t="shared" si="0"/>
        <v>-50.563589999999998</v>
      </c>
      <c r="G16" s="38">
        <f t="shared" si="1"/>
        <v>-50.563589999999998</v>
      </c>
      <c r="H16" s="8">
        <f t="shared" si="2"/>
        <v>0</v>
      </c>
      <c r="I16" s="1">
        <f t="shared" si="3"/>
        <v>0</v>
      </c>
    </row>
    <row r="17" spans="1:9" x14ac:dyDescent="0.25">
      <c r="A17" t="s">
        <v>34</v>
      </c>
      <c r="B17" t="s">
        <v>35</v>
      </c>
      <c r="C17" s="47">
        <f>Therms_CY2023!P18</f>
        <v>25464521</v>
      </c>
      <c r="D17" s="7">
        <v>-5.5999999999999995E-4</v>
      </c>
      <c r="E17" s="7">
        <v>-5.5999999999999995E-4</v>
      </c>
      <c r="F17" s="38">
        <f t="shared" si="0"/>
        <v>-14260.131759999998</v>
      </c>
      <c r="G17" s="38">
        <f t="shared" si="1"/>
        <v>-14260.131759999998</v>
      </c>
      <c r="H17" s="8">
        <f t="shared" si="2"/>
        <v>0</v>
      </c>
      <c r="I17" s="1">
        <f t="shared" si="3"/>
        <v>0</v>
      </c>
    </row>
    <row r="18" spans="1:9" x14ac:dyDescent="0.25">
      <c r="A18" t="s">
        <v>36</v>
      </c>
      <c r="B18" t="s">
        <v>37</v>
      </c>
      <c r="C18" s="47">
        <f>Therms_CY2023!P19</f>
        <v>62787518</v>
      </c>
      <c r="D18" s="7">
        <v>-2.7E-4</v>
      </c>
      <c r="E18" s="7">
        <v>-2.7E-4</v>
      </c>
      <c r="F18" s="38">
        <f t="shared" si="0"/>
        <v>-16952.629860000001</v>
      </c>
      <c r="G18" s="38">
        <f t="shared" si="1"/>
        <v>-16952.629860000001</v>
      </c>
      <c r="H18" s="8">
        <f t="shared" si="2"/>
        <v>0</v>
      </c>
      <c r="I18" s="1">
        <f t="shared" si="3"/>
        <v>0</v>
      </c>
    </row>
    <row r="19" spans="1:9" x14ac:dyDescent="0.25">
      <c r="A19" t="s">
        <v>38</v>
      </c>
      <c r="B19" t="s">
        <v>39</v>
      </c>
      <c r="C19" s="47">
        <f>Therms_CY2023!P20</f>
        <v>542409</v>
      </c>
      <c r="D19" s="7">
        <v>-3.3E-4</v>
      </c>
      <c r="E19" s="7">
        <v>-3.3E-4</v>
      </c>
      <c r="F19" s="38">
        <f t="shared" si="0"/>
        <v>-178.99497</v>
      </c>
      <c r="G19" s="38">
        <f t="shared" si="1"/>
        <v>-178.99497</v>
      </c>
      <c r="H19" s="8">
        <f t="shared" si="2"/>
        <v>0</v>
      </c>
      <c r="I19" s="1">
        <f t="shared" si="3"/>
        <v>0</v>
      </c>
    </row>
    <row r="20" spans="1:9" x14ac:dyDescent="0.25">
      <c r="A20" t="s">
        <v>40</v>
      </c>
      <c r="B20" t="s">
        <v>41</v>
      </c>
      <c r="C20" s="47">
        <f>Therms_CY2023!P21</f>
        <v>128953412.64547956</v>
      </c>
      <c r="D20" s="7">
        <v>-1.3999999999999999E-4</v>
      </c>
      <c r="E20" s="7">
        <v>-1.3999999999999999E-4</v>
      </c>
      <c r="F20" s="38">
        <f t="shared" si="0"/>
        <v>-18053.477770367135</v>
      </c>
      <c r="G20" s="38">
        <f t="shared" si="1"/>
        <v>-18053.477770367135</v>
      </c>
      <c r="H20" s="8">
        <f t="shared" si="2"/>
        <v>0</v>
      </c>
      <c r="I20" s="1">
        <f t="shared" si="3"/>
        <v>0</v>
      </c>
    </row>
    <row r="21" spans="1:9" x14ac:dyDescent="0.25">
      <c r="A21" t="s">
        <v>13</v>
      </c>
      <c r="C21" s="47">
        <f>Therms_CY2023!P22</f>
        <v>31066760</v>
      </c>
      <c r="D21" s="9">
        <v>-6.9999999999999994E-5</v>
      </c>
      <c r="E21" s="9">
        <v>-6.9999999999999994E-5</v>
      </c>
      <c r="F21" s="38">
        <f>C21*D21</f>
        <v>-2174.6731999999997</v>
      </c>
      <c r="G21" s="38">
        <f t="shared" si="1"/>
        <v>-2174.6731999999997</v>
      </c>
      <c r="H21" s="8">
        <f t="shared" si="2"/>
        <v>0</v>
      </c>
      <c r="I21" s="1">
        <f t="shared" si="3"/>
        <v>0</v>
      </c>
    </row>
    <row r="22" spans="1:9" x14ac:dyDescent="0.25">
      <c r="A22" t="s">
        <v>6</v>
      </c>
      <c r="C22" s="10">
        <f>SUM(C9:C21)</f>
        <v>1233977929.407835</v>
      </c>
      <c r="D22" s="6"/>
      <c r="E22" s="123"/>
      <c r="F22" s="39">
        <f t="shared" ref="F22:H22" si="4">SUM(F9:F21)</f>
        <v>-1326414.5840270973</v>
      </c>
      <c r="G22" s="39">
        <f t="shared" si="4"/>
        <v>-1326414.5840270973</v>
      </c>
      <c r="H22" s="11">
        <f t="shared" si="4"/>
        <v>0</v>
      </c>
      <c r="I22" s="2">
        <f>-H22/F22</f>
        <v>0</v>
      </c>
    </row>
    <row r="23" spans="1:9" x14ac:dyDescent="0.25">
      <c r="F23" s="8"/>
      <c r="G23" s="8"/>
    </row>
    <row r="24" spans="1:9" x14ac:dyDescent="0.25">
      <c r="C24" s="14"/>
      <c r="F24" s="8"/>
      <c r="G24" s="8"/>
    </row>
    <row r="25" spans="1:9" x14ac:dyDescent="0.25">
      <c r="A25" s="41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N92"/>
  <sheetViews>
    <sheetView zoomScale="90" zoomScaleNormal="90" workbookViewId="0">
      <pane ySplit="8" topLeftCell="A30" activePane="bottomLeft" state="frozen"/>
      <selection pane="bottomLeft" activeCell="D8" sqref="D8"/>
    </sheetView>
  </sheetViews>
  <sheetFormatPr defaultColWidth="9.140625" defaultRowHeight="15" x14ac:dyDescent="0.25"/>
  <cols>
    <col min="1" max="1" width="2.5703125" customWidth="1"/>
    <col min="2" max="2" width="26.42578125" customWidth="1"/>
    <col min="3" max="3" width="8.7109375" bestFit="1" customWidth="1"/>
    <col min="4" max="4" width="18.5703125" bestFit="1" customWidth="1"/>
    <col min="5" max="6" width="13.7109375" customWidth="1"/>
    <col min="7" max="8" width="14.42578125" customWidth="1"/>
    <col min="9" max="9" width="16" bestFit="1" customWidth="1"/>
    <col min="10" max="10" width="8.28515625" customWidth="1"/>
    <col min="13" max="14" width="11.28515625" bestFit="1" customWidth="1"/>
    <col min="15" max="15" width="9.7109375" bestFit="1" customWidth="1"/>
  </cols>
  <sheetData>
    <row r="1" spans="1:14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4" x14ac:dyDescent="0.25">
      <c r="A2" s="218" t="s">
        <v>156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4" x14ac:dyDescent="0.25">
      <c r="A3" s="218" t="s">
        <v>157</v>
      </c>
      <c r="B3" s="218"/>
      <c r="C3" s="218"/>
      <c r="D3" s="218"/>
      <c r="E3" s="218"/>
      <c r="F3" s="218"/>
      <c r="G3" s="218"/>
      <c r="H3" s="218"/>
      <c r="I3" s="218"/>
      <c r="J3" s="218"/>
    </row>
    <row r="4" spans="1:14" x14ac:dyDescent="0.25">
      <c r="A4" s="218" t="s">
        <v>174</v>
      </c>
      <c r="B4" s="218"/>
      <c r="C4" s="218"/>
      <c r="D4" s="218"/>
      <c r="E4" s="218"/>
      <c r="F4" s="218"/>
      <c r="G4" s="218"/>
      <c r="H4" s="218"/>
      <c r="I4" s="218"/>
      <c r="J4" s="218"/>
    </row>
    <row r="5" spans="1:14" x14ac:dyDescent="0.25">
      <c r="A5" s="3"/>
      <c r="B5" s="3"/>
      <c r="C5" s="3"/>
      <c r="D5" s="3"/>
      <c r="E5" s="3"/>
      <c r="F5" s="3"/>
      <c r="G5" s="3"/>
      <c r="H5" s="3"/>
    </row>
    <row r="6" spans="1:14" ht="15" customHeight="1" x14ac:dyDescent="0.25">
      <c r="C6" s="3"/>
      <c r="D6" s="3" t="s">
        <v>15</v>
      </c>
      <c r="E6" s="3" t="s">
        <v>5</v>
      </c>
      <c r="F6" s="3" t="s">
        <v>1</v>
      </c>
      <c r="G6" s="48" t="s">
        <v>15</v>
      </c>
      <c r="H6" s="48" t="s">
        <v>15</v>
      </c>
      <c r="I6" s="3" t="s">
        <v>134</v>
      </c>
    </row>
    <row r="7" spans="1:14" ht="15" customHeight="1" x14ac:dyDescent="0.25">
      <c r="C7" s="3" t="s">
        <v>17</v>
      </c>
      <c r="D7" s="3" t="s">
        <v>3</v>
      </c>
      <c r="E7" s="3" t="s">
        <v>51</v>
      </c>
      <c r="F7" s="3" t="s">
        <v>51</v>
      </c>
      <c r="G7" s="48" t="s">
        <v>2</v>
      </c>
      <c r="H7" s="48" t="s">
        <v>2</v>
      </c>
      <c r="I7" s="3" t="s">
        <v>52</v>
      </c>
      <c r="J7" s="3" t="s">
        <v>20</v>
      </c>
    </row>
    <row r="8" spans="1:14" x14ac:dyDescent="0.25">
      <c r="A8" s="109" t="s">
        <v>81</v>
      </c>
      <c r="B8" s="109"/>
      <c r="C8" s="80" t="s">
        <v>21</v>
      </c>
      <c r="D8" s="71" t="str">
        <f>'Sch. 101'!$D$8</f>
        <v>12ME Dec. 2023</v>
      </c>
      <c r="E8" s="80" t="s">
        <v>22</v>
      </c>
      <c r="F8" s="80" t="s">
        <v>22</v>
      </c>
      <c r="G8" s="44" t="s">
        <v>23</v>
      </c>
      <c r="H8" s="44" t="s">
        <v>131</v>
      </c>
      <c r="I8" s="104" t="s">
        <v>122</v>
      </c>
      <c r="J8" s="104" t="s">
        <v>24</v>
      </c>
    </row>
    <row r="9" spans="1:14" x14ac:dyDescent="0.25">
      <c r="A9" s="3"/>
      <c r="B9" s="3"/>
      <c r="C9" s="3"/>
      <c r="D9" s="110"/>
      <c r="E9" s="3"/>
      <c r="F9" s="3"/>
      <c r="G9" s="3"/>
      <c r="H9" s="3"/>
    </row>
    <row r="10" spans="1:14" x14ac:dyDescent="0.25">
      <c r="A10" t="s">
        <v>7</v>
      </c>
      <c r="C10" s="3" t="s">
        <v>53</v>
      </c>
      <c r="D10" s="47">
        <f>SUM(Therms_CY2023!P10,Therms_CY2023!P11)</f>
        <v>636369361</v>
      </c>
      <c r="E10" s="98">
        <v>2.2519999999999998E-2</v>
      </c>
      <c r="F10" s="98">
        <v>2.2519999999999998E-2</v>
      </c>
      <c r="G10" s="40">
        <f>ROUND(E10*D10,2)</f>
        <v>14331038.01</v>
      </c>
      <c r="H10" s="40">
        <f>ROUND(F10*D10,2)</f>
        <v>14331038.01</v>
      </c>
      <c r="I10" s="40">
        <f>H10-G10</f>
        <v>0</v>
      </c>
      <c r="J10" s="1">
        <f>I10/G10</f>
        <v>0</v>
      </c>
      <c r="L10" s="40"/>
      <c r="M10" s="40"/>
      <c r="N10" s="40"/>
    </row>
    <row r="11" spans="1:14" x14ac:dyDescent="0.25">
      <c r="C11" s="3"/>
      <c r="D11" s="77"/>
      <c r="E11" s="98"/>
      <c r="F11" s="98"/>
      <c r="G11" s="40"/>
      <c r="H11" s="40"/>
      <c r="I11" s="40"/>
      <c r="L11" s="40"/>
      <c r="M11" s="40"/>
      <c r="N11" s="40"/>
    </row>
    <row r="12" spans="1:14" x14ac:dyDescent="0.25">
      <c r="A12" t="s">
        <v>54</v>
      </c>
      <c r="C12" s="3">
        <v>31</v>
      </c>
      <c r="L12" s="40"/>
      <c r="M12" s="40"/>
      <c r="N12" s="40"/>
    </row>
    <row r="13" spans="1:14" x14ac:dyDescent="0.25">
      <c r="B13" t="s">
        <v>57</v>
      </c>
      <c r="C13" s="3"/>
      <c r="D13" s="47">
        <f>Therms_CY2023!$P$12</f>
        <v>243192248</v>
      </c>
      <c r="E13" s="98">
        <v>3.117E-2</v>
      </c>
      <c r="F13" s="98">
        <v>3.117E-2</v>
      </c>
      <c r="G13" s="40">
        <f>ROUND(E13*D13,2)</f>
        <v>7580302.3700000001</v>
      </c>
      <c r="H13" s="40">
        <f t="shared" ref="H13:H14" si="0">ROUND(F13*D13,2)</f>
        <v>7580302.3700000001</v>
      </c>
      <c r="I13" s="40">
        <f t="shared" ref="I13:I14" si="1">H13-G13</f>
        <v>0</v>
      </c>
      <c r="J13" s="1">
        <f t="shared" ref="J13:J15" si="2">I13/G13</f>
        <v>0</v>
      </c>
      <c r="L13" s="40"/>
      <c r="M13" s="40"/>
      <c r="N13" s="40"/>
    </row>
    <row r="14" spans="1:14" x14ac:dyDescent="0.25">
      <c r="B14" t="s">
        <v>61</v>
      </c>
      <c r="C14" s="3"/>
      <c r="D14" s="47">
        <f>Therms_CY2023!$P$12</f>
        <v>243192248</v>
      </c>
      <c r="E14" s="98">
        <v>1.1100000000000001E-3</v>
      </c>
      <c r="F14" s="98">
        <v>1.1100000000000001E-3</v>
      </c>
      <c r="G14" s="40">
        <f>ROUND(E14*D14,2)</f>
        <v>269943.40000000002</v>
      </c>
      <c r="H14" s="40">
        <f t="shared" si="0"/>
        <v>269943.40000000002</v>
      </c>
      <c r="I14" s="40">
        <f t="shared" si="1"/>
        <v>0</v>
      </c>
      <c r="J14" s="1">
        <f t="shared" si="2"/>
        <v>0</v>
      </c>
      <c r="L14" s="40"/>
      <c r="M14" s="40"/>
      <c r="N14" s="40"/>
    </row>
    <row r="15" spans="1:14" x14ac:dyDescent="0.25">
      <c r="B15" t="s">
        <v>6</v>
      </c>
      <c r="C15" s="3"/>
      <c r="D15" s="47"/>
      <c r="E15" s="98"/>
      <c r="F15" s="98"/>
      <c r="G15" s="79">
        <f>SUM(G13:G14)</f>
        <v>7850245.7700000005</v>
      </c>
      <c r="H15" s="79">
        <f t="shared" ref="H15:I15" si="3">SUM(H13:H14)</f>
        <v>7850245.7700000005</v>
      </c>
      <c r="I15" s="79">
        <f t="shared" si="3"/>
        <v>0</v>
      </c>
      <c r="J15" s="2">
        <f t="shared" si="2"/>
        <v>0</v>
      </c>
      <c r="L15" s="40"/>
      <c r="M15" s="40"/>
      <c r="N15" s="40"/>
    </row>
    <row r="16" spans="1:14" x14ac:dyDescent="0.25">
      <c r="C16" s="3"/>
      <c r="D16" s="77"/>
      <c r="E16" s="98"/>
      <c r="F16" s="98"/>
      <c r="G16" s="40"/>
      <c r="H16" s="40"/>
      <c r="I16" s="40"/>
      <c r="L16" s="40"/>
      <c r="M16" s="40"/>
      <c r="N16" s="40"/>
    </row>
    <row r="17" spans="1:14" x14ac:dyDescent="0.25">
      <c r="A17" t="s">
        <v>110</v>
      </c>
      <c r="C17" s="3" t="s">
        <v>33</v>
      </c>
      <c r="D17" s="77"/>
      <c r="E17" s="98"/>
      <c r="F17" s="98"/>
      <c r="G17" s="40"/>
      <c r="H17" s="40"/>
      <c r="I17" s="40"/>
      <c r="L17" s="40"/>
      <c r="M17" s="40"/>
      <c r="N17" s="40"/>
    </row>
    <row r="18" spans="1:14" x14ac:dyDescent="0.25">
      <c r="B18" t="s">
        <v>57</v>
      </c>
      <c r="C18" s="3"/>
      <c r="D18" s="47">
        <f>Therms_CY2023!P17</f>
        <v>34397</v>
      </c>
      <c r="E18" s="98">
        <v>3.117E-2</v>
      </c>
      <c r="F18" s="98">
        <v>3.117E-2</v>
      </c>
      <c r="G18" s="40">
        <f>ROUND(E18*D18,2)</f>
        <v>1072.1500000000001</v>
      </c>
      <c r="H18" s="40">
        <f t="shared" ref="H18" si="4">ROUND(F18*D18,2)</f>
        <v>1072.1500000000001</v>
      </c>
      <c r="I18" s="40">
        <f t="shared" ref="I18" si="5">H18-G18</f>
        <v>0</v>
      </c>
      <c r="J18" s="1">
        <f t="shared" ref="J18" si="6">I18/G18</f>
        <v>0</v>
      </c>
      <c r="L18" s="40"/>
      <c r="M18" s="40"/>
      <c r="N18" s="40"/>
    </row>
    <row r="19" spans="1:14" x14ac:dyDescent="0.25">
      <c r="C19" s="3"/>
      <c r="D19" s="77"/>
      <c r="E19" s="98"/>
      <c r="F19" s="98"/>
      <c r="G19" s="40"/>
      <c r="H19" s="40"/>
      <c r="I19" s="40"/>
      <c r="L19" s="40"/>
      <c r="M19" s="40"/>
      <c r="N19" s="40"/>
    </row>
    <row r="20" spans="1:14" x14ac:dyDescent="0.25">
      <c r="A20" t="s">
        <v>55</v>
      </c>
      <c r="C20" s="3">
        <v>41</v>
      </c>
      <c r="D20" s="47"/>
      <c r="E20" s="98"/>
      <c r="F20" s="98"/>
      <c r="G20" s="40"/>
      <c r="H20" s="40"/>
      <c r="I20" s="40"/>
      <c r="L20" s="40"/>
      <c r="M20" s="40"/>
      <c r="N20" s="40"/>
    </row>
    <row r="21" spans="1:14" x14ac:dyDescent="0.25">
      <c r="B21" t="s">
        <v>56</v>
      </c>
      <c r="C21" s="3"/>
      <c r="D21" s="47">
        <f>'12ME Dec 2023 Data'!N12</f>
        <v>4682844</v>
      </c>
      <c r="E21" s="99">
        <v>-0.13</v>
      </c>
      <c r="F21" s="99">
        <v>-0.13</v>
      </c>
      <c r="G21" s="40">
        <f>ROUND(E21*D21,2)</f>
        <v>-608769.72</v>
      </c>
      <c r="H21" s="40">
        <f t="shared" ref="H21:H22" si="7">ROUND(F21*D21,2)</f>
        <v>-608769.72</v>
      </c>
      <c r="I21" s="40">
        <f t="shared" ref="I21:I22" si="8">H21-G21</f>
        <v>0</v>
      </c>
      <c r="J21" s="1">
        <f t="shared" ref="J21:J27" si="9">I21/G21</f>
        <v>0</v>
      </c>
      <c r="L21" s="40"/>
      <c r="M21" s="40"/>
      <c r="N21" s="40"/>
    </row>
    <row r="22" spans="1:14" x14ac:dyDescent="0.25">
      <c r="B22" t="s">
        <v>61</v>
      </c>
      <c r="C22" s="3"/>
      <c r="D22" s="47">
        <f>Therms_CY2023!P13</f>
        <v>66922885</v>
      </c>
      <c r="E22" s="98">
        <v>-1.0200000000000001E-3</v>
      </c>
      <c r="F22" s="98">
        <v>-1.0200000000000001E-3</v>
      </c>
      <c r="G22" s="40">
        <f>ROUND(E22*D22,2)</f>
        <v>-68261.34</v>
      </c>
      <c r="H22" s="40">
        <f t="shared" si="7"/>
        <v>-68261.34</v>
      </c>
      <c r="I22" s="40">
        <f t="shared" si="8"/>
        <v>0</v>
      </c>
      <c r="J22" s="1">
        <f t="shared" si="9"/>
        <v>0</v>
      </c>
      <c r="L22" s="40"/>
      <c r="M22" s="40"/>
      <c r="N22" s="40"/>
    </row>
    <row r="23" spans="1:14" x14ac:dyDescent="0.25">
      <c r="B23" t="s">
        <v>57</v>
      </c>
      <c r="C23" s="3"/>
      <c r="D23" s="47"/>
      <c r="E23" s="98"/>
      <c r="F23" s="98"/>
      <c r="G23" s="40"/>
      <c r="H23" s="40"/>
      <c r="I23" s="40"/>
      <c r="J23" s="1"/>
      <c r="L23" s="40"/>
      <c r="M23" s="40"/>
      <c r="N23" s="40"/>
    </row>
    <row r="24" spans="1:14" x14ac:dyDescent="0.25">
      <c r="B24" t="s">
        <v>145</v>
      </c>
      <c r="C24" s="3"/>
      <c r="D24" s="47">
        <f>Therms_CY2023!$P$13*'12ME Dec 2023 Therms by Block%'!N7</f>
        <v>13187913.909797862</v>
      </c>
      <c r="E24" s="98">
        <v>0</v>
      </c>
      <c r="F24" s="98">
        <v>0</v>
      </c>
      <c r="G24" s="40">
        <f>ROUND(E24*D24,2)</f>
        <v>0</v>
      </c>
      <c r="H24" s="40">
        <f t="shared" ref="H24:H26" si="10">ROUND(F24*D24,2)</f>
        <v>0</v>
      </c>
      <c r="I24" s="40">
        <f t="shared" ref="I24:I26" si="11">H24-G24</f>
        <v>0</v>
      </c>
      <c r="J24" s="1"/>
      <c r="L24" s="40"/>
      <c r="M24" s="40"/>
      <c r="N24" s="40"/>
    </row>
    <row r="25" spans="1:14" x14ac:dyDescent="0.25">
      <c r="B25" t="s">
        <v>58</v>
      </c>
      <c r="C25" s="3"/>
      <c r="D25" s="47">
        <f>Therms_CY2023!$P$13*'12ME Dec 2023 Therms by Block%'!N8</f>
        <v>29570821.950464174</v>
      </c>
      <c r="E25" s="98">
        <v>-1.404E-2</v>
      </c>
      <c r="F25" s="98">
        <v>-1.404E-2</v>
      </c>
      <c r="G25" s="40">
        <f>ROUND(E25*D25,2)</f>
        <v>-415174.34</v>
      </c>
      <c r="H25" s="40">
        <f t="shared" si="10"/>
        <v>-415174.34</v>
      </c>
      <c r="I25" s="40">
        <f t="shared" si="11"/>
        <v>0</v>
      </c>
      <c r="J25" s="1">
        <f t="shared" si="9"/>
        <v>0</v>
      </c>
      <c r="L25" s="40"/>
      <c r="M25" s="40"/>
      <c r="N25" s="40"/>
    </row>
    <row r="26" spans="1:14" x14ac:dyDescent="0.25">
      <c r="B26" t="s">
        <v>59</v>
      </c>
      <c r="C26" s="3"/>
      <c r="D26" s="47">
        <f>Therms_CY2023!$P$13*'12ME Dec 2023 Therms by Block%'!N9</f>
        <v>24164149.139737967</v>
      </c>
      <c r="E26" s="98">
        <v>-1.1299999999999999E-2</v>
      </c>
      <c r="F26" s="98">
        <v>-1.1299999999999999E-2</v>
      </c>
      <c r="G26" s="40">
        <f>ROUND(E26*D26,2)</f>
        <v>-273054.89</v>
      </c>
      <c r="H26" s="40">
        <f t="shared" si="10"/>
        <v>-273054.89</v>
      </c>
      <c r="I26" s="40">
        <f t="shared" si="11"/>
        <v>0</v>
      </c>
      <c r="J26" s="1">
        <f t="shared" si="9"/>
        <v>0</v>
      </c>
      <c r="L26" s="40"/>
      <c r="M26" s="40"/>
      <c r="N26" s="40"/>
    </row>
    <row r="27" spans="1:14" x14ac:dyDescent="0.25">
      <c r="B27" t="s">
        <v>6</v>
      </c>
      <c r="C27" s="3"/>
      <c r="D27" s="47"/>
      <c r="E27" s="98"/>
      <c r="F27" s="98"/>
      <c r="G27" s="79">
        <f>SUM(G21:G26)</f>
        <v>-1365260.29</v>
      </c>
      <c r="H27" s="79">
        <f t="shared" ref="H27:I27" si="12">SUM(H21:H26)</f>
        <v>-1365260.29</v>
      </c>
      <c r="I27" s="79">
        <f t="shared" si="12"/>
        <v>0</v>
      </c>
      <c r="J27" s="2">
        <f t="shared" si="9"/>
        <v>0</v>
      </c>
      <c r="L27" s="40"/>
      <c r="M27" s="40"/>
      <c r="N27" s="40"/>
    </row>
    <row r="28" spans="1:14" x14ac:dyDescent="0.25">
      <c r="C28" s="3"/>
      <c r="D28" s="77"/>
      <c r="E28" s="98"/>
      <c r="F28" s="98"/>
      <c r="G28" s="40"/>
      <c r="H28" s="40"/>
      <c r="I28" s="40"/>
      <c r="L28" s="40"/>
      <c r="M28" s="40"/>
      <c r="N28" s="40"/>
    </row>
    <row r="29" spans="1:14" x14ac:dyDescent="0.25">
      <c r="A29" t="s">
        <v>60</v>
      </c>
      <c r="C29" s="3" t="s">
        <v>35</v>
      </c>
      <c r="D29" s="47"/>
      <c r="E29" s="98"/>
      <c r="F29" s="98"/>
      <c r="G29" s="40"/>
      <c r="H29" s="40"/>
      <c r="I29" s="40"/>
      <c r="L29" s="40"/>
      <c r="M29" s="40"/>
      <c r="N29" s="40"/>
    </row>
    <row r="30" spans="1:14" x14ac:dyDescent="0.25">
      <c r="B30" t="s">
        <v>56</v>
      </c>
      <c r="C30" s="3"/>
      <c r="D30" s="47">
        <f>'12ME Dec 2023 Data'!N13</f>
        <v>1092876</v>
      </c>
      <c r="E30" s="99">
        <v>-0.13</v>
      </c>
      <c r="F30" s="99">
        <v>-0.13</v>
      </c>
      <c r="G30" s="40">
        <f>ROUND(E30*D30,2)</f>
        <v>-142073.88</v>
      </c>
      <c r="H30" s="40">
        <f t="shared" ref="H30" si="13">ROUND(F30*D30,2)</f>
        <v>-142073.88</v>
      </c>
      <c r="I30" s="40">
        <f t="shared" ref="I30" si="14">H30-G30</f>
        <v>0</v>
      </c>
      <c r="J30" s="1">
        <f t="shared" ref="J30" si="15">I30/G30</f>
        <v>0</v>
      </c>
      <c r="L30" s="40"/>
      <c r="M30" s="40"/>
      <c r="N30" s="40"/>
    </row>
    <row r="31" spans="1:14" x14ac:dyDescent="0.25">
      <c r="B31" t="s">
        <v>57</v>
      </c>
      <c r="C31" s="3"/>
      <c r="D31" s="47"/>
      <c r="E31" s="98"/>
      <c r="F31" s="98"/>
      <c r="G31" s="40"/>
      <c r="H31" s="40"/>
      <c r="I31" s="40"/>
      <c r="L31" s="40"/>
      <c r="M31" s="40"/>
      <c r="N31" s="40"/>
    </row>
    <row r="32" spans="1:14" x14ac:dyDescent="0.25">
      <c r="B32" t="s">
        <v>145</v>
      </c>
      <c r="C32" s="3"/>
      <c r="D32" s="47">
        <f>Therms_CY2023!$P$18*'12ME Dec 2023 Therms by Block%'!N13</f>
        <v>1425917.3695433964</v>
      </c>
      <c r="E32" s="98">
        <v>0</v>
      </c>
      <c r="F32" s="98">
        <v>0</v>
      </c>
      <c r="G32" s="40">
        <f>ROUND(E32*D32,2)</f>
        <v>0</v>
      </c>
      <c r="H32" s="40">
        <f t="shared" ref="H32" si="16">ROUND(F32*D32,2)</f>
        <v>0</v>
      </c>
      <c r="I32" s="40">
        <f t="shared" ref="I32" si="17">H32-G32</f>
        <v>0</v>
      </c>
      <c r="J32" s="1"/>
      <c r="L32" s="40"/>
      <c r="M32" s="40"/>
      <c r="N32" s="40"/>
    </row>
    <row r="33" spans="1:14" x14ac:dyDescent="0.25">
      <c r="B33" t="s">
        <v>58</v>
      </c>
      <c r="C33" s="3"/>
      <c r="D33" s="47">
        <f>Therms_CY2023!$P$18*'12ME Dec 2023 Therms by Block%'!N14</f>
        <v>5201192.5123006459</v>
      </c>
      <c r="E33" s="98">
        <v>-1.404E-2</v>
      </c>
      <c r="F33" s="98">
        <v>-1.404E-2</v>
      </c>
      <c r="G33" s="40">
        <f>ROUND(E33*D33,2)</f>
        <v>-73024.740000000005</v>
      </c>
      <c r="H33" s="40">
        <f t="shared" ref="H33:H34" si="18">ROUND(F33*D33,2)</f>
        <v>-73024.740000000005</v>
      </c>
      <c r="I33" s="40">
        <f t="shared" ref="I33:I34" si="19">H33-G33</f>
        <v>0</v>
      </c>
      <c r="J33" s="1">
        <f t="shared" ref="J33:J35" si="20">I33/G33</f>
        <v>0</v>
      </c>
      <c r="L33" s="40"/>
      <c r="M33" s="40"/>
      <c r="N33" s="40"/>
    </row>
    <row r="34" spans="1:14" x14ac:dyDescent="0.25">
      <c r="B34" t="s">
        <v>59</v>
      </c>
      <c r="C34" s="3"/>
      <c r="D34" s="47">
        <f>Therms_CY2023!$P$18*'12ME Dec 2023 Therms by Block%'!N15</f>
        <v>18837411.118155956</v>
      </c>
      <c r="E34" s="98">
        <v>-1.1299999999999999E-2</v>
      </c>
      <c r="F34" s="98">
        <v>-1.1299999999999999E-2</v>
      </c>
      <c r="G34" s="40">
        <f>ROUND(E34*D34,2)</f>
        <v>-212862.75</v>
      </c>
      <c r="H34" s="40">
        <f t="shared" si="18"/>
        <v>-212862.75</v>
      </c>
      <c r="I34" s="40">
        <f t="shared" si="19"/>
        <v>0</v>
      </c>
      <c r="J34" s="1">
        <f t="shared" si="20"/>
        <v>0</v>
      </c>
      <c r="L34" s="40"/>
      <c r="M34" s="40"/>
      <c r="N34" s="40"/>
    </row>
    <row r="35" spans="1:14" x14ac:dyDescent="0.25">
      <c r="B35" t="s">
        <v>6</v>
      </c>
      <c r="C35" s="3"/>
      <c r="D35" s="47"/>
      <c r="E35" s="98"/>
      <c r="F35" s="98"/>
      <c r="G35" s="79">
        <f>SUM(G30:G34)</f>
        <v>-427961.37</v>
      </c>
      <c r="H35" s="79">
        <f>SUM(H30:H34)</f>
        <v>-427961.37</v>
      </c>
      <c r="I35" s="79">
        <f>SUM(I30:I34)</f>
        <v>0</v>
      </c>
      <c r="J35" s="2">
        <f t="shared" si="20"/>
        <v>0</v>
      </c>
      <c r="L35" s="40"/>
      <c r="M35" s="40"/>
      <c r="N35" s="40"/>
    </row>
    <row r="36" spans="1:14" x14ac:dyDescent="0.25">
      <c r="C36" s="3"/>
      <c r="D36" s="77"/>
      <c r="E36" s="98"/>
      <c r="F36" s="98"/>
      <c r="G36" s="40"/>
      <c r="H36" s="40"/>
      <c r="I36" s="40"/>
      <c r="L36" s="40"/>
      <c r="M36" s="40"/>
      <c r="N36" s="40"/>
    </row>
    <row r="37" spans="1:14" x14ac:dyDescent="0.25">
      <c r="A37" t="s">
        <v>11</v>
      </c>
      <c r="C37" s="3">
        <v>86</v>
      </c>
      <c r="D37" s="77"/>
      <c r="E37" s="98"/>
      <c r="F37" s="98"/>
      <c r="G37" s="40"/>
      <c r="H37" s="40"/>
      <c r="I37" s="40"/>
      <c r="L37" s="40"/>
      <c r="M37" s="40"/>
      <c r="N37" s="40"/>
    </row>
    <row r="38" spans="1:14" x14ac:dyDescent="0.25">
      <c r="B38" t="s">
        <v>56</v>
      </c>
      <c r="C38" s="3"/>
      <c r="D38" s="47">
        <f>'12ME Dec 2023 Data'!N16</f>
        <v>38184</v>
      </c>
      <c r="E38" s="99">
        <v>-0.14000000000000001</v>
      </c>
      <c r="F38" s="99">
        <v>-0.14000000000000001</v>
      </c>
      <c r="G38" s="40">
        <f>ROUND(E38*D38,2)</f>
        <v>-5345.76</v>
      </c>
      <c r="H38" s="40">
        <f t="shared" ref="H38:H39" si="21">ROUND(F38*D38,2)</f>
        <v>-5345.76</v>
      </c>
      <c r="I38" s="40">
        <f t="shared" ref="I38:I39" si="22">H38-G38</f>
        <v>0</v>
      </c>
      <c r="J38" s="1">
        <f t="shared" ref="J38:J39" si="23">I38/G38</f>
        <v>0</v>
      </c>
      <c r="L38" s="40"/>
      <c r="M38" s="40"/>
      <c r="N38" s="40"/>
    </row>
    <row r="39" spans="1:14" x14ac:dyDescent="0.25">
      <c r="B39" t="s">
        <v>61</v>
      </c>
      <c r="C39" s="3"/>
      <c r="D39" s="47">
        <f>Therms_CY2023!P15</f>
        <v>5691490</v>
      </c>
      <c r="E39" s="98">
        <v>-1.24E-3</v>
      </c>
      <c r="F39" s="98">
        <v>-1.24E-3</v>
      </c>
      <c r="G39" s="40">
        <f>ROUND(E39*D39,2)</f>
        <v>-7057.45</v>
      </c>
      <c r="H39" s="40">
        <f t="shared" si="21"/>
        <v>-7057.45</v>
      </c>
      <c r="I39" s="40">
        <f t="shared" si="22"/>
        <v>0</v>
      </c>
      <c r="J39" s="1">
        <f t="shared" si="23"/>
        <v>0</v>
      </c>
      <c r="L39" s="40"/>
      <c r="M39" s="40"/>
      <c r="N39" s="40"/>
    </row>
    <row r="40" spans="1:14" x14ac:dyDescent="0.25">
      <c r="B40" t="s">
        <v>57</v>
      </c>
      <c r="C40" s="3"/>
      <c r="D40" s="77"/>
      <c r="E40" s="98"/>
      <c r="F40" s="98"/>
      <c r="G40" s="40"/>
      <c r="H40" s="40"/>
      <c r="I40" s="40"/>
      <c r="L40" s="40"/>
      <c r="M40" s="40"/>
      <c r="N40" s="40"/>
    </row>
    <row r="41" spans="1:14" x14ac:dyDescent="0.25">
      <c r="B41" t="s">
        <v>65</v>
      </c>
      <c r="C41" s="3"/>
      <c r="D41" s="47">
        <f>Therms_CY2023!P15*'12ME Dec 2023 Therms by Block%'!N31</f>
        <v>1046420.0203360041</v>
      </c>
      <c r="E41" s="98">
        <v>-1.847E-2</v>
      </c>
      <c r="F41" s="98">
        <v>-1.847E-2</v>
      </c>
      <c r="G41" s="40">
        <f>ROUND(E41*D41,2)</f>
        <v>-19327.38</v>
      </c>
      <c r="H41" s="40">
        <f t="shared" ref="H41:H42" si="24">ROUND(F41*D41,2)</f>
        <v>-19327.38</v>
      </c>
      <c r="I41" s="40">
        <f t="shared" ref="I41:I42" si="25">H41-G41</f>
        <v>0</v>
      </c>
      <c r="J41" s="1">
        <f t="shared" ref="J41:J43" si="26">I41/G41</f>
        <v>0</v>
      </c>
      <c r="L41" s="40"/>
      <c r="M41" s="40"/>
      <c r="N41" s="40"/>
    </row>
    <row r="42" spans="1:14" x14ac:dyDescent="0.25">
      <c r="B42" t="s">
        <v>66</v>
      </c>
      <c r="C42" s="3"/>
      <c r="D42" s="47">
        <f>Therms_CY2023!P15*'12ME Dec 2023 Therms by Block%'!N32</f>
        <v>4645069.979663996</v>
      </c>
      <c r="E42" s="98">
        <v>-1.3089999999999999E-2</v>
      </c>
      <c r="F42" s="98">
        <v>-1.3089999999999999E-2</v>
      </c>
      <c r="G42" s="40">
        <f>ROUND(E42*D42,2)</f>
        <v>-60803.97</v>
      </c>
      <c r="H42" s="40">
        <f t="shared" si="24"/>
        <v>-60803.97</v>
      </c>
      <c r="I42" s="40">
        <f t="shared" si="25"/>
        <v>0</v>
      </c>
      <c r="J42" s="1">
        <f t="shared" si="26"/>
        <v>0</v>
      </c>
      <c r="L42" s="40"/>
      <c r="M42" s="40"/>
      <c r="N42" s="40"/>
    </row>
    <row r="43" spans="1:14" x14ac:dyDescent="0.25">
      <c r="B43" t="s">
        <v>6</v>
      </c>
      <c r="C43" s="3"/>
      <c r="D43" s="47"/>
      <c r="E43" s="98"/>
      <c r="F43" s="98"/>
      <c r="G43" s="79">
        <f>SUM(G38:G42)</f>
        <v>-92534.56</v>
      </c>
      <c r="H43" s="79">
        <f t="shared" ref="H43:I43" si="27">SUM(H38:H42)</f>
        <v>-92534.56</v>
      </c>
      <c r="I43" s="79">
        <f t="shared" si="27"/>
        <v>0</v>
      </c>
      <c r="J43" s="2">
        <f t="shared" si="26"/>
        <v>0</v>
      </c>
      <c r="L43" s="40"/>
      <c r="M43" s="40"/>
      <c r="N43" s="40"/>
    </row>
    <row r="44" spans="1:14" x14ac:dyDescent="0.25">
      <c r="C44" s="3"/>
      <c r="D44" s="47"/>
      <c r="E44" s="98"/>
      <c r="F44" s="98"/>
      <c r="G44" s="40"/>
      <c r="H44" s="40"/>
      <c r="I44" s="40"/>
      <c r="L44" s="40"/>
      <c r="M44" s="40"/>
      <c r="N44" s="40"/>
    </row>
    <row r="45" spans="1:14" x14ac:dyDescent="0.25">
      <c r="A45" t="s">
        <v>67</v>
      </c>
      <c r="C45" s="3" t="s">
        <v>39</v>
      </c>
      <c r="D45" s="77"/>
      <c r="E45" s="98"/>
      <c r="F45" s="98"/>
      <c r="G45" s="40"/>
      <c r="H45" s="40"/>
      <c r="I45" s="40"/>
      <c r="L45" s="40"/>
      <c r="M45" s="40"/>
      <c r="N45" s="40"/>
    </row>
    <row r="46" spans="1:14" x14ac:dyDescent="0.25">
      <c r="B46" t="s">
        <v>56</v>
      </c>
      <c r="C46" s="3"/>
      <c r="D46" s="47">
        <f>'12ME Dec 2023 Data'!N17</f>
        <v>19344</v>
      </c>
      <c r="E46" s="99">
        <v>-0.14000000000000001</v>
      </c>
      <c r="F46" s="99">
        <v>-0.14000000000000001</v>
      </c>
      <c r="G46" s="40">
        <f>ROUND(E46*D46,2)</f>
        <v>-2708.16</v>
      </c>
      <c r="H46" s="40">
        <f>ROUND(F46*D46,2)</f>
        <v>-2708.16</v>
      </c>
      <c r="I46" s="40">
        <f>H46-G46</f>
        <v>0</v>
      </c>
      <c r="J46" s="1">
        <f t="shared" ref="J46" si="28">I46/G46</f>
        <v>0</v>
      </c>
      <c r="L46" s="40"/>
      <c r="M46" s="40"/>
      <c r="N46" s="40"/>
    </row>
    <row r="47" spans="1:14" x14ac:dyDescent="0.25">
      <c r="B47" t="s">
        <v>57</v>
      </c>
      <c r="C47" s="3"/>
      <c r="D47" s="77"/>
      <c r="E47" s="98"/>
      <c r="F47" s="98"/>
      <c r="G47" s="40"/>
      <c r="H47" s="40"/>
      <c r="I47" s="40"/>
      <c r="L47" s="40"/>
      <c r="M47" s="40"/>
      <c r="N47" s="40"/>
    </row>
    <row r="48" spans="1:14" x14ac:dyDescent="0.25">
      <c r="B48" t="s">
        <v>65</v>
      </c>
      <c r="C48" s="3"/>
      <c r="D48" s="47">
        <f>Therms_CY2023!$P$20*'12ME Dec 2023 Therms by Block%'!N36</f>
        <v>53730.333141622155</v>
      </c>
      <c r="E48" s="98">
        <v>-1.847E-2</v>
      </c>
      <c r="F48" s="98">
        <v>-1.847E-2</v>
      </c>
      <c r="G48" s="40">
        <f>ROUND(E48*D48,2)</f>
        <v>-992.4</v>
      </c>
      <c r="H48" s="40">
        <f t="shared" ref="H48:H49" si="29">ROUND(F48*D48,2)</f>
        <v>-992.4</v>
      </c>
      <c r="I48" s="40">
        <f t="shared" ref="I48:I49" si="30">H48-G48</f>
        <v>0</v>
      </c>
      <c r="J48" s="1">
        <f t="shared" ref="J48:J50" si="31">I48/G48</f>
        <v>0</v>
      </c>
      <c r="L48" s="40"/>
      <c r="M48" s="40"/>
      <c r="N48" s="40"/>
    </row>
    <row r="49" spans="1:14" x14ac:dyDescent="0.25">
      <c r="B49" t="s">
        <v>66</v>
      </c>
      <c r="C49" s="3"/>
      <c r="D49" s="47">
        <f>Therms_CY2023!$P$20*'12ME Dec 2023 Therms by Block%'!N37</f>
        <v>488678.66685837781</v>
      </c>
      <c r="E49" s="98">
        <v>-1.3089999999999999E-2</v>
      </c>
      <c r="F49" s="98">
        <v>-1.3089999999999999E-2</v>
      </c>
      <c r="G49" s="40">
        <f>ROUND(E49*D49,2)</f>
        <v>-6396.8</v>
      </c>
      <c r="H49" s="40">
        <f t="shared" si="29"/>
        <v>-6396.8</v>
      </c>
      <c r="I49" s="40">
        <f t="shared" si="30"/>
        <v>0</v>
      </c>
      <c r="J49" s="1">
        <f t="shared" si="31"/>
        <v>0</v>
      </c>
      <c r="L49" s="40"/>
      <c r="M49" s="40"/>
      <c r="N49" s="40"/>
    </row>
    <row r="50" spans="1:14" x14ac:dyDescent="0.25">
      <c r="B50" t="s">
        <v>6</v>
      </c>
      <c r="C50" s="3"/>
      <c r="D50" s="47"/>
      <c r="E50" s="98"/>
      <c r="F50" s="92"/>
      <c r="G50" s="79">
        <f>SUM(G46:G49)</f>
        <v>-10097.36</v>
      </c>
      <c r="H50" s="79">
        <f t="shared" ref="H50:I50" si="32">SUM(H46:H49)</f>
        <v>-10097.36</v>
      </c>
      <c r="I50" s="79">
        <f t="shared" si="32"/>
        <v>0</v>
      </c>
      <c r="J50" s="2">
        <f t="shared" si="31"/>
        <v>0</v>
      </c>
      <c r="L50" s="40"/>
      <c r="M50" s="40"/>
      <c r="N50" s="40"/>
    </row>
    <row r="51" spans="1:14" x14ac:dyDescent="0.25">
      <c r="C51" s="3"/>
      <c r="D51" s="47"/>
      <c r="E51" s="65"/>
      <c r="F51" s="92"/>
      <c r="G51" s="40"/>
      <c r="H51" s="40"/>
      <c r="I51" s="40"/>
      <c r="L51" s="40"/>
      <c r="M51" s="40"/>
      <c r="N51" s="40"/>
    </row>
    <row r="52" spans="1:14" x14ac:dyDescent="0.25">
      <c r="A52" t="s">
        <v>6</v>
      </c>
      <c r="E52" s="65"/>
      <c r="F52" s="92"/>
      <c r="G52" s="79">
        <f>G10+G15+G18+G27+G35+G43+G50</f>
        <v>20286502.350000001</v>
      </c>
      <c r="H52" s="79">
        <f t="shared" ref="H52:I52" si="33">H10+H15+H18+H27+H35+H43+H50</f>
        <v>20286502.350000001</v>
      </c>
      <c r="I52" s="79">
        <f t="shared" si="33"/>
        <v>0</v>
      </c>
      <c r="J52" s="2">
        <f t="shared" ref="J52" si="34">I52/G52</f>
        <v>0</v>
      </c>
      <c r="L52" s="40"/>
      <c r="M52" s="40"/>
      <c r="N52" s="40"/>
    </row>
    <row r="53" spans="1:14" x14ac:dyDescent="0.25">
      <c r="B53" s="5" t="s">
        <v>121</v>
      </c>
      <c r="D53" s="14">
        <f>SUM(D10,D13,D18,D24:D26,D32:D34,D41:D42,D48:D49)</f>
        <v>978217311</v>
      </c>
      <c r="F53" s="77"/>
      <c r="N53" s="40"/>
    </row>
    <row r="54" spans="1:14" x14ac:dyDescent="0.25">
      <c r="A54" s="100"/>
      <c r="B54" s="5" t="s">
        <v>109</v>
      </c>
      <c r="D54" s="14">
        <f>SUM(D21,D30,D38,D46)</f>
        <v>5833248</v>
      </c>
      <c r="F54" s="77"/>
      <c r="N54" s="40"/>
    </row>
    <row r="55" spans="1:14" ht="12.75" customHeight="1" x14ac:dyDescent="0.25">
      <c r="A55" s="100"/>
      <c r="B55" s="111"/>
      <c r="C55" s="111"/>
      <c r="D55" s="111"/>
      <c r="E55" s="111"/>
      <c r="F55" s="132"/>
      <c r="G55" s="112"/>
      <c r="H55" s="112"/>
      <c r="I55" s="111"/>
      <c r="N55" s="40"/>
    </row>
    <row r="56" spans="1:14" x14ac:dyDescent="0.25">
      <c r="F56" s="77"/>
      <c r="N56" s="40"/>
    </row>
    <row r="57" spans="1:14" x14ac:dyDescent="0.25">
      <c r="F57" s="77"/>
      <c r="N57" s="40"/>
    </row>
    <row r="58" spans="1:14" x14ac:dyDescent="0.25">
      <c r="F58" s="77"/>
      <c r="N58" s="40"/>
    </row>
    <row r="59" spans="1:14" x14ac:dyDescent="0.25">
      <c r="F59" s="77"/>
      <c r="N59" s="40"/>
    </row>
    <row r="60" spans="1:14" x14ac:dyDescent="0.25">
      <c r="F60" s="77"/>
      <c r="N60" s="40"/>
    </row>
    <row r="61" spans="1:14" x14ac:dyDescent="0.25">
      <c r="F61" s="77"/>
      <c r="N61" s="40"/>
    </row>
    <row r="62" spans="1:14" x14ac:dyDescent="0.25">
      <c r="F62" s="77"/>
      <c r="N62" s="40"/>
    </row>
    <row r="63" spans="1:14" x14ac:dyDescent="0.25">
      <c r="F63" s="77"/>
      <c r="N63" s="40"/>
    </row>
    <row r="64" spans="1:14" x14ac:dyDescent="0.25">
      <c r="F64" s="77"/>
      <c r="N64" s="40"/>
    </row>
    <row r="65" spans="6:14" x14ac:dyDescent="0.25">
      <c r="F65" s="77"/>
      <c r="N65" s="40"/>
    </row>
    <row r="66" spans="6:14" x14ac:dyDescent="0.25">
      <c r="F66" s="77"/>
      <c r="N66" s="40"/>
    </row>
    <row r="67" spans="6:14" x14ac:dyDescent="0.25">
      <c r="F67" s="77"/>
      <c r="N67" s="40"/>
    </row>
    <row r="68" spans="6:14" x14ac:dyDescent="0.25">
      <c r="F68" s="77"/>
      <c r="N68" s="40"/>
    </row>
    <row r="69" spans="6:14" x14ac:dyDescent="0.25">
      <c r="F69" s="77"/>
      <c r="N69" s="40"/>
    </row>
    <row r="70" spans="6:14" x14ac:dyDescent="0.25">
      <c r="F70" s="77"/>
      <c r="N70" s="40"/>
    </row>
    <row r="71" spans="6:14" x14ac:dyDescent="0.25">
      <c r="F71" s="77"/>
      <c r="N71" s="40"/>
    </row>
    <row r="72" spans="6:14" x14ac:dyDescent="0.25">
      <c r="F72" s="77"/>
      <c r="N72" s="40"/>
    </row>
    <row r="73" spans="6:14" x14ac:dyDescent="0.25">
      <c r="F73" s="77"/>
      <c r="N73" s="40"/>
    </row>
    <row r="74" spans="6:14" x14ac:dyDescent="0.25">
      <c r="F74" s="77"/>
      <c r="N74" s="40"/>
    </row>
    <row r="75" spans="6:14" x14ac:dyDescent="0.25">
      <c r="F75" s="77"/>
      <c r="N75" s="40"/>
    </row>
    <row r="76" spans="6:14" x14ac:dyDescent="0.25">
      <c r="F76" s="77"/>
      <c r="N76" s="40"/>
    </row>
    <row r="77" spans="6:14" x14ac:dyDescent="0.25">
      <c r="F77" s="77"/>
      <c r="N77" s="40"/>
    </row>
    <row r="78" spans="6:14" x14ac:dyDescent="0.25">
      <c r="F78" s="77"/>
      <c r="N78" s="40"/>
    </row>
    <row r="79" spans="6:14" x14ac:dyDescent="0.25">
      <c r="F79" s="77"/>
      <c r="N79" s="40"/>
    </row>
    <row r="80" spans="6:14" x14ac:dyDescent="0.25">
      <c r="F80" s="77"/>
      <c r="N80" s="40"/>
    </row>
    <row r="81" spans="6:14" x14ac:dyDescent="0.25">
      <c r="F81" s="77"/>
      <c r="N81" s="40"/>
    </row>
    <row r="82" spans="6:14" x14ac:dyDescent="0.25">
      <c r="F82" s="77"/>
      <c r="N82" s="40"/>
    </row>
    <row r="83" spans="6:14" x14ac:dyDescent="0.25">
      <c r="N83" s="40"/>
    </row>
    <row r="84" spans="6:14" x14ac:dyDescent="0.25">
      <c r="N84" s="40"/>
    </row>
    <row r="85" spans="6:14" x14ac:dyDescent="0.25">
      <c r="N85" s="40"/>
    </row>
    <row r="86" spans="6:14" x14ac:dyDescent="0.25">
      <c r="N86" s="40"/>
    </row>
    <row r="87" spans="6:14" x14ac:dyDescent="0.25">
      <c r="N87" s="40"/>
    </row>
    <row r="88" spans="6:14" x14ac:dyDescent="0.25">
      <c r="N88" s="40"/>
    </row>
    <row r="89" spans="6:14" x14ac:dyDescent="0.25">
      <c r="N89" s="40"/>
    </row>
    <row r="90" spans="6:14" x14ac:dyDescent="0.25">
      <c r="N90" s="40"/>
    </row>
    <row r="91" spans="6:14" x14ac:dyDescent="0.25">
      <c r="N91" s="40"/>
    </row>
    <row r="92" spans="6:14" x14ac:dyDescent="0.25">
      <c r="N92" s="40"/>
    </row>
  </sheetData>
  <mergeCells count="4">
    <mergeCell ref="A1:J1"/>
    <mergeCell ref="A2:J2"/>
    <mergeCell ref="A3:J3"/>
    <mergeCell ref="A4:J4"/>
  </mergeCells>
  <printOptions horizontalCentered="1"/>
  <pageMargins left="0.7" right="0.7" top="0.5" bottom="0.5" header="0.3" footer="0.3"/>
  <pageSetup scale="61" orientation="landscape" blackAndWhite="1" r:id="rId1"/>
  <headerFooter>
    <oddFooter>&amp;L&amp;F
&amp;A&amp;C&amp;P&amp;R&amp;D</oddFooter>
  </headerFooter>
  <customProperties>
    <customPr name="_pios_id" r:id="rId2"/>
  </customPropertie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J26"/>
  <sheetViews>
    <sheetView zoomScale="90" zoomScaleNormal="90" workbookViewId="0">
      <selection activeCell="H28" sqref="H28"/>
    </sheetView>
  </sheetViews>
  <sheetFormatPr defaultColWidth="8.7109375" defaultRowHeight="15" x14ac:dyDescent="0.25"/>
  <cols>
    <col min="1" max="1" width="38.7109375" customWidth="1"/>
    <col min="2" max="2" width="9.140625" bestFit="1" customWidth="1"/>
    <col min="3" max="3" width="18.5703125" bestFit="1" customWidth="1"/>
    <col min="4" max="5" width="13.7109375" customWidth="1"/>
    <col min="6" max="8" width="14.42578125" customWidth="1"/>
    <col min="9" max="9" width="7.85546875" bestFit="1" customWidth="1"/>
  </cols>
  <sheetData>
    <row r="1" spans="1:10" s="43" customFormat="1" ht="15" customHeight="1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42"/>
    </row>
    <row r="2" spans="1:10" s="43" customFormat="1" ht="15" customHeight="1" x14ac:dyDescent="0.25">
      <c r="A2" s="218" t="s">
        <v>158</v>
      </c>
      <c r="B2" s="218"/>
      <c r="C2" s="218"/>
      <c r="D2" s="218"/>
      <c r="E2" s="218"/>
      <c r="F2" s="218"/>
      <c r="G2" s="218"/>
      <c r="H2" s="218"/>
      <c r="I2" s="218"/>
      <c r="J2" s="42"/>
    </row>
    <row r="3" spans="1:10" s="43" customFormat="1" ht="15" customHeight="1" x14ac:dyDescent="0.25">
      <c r="A3" s="218" t="s">
        <v>202</v>
      </c>
      <c r="B3" s="218"/>
      <c r="C3" s="218"/>
      <c r="D3" s="218"/>
      <c r="E3" s="218"/>
      <c r="F3" s="218"/>
      <c r="G3" s="218"/>
      <c r="H3" s="218"/>
      <c r="I3" s="218"/>
      <c r="J3" s="42"/>
    </row>
    <row r="4" spans="1:10" s="43" customFormat="1" ht="15" customHeight="1" x14ac:dyDescent="0.25">
      <c r="A4" s="218" t="s">
        <v>204</v>
      </c>
      <c r="B4" s="218"/>
      <c r="C4" s="218"/>
      <c r="D4" s="218"/>
      <c r="E4" s="218"/>
      <c r="F4" s="218"/>
      <c r="G4" s="218"/>
      <c r="H4" s="218"/>
      <c r="I4" s="218"/>
      <c r="J4" s="42"/>
    </row>
    <row r="5" spans="1:10" x14ac:dyDescent="0.25">
      <c r="D5" s="3"/>
      <c r="E5" s="3"/>
    </row>
    <row r="6" spans="1:10" x14ac:dyDescent="0.25">
      <c r="A6" s="3"/>
      <c r="B6" s="3"/>
      <c r="C6" s="3" t="s">
        <v>15</v>
      </c>
      <c r="D6" s="3" t="s">
        <v>5</v>
      </c>
      <c r="E6" s="3" t="s">
        <v>1</v>
      </c>
      <c r="F6" s="48" t="s">
        <v>15</v>
      </c>
      <c r="G6" s="48" t="s">
        <v>15</v>
      </c>
      <c r="H6" s="3" t="s">
        <v>77</v>
      </c>
      <c r="I6" s="3"/>
    </row>
    <row r="7" spans="1:10" x14ac:dyDescent="0.25">
      <c r="A7" s="3"/>
      <c r="B7" s="3" t="s">
        <v>17</v>
      </c>
      <c r="C7" s="3" t="s">
        <v>3</v>
      </c>
      <c r="D7" s="3" t="s">
        <v>77</v>
      </c>
      <c r="E7" s="3" t="s">
        <v>77</v>
      </c>
      <c r="F7" s="48" t="s">
        <v>2</v>
      </c>
      <c r="G7" s="48" t="s">
        <v>2</v>
      </c>
      <c r="H7" s="3" t="s">
        <v>2</v>
      </c>
      <c r="I7" s="3" t="s">
        <v>20</v>
      </c>
    </row>
    <row r="8" spans="1:10" x14ac:dyDescent="0.25">
      <c r="A8" s="104" t="s">
        <v>4</v>
      </c>
      <c r="B8" s="104" t="s">
        <v>21</v>
      </c>
      <c r="C8" s="71" t="str">
        <f>'Sch. 101'!$D$8</f>
        <v>12ME Dec. 2023</v>
      </c>
      <c r="D8" s="104" t="s">
        <v>22</v>
      </c>
      <c r="E8" s="104" t="s">
        <v>22</v>
      </c>
      <c r="F8" s="44" t="s">
        <v>23</v>
      </c>
      <c r="G8" s="44" t="s">
        <v>131</v>
      </c>
      <c r="H8" s="104" t="s">
        <v>24</v>
      </c>
      <c r="I8" s="104" t="s">
        <v>24</v>
      </c>
    </row>
    <row r="9" spans="1:10" x14ac:dyDescent="0.25">
      <c r="A9" t="s">
        <v>7</v>
      </c>
      <c r="B9" s="5" t="s">
        <v>30</v>
      </c>
      <c r="C9" s="47">
        <f>SUM(Therms_CY2023!P10,Therms_CY2023!P11)</f>
        <v>636369361</v>
      </c>
      <c r="D9" s="7">
        <v>2.2579999999999999E-2</v>
      </c>
      <c r="E9" s="7">
        <v>0</v>
      </c>
      <c r="F9" s="38">
        <f>C9*D9</f>
        <v>14369220.17138</v>
      </c>
      <c r="G9" s="38">
        <f>C9*E9</f>
        <v>0</v>
      </c>
      <c r="H9" s="8">
        <f>G9-F9</f>
        <v>-14369220.17138</v>
      </c>
      <c r="I9" s="1">
        <f>H9/F9</f>
        <v>-1</v>
      </c>
    </row>
    <row r="10" spans="1:10" x14ac:dyDescent="0.25">
      <c r="A10" t="s">
        <v>31</v>
      </c>
      <c r="B10" s="5">
        <v>16</v>
      </c>
      <c r="C10" s="47">
        <f>Therms_CY2023!P9</f>
        <v>8832</v>
      </c>
      <c r="D10" s="7">
        <v>2.2579999999999999E-2</v>
      </c>
      <c r="E10" s="7">
        <v>0</v>
      </c>
      <c r="F10" s="38">
        <f t="shared" ref="F10:F21" si="0">C10*D10</f>
        <v>199.42655999999999</v>
      </c>
      <c r="G10" s="38">
        <f t="shared" ref="G10:G21" si="1">C10*E10</f>
        <v>0</v>
      </c>
      <c r="H10" s="8">
        <f t="shared" ref="H10:H21" si="2">G10-F10</f>
        <v>-199.42655999999999</v>
      </c>
      <c r="I10" s="1">
        <f t="shared" ref="I10:I21" si="3">H10/F10</f>
        <v>-1</v>
      </c>
    </row>
    <row r="11" spans="1:10" x14ac:dyDescent="0.25">
      <c r="A11" t="s">
        <v>8</v>
      </c>
      <c r="B11" s="5">
        <v>31</v>
      </c>
      <c r="C11" s="47">
        <f>Therms_CY2023!P12</f>
        <v>243192248</v>
      </c>
      <c r="D11" s="7">
        <v>2.4719999999999999E-2</v>
      </c>
      <c r="E11" s="7">
        <v>0</v>
      </c>
      <c r="F11" s="38">
        <f t="shared" si="0"/>
        <v>6011712.3705599997</v>
      </c>
      <c r="G11" s="38">
        <f t="shared" si="1"/>
        <v>0</v>
      </c>
      <c r="H11" s="8">
        <f t="shared" si="2"/>
        <v>-6011712.3705599997</v>
      </c>
      <c r="I11" s="1">
        <f t="shared" si="3"/>
        <v>-1</v>
      </c>
    </row>
    <row r="12" spans="1:10" x14ac:dyDescent="0.25">
      <c r="A12" t="s">
        <v>9</v>
      </c>
      <c r="B12" s="5">
        <v>41</v>
      </c>
      <c r="C12" s="47">
        <f>Therms_CY2023!P13</f>
        <v>66922885</v>
      </c>
      <c r="D12" s="7">
        <v>1.125E-2</v>
      </c>
      <c r="E12" s="7">
        <v>0</v>
      </c>
      <c r="F12" s="38">
        <f t="shared" si="0"/>
        <v>752882.45624999993</v>
      </c>
      <c r="G12" s="38">
        <f t="shared" si="1"/>
        <v>0</v>
      </c>
      <c r="H12" s="8">
        <f t="shared" si="2"/>
        <v>-752882.45624999993</v>
      </c>
      <c r="I12" s="1">
        <f t="shared" si="3"/>
        <v>-1</v>
      </c>
    </row>
    <row r="13" spans="1:10" x14ac:dyDescent="0.25">
      <c r="A13" t="s">
        <v>10</v>
      </c>
      <c r="B13" s="5">
        <v>85</v>
      </c>
      <c r="C13" s="47">
        <f>Therms_CY2023!P14</f>
        <v>11124640</v>
      </c>
      <c r="D13" s="7">
        <v>6.7099999999999998E-3</v>
      </c>
      <c r="E13" s="7">
        <v>0</v>
      </c>
      <c r="F13" s="38">
        <f t="shared" si="0"/>
        <v>74646.334399999992</v>
      </c>
      <c r="G13" s="38">
        <f t="shared" si="1"/>
        <v>0</v>
      </c>
      <c r="H13" s="8">
        <f t="shared" si="2"/>
        <v>-74646.334399999992</v>
      </c>
      <c r="I13" s="1">
        <f t="shared" si="3"/>
        <v>-1</v>
      </c>
    </row>
    <row r="14" spans="1:10" x14ac:dyDescent="0.25">
      <c r="A14" t="s">
        <v>11</v>
      </c>
      <c r="B14" s="5">
        <v>86</v>
      </c>
      <c r="C14" s="47">
        <f>Therms_CY2023!P15</f>
        <v>5691490</v>
      </c>
      <c r="D14" s="7">
        <v>8.4600000000000005E-3</v>
      </c>
      <c r="E14" s="7">
        <v>0</v>
      </c>
      <c r="F14" s="38">
        <f t="shared" si="0"/>
        <v>48150.005400000002</v>
      </c>
      <c r="G14" s="38">
        <f t="shared" si="1"/>
        <v>0</v>
      </c>
      <c r="H14" s="8">
        <f t="shared" si="2"/>
        <v>-48150.005400000002</v>
      </c>
      <c r="I14" s="1">
        <f t="shared" si="3"/>
        <v>-1</v>
      </c>
    </row>
    <row r="15" spans="1:10" x14ac:dyDescent="0.25">
      <c r="A15" t="s">
        <v>12</v>
      </c>
      <c r="B15" s="5">
        <v>87</v>
      </c>
      <c r="C15" s="47">
        <f>Therms_CY2023!P16</f>
        <v>21819455.762355205</v>
      </c>
      <c r="D15" s="7">
        <v>3.7399999999999998E-3</v>
      </c>
      <c r="E15" s="7">
        <v>0</v>
      </c>
      <c r="F15" s="38">
        <f t="shared" si="0"/>
        <v>81604.764551208456</v>
      </c>
      <c r="G15" s="38">
        <f t="shared" si="1"/>
        <v>0</v>
      </c>
      <c r="H15" s="8">
        <f t="shared" si="2"/>
        <v>-81604.764551208456</v>
      </c>
      <c r="I15" s="1">
        <f t="shared" si="3"/>
        <v>-1</v>
      </c>
    </row>
    <row r="16" spans="1:10" x14ac:dyDescent="0.25">
      <c r="A16" t="s">
        <v>32</v>
      </c>
      <c r="B16" s="5" t="s">
        <v>33</v>
      </c>
      <c r="C16" s="47">
        <f>Therms_CY2023!P17</f>
        <v>34397</v>
      </c>
      <c r="D16" s="7">
        <v>2.4719999999999999E-2</v>
      </c>
      <c r="E16" s="7">
        <v>0</v>
      </c>
      <c r="F16" s="38">
        <f t="shared" si="0"/>
        <v>850.29383999999993</v>
      </c>
      <c r="G16" s="38">
        <f t="shared" si="1"/>
        <v>0</v>
      </c>
      <c r="H16" s="8">
        <f t="shared" si="2"/>
        <v>-850.29383999999993</v>
      </c>
      <c r="I16" s="1">
        <f t="shared" si="3"/>
        <v>-1</v>
      </c>
    </row>
    <row r="17" spans="1:9" x14ac:dyDescent="0.25">
      <c r="A17" t="s">
        <v>34</v>
      </c>
      <c r="B17" t="s">
        <v>35</v>
      </c>
      <c r="C17" s="47">
        <f>Therms_CY2023!P18</f>
        <v>25464521</v>
      </c>
      <c r="D17" s="7">
        <v>1.125E-2</v>
      </c>
      <c r="E17" s="7">
        <v>0</v>
      </c>
      <c r="F17" s="38">
        <f t="shared" si="0"/>
        <v>286475.86125000002</v>
      </c>
      <c r="G17" s="38">
        <f t="shared" si="1"/>
        <v>0</v>
      </c>
      <c r="H17" s="8">
        <f t="shared" si="2"/>
        <v>-286475.86125000002</v>
      </c>
      <c r="I17" s="1">
        <f t="shared" si="3"/>
        <v>-1</v>
      </c>
    </row>
    <row r="18" spans="1:9" x14ac:dyDescent="0.25">
      <c r="A18" t="s">
        <v>36</v>
      </c>
      <c r="B18" t="s">
        <v>37</v>
      </c>
      <c r="C18" s="47">
        <f>Therms_CY2023!P19</f>
        <v>62787518</v>
      </c>
      <c r="D18" s="7">
        <v>6.7099999999999998E-3</v>
      </c>
      <c r="E18" s="7">
        <v>0</v>
      </c>
      <c r="F18" s="38">
        <f t="shared" si="0"/>
        <v>421304.24578</v>
      </c>
      <c r="G18" s="38">
        <f t="shared" si="1"/>
        <v>0</v>
      </c>
      <c r="H18" s="8">
        <f t="shared" si="2"/>
        <v>-421304.24578</v>
      </c>
      <c r="I18" s="1">
        <f t="shared" si="3"/>
        <v>-1</v>
      </c>
    </row>
    <row r="19" spans="1:9" x14ac:dyDescent="0.25">
      <c r="A19" t="s">
        <v>38</v>
      </c>
      <c r="B19" t="s">
        <v>39</v>
      </c>
      <c r="C19" s="47">
        <f>Therms_CY2023!P20</f>
        <v>542409</v>
      </c>
      <c r="D19" s="7">
        <v>8.4600000000000005E-3</v>
      </c>
      <c r="E19" s="7">
        <v>0</v>
      </c>
      <c r="F19" s="38">
        <f t="shared" si="0"/>
        <v>4588.7801399999998</v>
      </c>
      <c r="G19" s="38">
        <f t="shared" si="1"/>
        <v>0</v>
      </c>
      <c r="H19" s="8">
        <f t="shared" si="2"/>
        <v>-4588.7801399999998</v>
      </c>
      <c r="I19" s="1">
        <f t="shared" si="3"/>
        <v>-1</v>
      </c>
    </row>
    <row r="20" spans="1:9" x14ac:dyDescent="0.25">
      <c r="A20" t="s">
        <v>40</v>
      </c>
      <c r="B20" t="s">
        <v>41</v>
      </c>
      <c r="C20" s="47">
        <f>Therms_CY2023!P21</f>
        <v>128953412.64547956</v>
      </c>
      <c r="D20" s="7">
        <v>3.7399999999999998E-3</v>
      </c>
      <c r="E20" s="7">
        <v>0</v>
      </c>
      <c r="F20" s="38">
        <f t="shared" si="0"/>
        <v>482285.76329409354</v>
      </c>
      <c r="G20" s="38">
        <f t="shared" si="1"/>
        <v>0</v>
      </c>
      <c r="H20" s="8">
        <f t="shared" si="2"/>
        <v>-482285.76329409354</v>
      </c>
      <c r="I20" s="1">
        <f t="shared" si="3"/>
        <v>-1</v>
      </c>
    </row>
    <row r="21" spans="1:9" x14ac:dyDescent="0.25">
      <c r="A21" t="s">
        <v>13</v>
      </c>
      <c r="C21" s="47">
        <f>Therms_CY2023!P22</f>
        <v>31066760</v>
      </c>
      <c r="D21" s="9">
        <v>9.3000000000000005E-4</v>
      </c>
      <c r="E21" s="7">
        <v>0</v>
      </c>
      <c r="F21" s="38">
        <f t="shared" si="0"/>
        <v>28892.086800000001</v>
      </c>
      <c r="G21" s="38">
        <f t="shared" si="1"/>
        <v>0</v>
      </c>
      <c r="H21" s="8">
        <f t="shared" si="2"/>
        <v>-28892.086800000001</v>
      </c>
      <c r="I21" s="1">
        <f t="shared" si="3"/>
        <v>-1</v>
      </c>
    </row>
    <row r="22" spans="1:9" x14ac:dyDescent="0.25">
      <c r="A22" t="s">
        <v>6</v>
      </c>
      <c r="C22" s="10">
        <f>SUM(C9:C21)</f>
        <v>1233977929.407835</v>
      </c>
      <c r="D22" s="6"/>
      <c r="E22" s="123"/>
      <c r="F22" s="39">
        <f t="shared" ref="F22:H22" si="4">SUM(F9:F21)</f>
        <v>22562812.560205296</v>
      </c>
      <c r="G22" s="39">
        <f t="shared" si="4"/>
        <v>0</v>
      </c>
      <c r="H22" s="11">
        <f t="shared" si="4"/>
        <v>-22562812.560205296</v>
      </c>
      <c r="I22" s="2">
        <f t="shared" ref="I22" si="5">H22/F22</f>
        <v>-1</v>
      </c>
    </row>
    <row r="23" spans="1:9" s="43" customFormat="1" x14ac:dyDescent="0.25">
      <c r="A23" s="19"/>
      <c r="B23" s="51"/>
      <c r="C23" s="113"/>
      <c r="D23" s="113"/>
      <c r="E23" s="113"/>
      <c r="F23" s="113"/>
      <c r="G23" s="113"/>
      <c r="H23" s="20"/>
    </row>
    <row r="24" spans="1:9" x14ac:dyDescent="0.25">
      <c r="F24" s="8"/>
      <c r="G24" s="8"/>
    </row>
    <row r="25" spans="1:9" x14ac:dyDescent="0.25">
      <c r="C25" s="14"/>
      <c r="F25" s="8"/>
      <c r="G25" s="8"/>
      <c r="H25" s="40"/>
    </row>
    <row r="26" spans="1:9" x14ac:dyDescent="0.25">
      <c r="A26" s="41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85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C000"/>
  </sheetPr>
  <dimension ref="A1"/>
  <sheetViews>
    <sheetView workbookViewId="0">
      <selection activeCell="O24" sqref="O24"/>
    </sheetView>
  </sheetViews>
  <sheetFormatPr defaultRowHeight="15" x14ac:dyDescent="0.25"/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Q34"/>
  <sheetViews>
    <sheetView zoomScale="90" zoomScaleNormal="90" workbookViewId="0">
      <selection activeCell="J24" sqref="J24"/>
    </sheetView>
  </sheetViews>
  <sheetFormatPr defaultRowHeight="15" x14ac:dyDescent="0.25"/>
  <cols>
    <col min="1" max="1" width="11.7109375" bestFit="1" customWidth="1"/>
    <col min="3" max="3" width="11.42578125" bestFit="1" customWidth="1"/>
    <col min="4" max="15" width="10.42578125" bestFit="1" customWidth="1"/>
  </cols>
  <sheetData>
    <row r="1" spans="1:17" x14ac:dyDescent="0.25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</row>
    <row r="2" spans="1:17" x14ac:dyDescent="0.25">
      <c r="A2" s="218" t="s">
        <v>287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spans="1:17" x14ac:dyDescent="0.25">
      <c r="A3" s="218" t="s">
        <v>288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1:17" x14ac:dyDescent="0.25">
      <c r="A4" s="218" t="s">
        <v>289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</row>
    <row r="6" spans="1:17" s="111" customFormat="1" ht="34.5" customHeight="1" x14ac:dyDescent="0.25">
      <c r="A6" s="170" t="s">
        <v>290</v>
      </c>
      <c r="B6" s="170" t="s">
        <v>291</v>
      </c>
      <c r="C6" s="170" t="s">
        <v>292</v>
      </c>
      <c r="D6" s="171">
        <v>44013</v>
      </c>
      <c r="E6" s="171">
        <f>EDATE(D6,1)</f>
        <v>44044</v>
      </c>
      <c r="F6" s="171">
        <f t="shared" ref="F6:O6" si="0">EDATE(E6,1)</f>
        <v>44075</v>
      </c>
      <c r="G6" s="171">
        <f t="shared" si="0"/>
        <v>44105</v>
      </c>
      <c r="H6" s="171">
        <f t="shared" si="0"/>
        <v>44136</v>
      </c>
      <c r="I6" s="171">
        <f t="shared" si="0"/>
        <v>44166</v>
      </c>
      <c r="J6" s="171">
        <f t="shared" si="0"/>
        <v>44197</v>
      </c>
      <c r="K6" s="171">
        <f t="shared" si="0"/>
        <v>44228</v>
      </c>
      <c r="L6" s="171">
        <f t="shared" si="0"/>
        <v>44256</v>
      </c>
      <c r="M6" s="171">
        <f t="shared" si="0"/>
        <v>44287</v>
      </c>
      <c r="N6" s="171">
        <f t="shared" si="0"/>
        <v>44317</v>
      </c>
      <c r="O6" s="171">
        <f t="shared" si="0"/>
        <v>44348</v>
      </c>
    </row>
    <row r="7" spans="1:17" s="111" customFormat="1" x14ac:dyDescent="0.25">
      <c r="A7" s="5">
        <v>0</v>
      </c>
      <c r="B7" s="172">
        <f>C7/$C$34</f>
        <v>2.1339277840482448E-2</v>
      </c>
      <c r="C7" s="35">
        <f>SUM(D7:O7)</f>
        <v>204472</v>
      </c>
      <c r="D7" s="35">
        <v>32194</v>
      </c>
      <c r="E7" s="35">
        <v>42609</v>
      </c>
      <c r="F7" s="35">
        <v>21450</v>
      </c>
      <c r="G7" s="35">
        <v>11207</v>
      </c>
      <c r="H7" s="35">
        <v>10640</v>
      </c>
      <c r="I7" s="35">
        <v>10130</v>
      </c>
      <c r="J7" s="35">
        <v>10257</v>
      </c>
      <c r="K7" s="35">
        <v>10370</v>
      </c>
      <c r="L7" s="35">
        <v>10515</v>
      </c>
      <c r="M7" s="35">
        <v>11434</v>
      </c>
      <c r="N7" s="35">
        <v>14401</v>
      </c>
      <c r="O7" s="35">
        <v>19265</v>
      </c>
      <c r="Q7" s="173"/>
    </row>
    <row r="8" spans="1:17" x14ac:dyDescent="0.25">
      <c r="A8" s="5" t="s">
        <v>293</v>
      </c>
      <c r="B8" s="172">
        <f>C8/$C$34</f>
        <v>8.6434762008379296E-2</v>
      </c>
      <c r="C8" s="35">
        <f>SUM(D8:O8)</f>
        <v>828214</v>
      </c>
      <c r="D8" s="35">
        <v>160096</v>
      </c>
      <c r="E8" s="35">
        <v>192781</v>
      </c>
      <c r="F8" s="35">
        <v>136761</v>
      </c>
      <c r="G8" s="35">
        <v>29940</v>
      </c>
      <c r="H8" s="35">
        <v>20064</v>
      </c>
      <c r="I8" s="35">
        <v>18156</v>
      </c>
      <c r="J8" s="35">
        <v>17188</v>
      </c>
      <c r="K8" s="35">
        <v>18290</v>
      </c>
      <c r="L8" s="35">
        <v>19255</v>
      </c>
      <c r="M8" s="35">
        <v>26991</v>
      </c>
      <c r="N8" s="35">
        <v>59418</v>
      </c>
      <c r="O8" s="35">
        <v>129274</v>
      </c>
      <c r="Q8" s="173"/>
    </row>
    <row r="9" spans="1:17" x14ac:dyDescent="0.25">
      <c r="A9" s="5" t="s">
        <v>294</v>
      </c>
      <c r="B9" s="172">
        <f t="shared" ref="B9:B33" si="1">C9/$C$34</f>
        <v>0.14576440820271019</v>
      </c>
      <c r="C9" s="35">
        <f t="shared" ref="C9:C33" si="2">SUM(D9:O9)</f>
        <v>1396708</v>
      </c>
      <c r="D9" s="35">
        <v>281077</v>
      </c>
      <c r="E9" s="35">
        <v>301579</v>
      </c>
      <c r="F9" s="35">
        <v>264669</v>
      </c>
      <c r="G9" s="35">
        <v>47439</v>
      </c>
      <c r="H9" s="35">
        <v>22040</v>
      </c>
      <c r="I9" s="35">
        <v>17806</v>
      </c>
      <c r="J9" s="35">
        <v>16678</v>
      </c>
      <c r="K9" s="35">
        <v>17162</v>
      </c>
      <c r="L9" s="35">
        <v>19567</v>
      </c>
      <c r="M9" s="35">
        <v>41041</v>
      </c>
      <c r="N9" s="35">
        <v>115777</v>
      </c>
      <c r="O9" s="35">
        <v>251873</v>
      </c>
      <c r="Q9" s="173"/>
    </row>
    <row r="10" spans="1:17" x14ac:dyDescent="0.25">
      <c r="A10" s="5" t="s">
        <v>295</v>
      </c>
      <c r="B10" s="172">
        <f t="shared" si="1"/>
        <v>0.12357926957494582</v>
      </c>
      <c r="C10" s="35">
        <f t="shared" si="2"/>
        <v>1184131</v>
      </c>
      <c r="D10" s="35">
        <v>190922</v>
      </c>
      <c r="E10" s="35">
        <v>162711</v>
      </c>
      <c r="F10" s="35">
        <v>209871</v>
      </c>
      <c r="G10" s="35">
        <v>75064</v>
      </c>
      <c r="H10" s="35">
        <v>23740</v>
      </c>
      <c r="I10" s="35">
        <v>18367</v>
      </c>
      <c r="J10" s="35">
        <v>16725</v>
      </c>
      <c r="K10" s="35">
        <v>16099</v>
      </c>
      <c r="L10" s="35">
        <v>20592</v>
      </c>
      <c r="M10" s="35">
        <v>62740</v>
      </c>
      <c r="N10" s="35">
        <v>166175</v>
      </c>
      <c r="O10" s="35">
        <v>221125</v>
      </c>
      <c r="Q10" s="173"/>
    </row>
    <row r="11" spans="1:17" x14ac:dyDescent="0.25">
      <c r="A11" s="5" t="s">
        <v>296</v>
      </c>
      <c r="B11" s="172">
        <f t="shared" si="1"/>
        <v>8.4035669130151411E-2</v>
      </c>
      <c r="C11" s="35">
        <f t="shared" si="2"/>
        <v>805226</v>
      </c>
      <c r="D11" s="35">
        <v>75573</v>
      </c>
      <c r="E11" s="35">
        <v>55915</v>
      </c>
      <c r="F11" s="35">
        <v>93825</v>
      </c>
      <c r="G11" s="35">
        <v>105631</v>
      </c>
      <c r="H11" s="35">
        <v>30207</v>
      </c>
      <c r="I11" s="35">
        <v>21003</v>
      </c>
      <c r="J11" s="35">
        <v>18165</v>
      </c>
      <c r="K11" s="35">
        <v>18486</v>
      </c>
      <c r="L11" s="35">
        <v>25225</v>
      </c>
      <c r="M11" s="35">
        <v>92065</v>
      </c>
      <c r="N11" s="35">
        <v>163722</v>
      </c>
      <c r="O11" s="35">
        <v>105409</v>
      </c>
      <c r="Q11" s="173"/>
    </row>
    <row r="12" spans="1:17" x14ac:dyDescent="0.25">
      <c r="A12" s="5" t="s">
        <v>297</v>
      </c>
      <c r="B12" s="172">
        <f t="shared" si="1"/>
        <v>6.5732828008480529E-2</v>
      </c>
      <c r="C12" s="35">
        <f t="shared" si="2"/>
        <v>629849</v>
      </c>
      <c r="D12" s="35">
        <v>27512</v>
      </c>
      <c r="E12" s="35">
        <v>19195</v>
      </c>
      <c r="F12" s="35">
        <v>35810</v>
      </c>
      <c r="G12" s="35">
        <v>124349</v>
      </c>
      <c r="H12" s="35">
        <v>40201</v>
      </c>
      <c r="I12" s="35">
        <v>27126</v>
      </c>
      <c r="J12" s="35">
        <v>22516</v>
      </c>
      <c r="K12" s="35">
        <v>24314</v>
      </c>
      <c r="L12" s="35">
        <v>33873</v>
      </c>
      <c r="M12" s="35">
        <v>116117</v>
      </c>
      <c r="N12" s="35">
        <v>118161</v>
      </c>
      <c r="O12" s="35">
        <v>40675</v>
      </c>
      <c r="Q12" s="173"/>
    </row>
    <row r="13" spans="1:17" x14ac:dyDescent="0.25">
      <c r="A13" s="5" t="s">
        <v>298</v>
      </c>
      <c r="B13" s="172">
        <f t="shared" si="1"/>
        <v>5.7745522703874105E-2</v>
      </c>
      <c r="C13" s="35">
        <f t="shared" si="2"/>
        <v>553315</v>
      </c>
      <c r="D13" s="35">
        <v>10960</v>
      </c>
      <c r="E13" s="35">
        <v>7745</v>
      </c>
      <c r="F13" s="35">
        <v>14656</v>
      </c>
      <c r="G13" s="35">
        <v>117064</v>
      </c>
      <c r="H13" s="35">
        <v>53245</v>
      </c>
      <c r="I13" s="35">
        <v>35432</v>
      </c>
      <c r="J13" s="35">
        <v>29240</v>
      </c>
      <c r="K13" s="35">
        <v>33184</v>
      </c>
      <c r="L13" s="35">
        <v>45702</v>
      </c>
      <c r="M13" s="35">
        <v>119332</v>
      </c>
      <c r="N13" s="35">
        <v>70592</v>
      </c>
      <c r="O13" s="35">
        <v>16163</v>
      </c>
      <c r="Q13" s="173"/>
    </row>
    <row r="14" spans="1:17" x14ac:dyDescent="0.25">
      <c r="A14" s="5" t="s">
        <v>299</v>
      </c>
      <c r="B14" s="172">
        <f t="shared" si="1"/>
        <v>5.3409873037391642E-2</v>
      </c>
      <c r="C14" s="35">
        <f t="shared" si="2"/>
        <v>511771</v>
      </c>
      <c r="D14" s="35">
        <v>5175</v>
      </c>
      <c r="E14" s="35">
        <v>3646</v>
      </c>
      <c r="F14" s="35">
        <v>6711</v>
      </c>
      <c r="G14" s="35">
        <v>92435</v>
      </c>
      <c r="H14" s="35">
        <v>68352</v>
      </c>
      <c r="I14" s="35">
        <v>46243</v>
      </c>
      <c r="J14" s="35">
        <v>38114</v>
      </c>
      <c r="K14" s="35">
        <v>44417</v>
      </c>
      <c r="L14" s="35">
        <v>59120</v>
      </c>
      <c r="M14" s="35">
        <v>101144</v>
      </c>
      <c r="N14" s="35">
        <v>39261</v>
      </c>
      <c r="O14" s="35">
        <v>7153</v>
      </c>
      <c r="Q14" s="173"/>
    </row>
    <row r="15" spans="1:17" x14ac:dyDescent="0.25">
      <c r="A15" s="5" t="s">
        <v>300</v>
      </c>
      <c r="B15" s="172">
        <f t="shared" si="1"/>
        <v>5.0728374324446317E-2</v>
      </c>
      <c r="C15" s="35">
        <f t="shared" si="2"/>
        <v>486077</v>
      </c>
      <c r="D15" s="35">
        <v>2660</v>
      </c>
      <c r="E15" s="35">
        <v>1923</v>
      </c>
      <c r="F15" s="35">
        <v>3417</v>
      </c>
      <c r="G15" s="35">
        <v>65253</v>
      </c>
      <c r="H15" s="35">
        <v>77749</v>
      </c>
      <c r="I15" s="35">
        <v>57342</v>
      </c>
      <c r="J15" s="35">
        <v>48742</v>
      </c>
      <c r="K15" s="35">
        <v>56866</v>
      </c>
      <c r="L15" s="35">
        <v>71169</v>
      </c>
      <c r="M15" s="35">
        <v>75828</v>
      </c>
      <c r="N15" s="35">
        <v>21485</v>
      </c>
      <c r="O15" s="35">
        <v>3643</v>
      </c>
      <c r="Q15" s="173"/>
    </row>
    <row r="16" spans="1:17" x14ac:dyDescent="0.25">
      <c r="A16" s="5" t="s">
        <v>301</v>
      </c>
      <c r="B16" s="172">
        <f t="shared" si="1"/>
        <v>4.8666477769933172E-2</v>
      </c>
      <c r="C16" s="35">
        <f t="shared" si="2"/>
        <v>466320</v>
      </c>
      <c r="D16" s="35">
        <v>1487</v>
      </c>
      <c r="E16" s="35">
        <v>1123</v>
      </c>
      <c r="F16" s="35">
        <v>1877</v>
      </c>
      <c r="G16" s="35">
        <v>43402</v>
      </c>
      <c r="H16" s="35">
        <v>82245</v>
      </c>
      <c r="I16" s="35">
        <v>67098</v>
      </c>
      <c r="J16" s="35">
        <v>58890</v>
      </c>
      <c r="K16" s="35">
        <v>66831</v>
      </c>
      <c r="L16" s="35">
        <v>77832</v>
      </c>
      <c r="M16" s="35">
        <v>51780</v>
      </c>
      <c r="N16" s="35">
        <v>11811</v>
      </c>
      <c r="O16" s="35">
        <v>1944</v>
      </c>
      <c r="Q16" s="173"/>
    </row>
    <row r="17" spans="1:17" x14ac:dyDescent="0.25">
      <c r="A17" s="5" t="s">
        <v>302</v>
      </c>
      <c r="B17" s="172">
        <f t="shared" si="1"/>
        <v>4.5571910951366396E-2</v>
      </c>
      <c r="C17" s="35">
        <f t="shared" si="2"/>
        <v>436668</v>
      </c>
      <c r="D17" s="35">
        <v>957</v>
      </c>
      <c r="E17" s="35">
        <v>741</v>
      </c>
      <c r="F17" s="35">
        <v>1210</v>
      </c>
      <c r="G17" s="35">
        <v>28017</v>
      </c>
      <c r="H17" s="35">
        <v>76309</v>
      </c>
      <c r="I17" s="35">
        <v>71576</v>
      </c>
      <c r="J17" s="35">
        <v>65602</v>
      </c>
      <c r="K17" s="35">
        <v>72538</v>
      </c>
      <c r="L17" s="35">
        <v>77536</v>
      </c>
      <c r="M17" s="35">
        <v>34155</v>
      </c>
      <c r="N17" s="35">
        <v>6774</v>
      </c>
      <c r="O17" s="35">
        <v>1253</v>
      </c>
      <c r="Q17" s="173"/>
    </row>
    <row r="18" spans="1:17" x14ac:dyDescent="0.25">
      <c r="A18" s="5" t="s">
        <v>303</v>
      </c>
      <c r="B18" s="172">
        <f t="shared" si="1"/>
        <v>4.1214240726448831E-2</v>
      </c>
      <c r="C18" s="35">
        <f t="shared" si="2"/>
        <v>394913</v>
      </c>
      <c r="D18" s="35">
        <v>712</v>
      </c>
      <c r="E18" s="35">
        <v>552</v>
      </c>
      <c r="F18" s="35">
        <v>744</v>
      </c>
      <c r="G18" s="35">
        <v>17972</v>
      </c>
      <c r="H18" s="35">
        <v>66502</v>
      </c>
      <c r="I18" s="35">
        <v>70415</v>
      </c>
      <c r="J18" s="35">
        <v>68322</v>
      </c>
      <c r="K18" s="35">
        <v>72473</v>
      </c>
      <c r="L18" s="35">
        <v>70350</v>
      </c>
      <c r="M18" s="35">
        <v>22025</v>
      </c>
      <c r="N18" s="35">
        <v>4066</v>
      </c>
      <c r="O18" s="35">
        <v>780</v>
      </c>
      <c r="Q18" s="173"/>
    </row>
    <row r="19" spans="1:17" x14ac:dyDescent="0.25">
      <c r="A19" s="5" t="s">
        <v>304</v>
      </c>
      <c r="B19" s="172">
        <f t="shared" si="1"/>
        <v>3.5529283950926506E-2</v>
      </c>
      <c r="C19" s="35">
        <f t="shared" si="2"/>
        <v>340440</v>
      </c>
      <c r="D19" s="35">
        <v>476</v>
      </c>
      <c r="E19" s="35">
        <v>402</v>
      </c>
      <c r="F19" s="35">
        <v>549</v>
      </c>
      <c r="G19" s="35">
        <v>11583</v>
      </c>
      <c r="H19" s="35">
        <v>53880</v>
      </c>
      <c r="I19" s="35">
        <v>64184</v>
      </c>
      <c r="J19" s="35">
        <v>65462</v>
      </c>
      <c r="K19" s="35">
        <v>66560</v>
      </c>
      <c r="L19" s="35">
        <v>59931</v>
      </c>
      <c r="M19" s="35">
        <v>14268</v>
      </c>
      <c r="N19" s="35">
        <v>2571</v>
      </c>
      <c r="O19" s="35">
        <v>574</v>
      </c>
      <c r="Q19" s="173"/>
    </row>
    <row r="20" spans="1:17" x14ac:dyDescent="0.25">
      <c r="A20" s="5" t="s">
        <v>305</v>
      </c>
      <c r="B20" s="172">
        <f t="shared" si="1"/>
        <v>2.9627252476138743E-2</v>
      </c>
      <c r="C20" s="35">
        <f t="shared" si="2"/>
        <v>283887</v>
      </c>
      <c r="D20" s="35">
        <v>387</v>
      </c>
      <c r="E20" s="35">
        <v>347</v>
      </c>
      <c r="F20" s="35">
        <v>431</v>
      </c>
      <c r="G20" s="35">
        <v>7575</v>
      </c>
      <c r="H20" s="35">
        <v>42010</v>
      </c>
      <c r="I20" s="35">
        <v>55864</v>
      </c>
      <c r="J20" s="35">
        <v>59202</v>
      </c>
      <c r="K20" s="35">
        <v>57710</v>
      </c>
      <c r="L20" s="35">
        <v>48739</v>
      </c>
      <c r="M20" s="35">
        <v>9511</v>
      </c>
      <c r="N20" s="35">
        <v>1692</v>
      </c>
      <c r="O20" s="35">
        <v>419</v>
      </c>
      <c r="Q20" s="173"/>
    </row>
    <row r="21" spans="1:17" x14ac:dyDescent="0.25">
      <c r="A21" s="5" t="s">
        <v>306</v>
      </c>
      <c r="B21" s="172">
        <f t="shared" si="1"/>
        <v>2.4005539579344717E-2</v>
      </c>
      <c r="C21" s="35">
        <f t="shared" si="2"/>
        <v>230020</v>
      </c>
      <c r="D21" s="35">
        <v>354</v>
      </c>
      <c r="E21" s="35">
        <v>270</v>
      </c>
      <c r="F21" s="35">
        <v>358</v>
      </c>
      <c r="G21" s="35">
        <v>5030</v>
      </c>
      <c r="H21" s="35">
        <v>32305</v>
      </c>
      <c r="I21" s="35">
        <v>46325</v>
      </c>
      <c r="J21" s="35">
        <v>51407</v>
      </c>
      <c r="K21" s="35">
        <v>48066</v>
      </c>
      <c r="L21" s="35">
        <v>38209</v>
      </c>
      <c r="M21" s="35">
        <v>6162</v>
      </c>
      <c r="N21" s="35">
        <v>1162</v>
      </c>
      <c r="O21" s="35">
        <v>372</v>
      </c>
      <c r="Q21" s="173"/>
    </row>
    <row r="22" spans="1:17" x14ac:dyDescent="0.25">
      <c r="A22" s="5" t="s">
        <v>307</v>
      </c>
      <c r="B22" s="172">
        <f t="shared" si="1"/>
        <v>1.9050392117266259E-2</v>
      </c>
      <c r="C22" s="35">
        <f t="shared" si="2"/>
        <v>182540</v>
      </c>
      <c r="D22" s="35">
        <v>253</v>
      </c>
      <c r="E22" s="35">
        <v>220</v>
      </c>
      <c r="F22" s="35">
        <v>270</v>
      </c>
      <c r="G22" s="35">
        <v>3525</v>
      </c>
      <c r="H22" s="35">
        <v>23875</v>
      </c>
      <c r="I22" s="35">
        <v>37354</v>
      </c>
      <c r="J22" s="35">
        <v>43601</v>
      </c>
      <c r="K22" s="35">
        <v>38869</v>
      </c>
      <c r="L22" s="35">
        <v>29273</v>
      </c>
      <c r="M22" s="35">
        <v>4211</v>
      </c>
      <c r="N22" s="35">
        <v>814</v>
      </c>
      <c r="O22" s="35">
        <v>275</v>
      </c>
      <c r="Q22" s="173"/>
    </row>
    <row r="23" spans="1:17" x14ac:dyDescent="0.25">
      <c r="A23" s="5" t="s">
        <v>308</v>
      </c>
      <c r="B23" s="172">
        <f t="shared" si="1"/>
        <v>1.4726952902617472E-2</v>
      </c>
      <c r="C23" s="35">
        <f t="shared" si="2"/>
        <v>141113</v>
      </c>
      <c r="D23" s="35">
        <v>251</v>
      </c>
      <c r="E23" s="35">
        <v>206</v>
      </c>
      <c r="F23" s="35">
        <v>234</v>
      </c>
      <c r="G23" s="35">
        <v>2409</v>
      </c>
      <c r="H23" s="35">
        <v>17775</v>
      </c>
      <c r="I23" s="35">
        <v>29150</v>
      </c>
      <c r="J23" s="35">
        <v>34992</v>
      </c>
      <c r="K23" s="35">
        <v>30453</v>
      </c>
      <c r="L23" s="35">
        <v>21882</v>
      </c>
      <c r="M23" s="35">
        <v>2883</v>
      </c>
      <c r="N23" s="35">
        <v>614</v>
      </c>
      <c r="O23" s="35">
        <v>264</v>
      </c>
      <c r="Q23" s="173"/>
    </row>
    <row r="24" spans="1:17" x14ac:dyDescent="0.25">
      <c r="A24" s="5" t="s">
        <v>309</v>
      </c>
      <c r="B24" s="172">
        <f t="shared" si="1"/>
        <v>1.1404144561313428E-2</v>
      </c>
      <c r="C24" s="35">
        <f t="shared" si="2"/>
        <v>109274</v>
      </c>
      <c r="D24" s="35">
        <v>200</v>
      </c>
      <c r="E24" s="35">
        <v>195</v>
      </c>
      <c r="F24" s="35">
        <v>204</v>
      </c>
      <c r="G24" s="35">
        <v>1725</v>
      </c>
      <c r="H24" s="35">
        <v>12918</v>
      </c>
      <c r="I24" s="35">
        <v>23050</v>
      </c>
      <c r="J24" s="35">
        <v>27970</v>
      </c>
      <c r="K24" s="35">
        <v>23552</v>
      </c>
      <c r="L24" s="35">
        <v>16674</v>
      </c>
      <c r="M24" s="35">
        <v>2092</v>
      </c>
      <c r="N24" s="35">
        <v>486</v>
      </c>
      <c r="O24" s="35">
        <v>208</v>
      </c>
      <c r="Q24" s="173"/>
    </row>
    <row r="25" spans="1:17" x14ac:dyDescent="0.25">
      <c r="A25" s="5" t="s">
        <v>310</v>
      </c>
      <c r="B25" s="172">
        <f t="shared" si="1"/>
        <v>8.7338126718399332E-3</v>
      </c>
      <c r="C25" s="35">
        <f t="shared" si="2"/>
        <v>83687</v>
      </c>
      <c r="D25" s="35">
        <v>204</v>
      </c>
      <c r="E25" s="35">
        <v>179</v>
      </c>
      <c r="F25" s="35">
        <v>180</v>
      </c>
      <c r="G25" s="35">
        <v>1272</v>
      </c>
      <c r="H25" s="35">
        <v>9783</v>
      </c>
      <c r="I25" s="35">
        <v>17606</v>
      </c>
      <c r="J25" s="35">
        <v>22015</v>
      </c>
      <c r="K25" s="35">
        <v>18276</v>
      </c>
      <c r="L25" s="35">
        <v>12162</v>
      </c>
      <c r="M25" s="35">
        <v>1455</v>
      </c>
      <c r="N25" s="35">
        <v>363</v>
      </c>
      <c r="O25" s="35">
        <v>192</v>
      </c>
      <c r="Q25" s="173"/>
    </row>
    <row r="26" spans="1:17" x14ac:dyDescent="0.25">
      <c r="A26" s="5" t="s">
        <v>311</v>
      </c>
      <c r="B26" s="172">
        <f t="shared" si="1"/>
        <v>6.6665936126813373E-3</v>
      </c>
      <c r="C26" s="35">
        <f t="shared" si="2"/>
        <v>63879</v>
      </c>
      <c r="D26" s="35">
        <v>166</v>
      </c>
      <c r="E26" s="35">
        <v>161</v>
      </c>
      <c r="F26" s="35">
        <v>129</v>
      </c>
      <c r="G26" s="35">
        <v>967</v>
      </c>
      <c r="H26" s="35">
        <v>7102</v>
      </c>
      <c r="I26" s="35">
        <v>13236</v>
      </c>
      <c r="J26" s="35">
        <v>17435</v>
      </c>
      <c r="K26" s="35">
        <v>13840</v>
      </c>
      <c r="L26" s="35">
        <v>9263</v>
      </c>
      <c r="M26" s="35">
        <v>1127</v>
      </c>
      <c r="N26" s="35">
        <v>293</v>
      </c>
      <c r="O26" s="35">
        <v>160</v>
      </c>
      <c r="Q26" s="173"/>
    </row>
    <row r="27" spans="1:17" x14ac:dyDescent="0.25">
      <c r="A27" s="5" t="s">
        <v>312</v>
      </c>
      <c r="B27" s="172">
        <f t="shared" si="1"/>
        <v>5.1327730092658548E-3</v>
      </c>
      <c r="C27" s="35">
        <f t="shared" si="2"/>
        <v>49182</v>
      </c>
      <c r="D27" s="35">
        <v>161</v>
      </c>
      <c r="E27" s="35">
        <v>130</v>
      </c>
      <c r="F27" s="35">
        <v>168</v>
      </c>
      <c r="G27" s="35">
        <v>750</v>
      </c>
      <c r="H27" s="35">
        <v>5423</v>
      </c>
      <c r="I27" s="35">
        <v>10246</v>
      </c>
      <c r="J27" s="35">
        <v>13368</v>
      </c>
      <c r="K27" s="35">
        <v>10658</v>
      </c>
      <c r="L27" s="35">
        <v>7005</v>
      </c>
      <c r="M27" s="35">
        <v>873</v>
      </c>
      <c r="N27" s="35">
        <v>247</v>
      </c>
      <c r="O27" s="35">
        <v>153</v>
      </c>
      <c r="Q27" s="173"/>
    </row>
    <row r="28" spans="1:17" x14ac:dyDescent="0.25">
      <c r="A28" s="5" t="s">
        <v>313</v>
      </c>
      <c r="B28" s="172">
        <f t="shared" si="1"/>
        <v>3.9329134816433594E-3</v>
      </c>
      <c r="C28" s="35">
        <f t="shared" si="2"/>
        <v>37685</v>
      </c>
      <c r="D28" s="35">
        <v>135</v>
      </c>
      <c r="E28" s="35">
        <v>134</v>
      </c>
      <c r="F28" s="35">
        <v>142</v>
      </c>
      <c r="G28" s="35">
        <v>576</v>
      </c>
      <c r="H28" s="35">
        <v>4075</v>
      </c>
      <c r="I28" s="35">
        <v>8035</v>
      </c>
      <c r="J28" s="35">
        <v>10294</v>
      </c>
      <c r="K28" s="35">
        <v>8101</v>
      </c>
      <c r="L28" s="35">
        <v>5197</v>
      </c>
      <c r="M28" s="35">
        <v>657</v>
      </c>
      <c r="N28" s="35">
        <v>205</v>
      </c>
      <c r="O28" s="35">
        <v>134</v>
      </c>
      <c r="Q28" s="173"/>
    </row>
    <row r="29" spans="1:17" x14ac:dyDescent="0.25">
      <c r="A29" s="5" t="s">
        <v>314</v>
      </c>
      <c r="B29" s="172">
        <f t="shared" si="1"/>
        <v>3.0481253564643125E-3</v>
      </c>
      <c r="C29" s="35">
        <f t="shared" si="2"/>
        <v>29207</v>
      </c>
      <c r="D29" s="35">
        <v>142</v>
      </c>
      <c r="E29" s="35">
        <v>154</v>
      </c>
      <c r="F29" s="35">
        <v>134</v>
      </c>
      <c r="G29" s="35">
        <v>444</v>
      </c>
      <c r="H29" s="35">
        <v>3121</v>
      </c>
      <c r="I29" s="35">
        <v>6096</v>
      </c>
      <c r="J29" s="35">
        <v>7984</v>
      </c>
      <c r="K29" s="35">
        <v>6278</v>
      </c>
      <c r="L29" s="35">
        <v>4042</v>
      </c>
      <c r="M29" s="35">
        <v>529</v>
      </c>
      <c r="N29" s="35">
        <v>172</v>
      </c>
      <c r="O29" s="35">
        <v>111</v>
      </c>
      <c r="Q29" s="173"/>
    </row>
    <row r="30" spans="1:17" x14ac:dyDescent="0.25">
      <c r="A30" s="5" t="s">
        <v>315</v>
      </c>
      <c r="B30" s="172">
        <f t="shared" si="1"/>
        <v>2.4191305427754568E-3</v>
      </c>
      <c r="C30" s="35">
        <f t="shared" si="2"/>
        <v>23180</v>
      </c>
      <c r="D30" s="35">
        <v>112</v>
      </c>
      <c r="E30" s="35">
        <v>136</v>
      </c>
      <c r="F30" s="35">
        <v>132</v>
      </c>
      <c r="G30" s="35">
        <v>366</v>
      </c>
      <c r="H30" s="35">
        <v>2469</v>
      </c>
      <c r="I30" s="35">
        <v>4742</v>
      </c>
      <c r="J30" s="35">
        <v>6472</v>
      </c>
      <c r="K30" s="35">
        <v>4734</v>
      </c>
      <c r="L30" s="35">
        <v>3321</v>
      </c>
      <c r="M30" s="35">
        <v>422</v>
      </c>
      <c r="N30" s="35">
        <v>165</v>
      </c>
      <c r="O30" s="35">
        <v>109</v>
      </c>
      <c r="Q30" s="173"/>
    </row>
    <row r="31" spans="1:17" x14ac:dyDescent="0.25">
      <c r="A31" s="5" t="s">
        <v>316</v>
      </c>
      <c r="B31" s="172">
        <f t="shared" si="1"/>
        <v>1.8763394317756659E-3</v>
      </c>
      <c r="C31" s="35">
        <f t="shared" si="2"/>
        <v>17979</v>
      </c>
      <c r="D31" s="35">
        <v>112</v>
      </c>
      <c r="E31" s="35">
        <v>118</v>
      </c>
      <c r="F31" s="35">
        <v>111</v>
      </c>
      <c r="G31" s="35">
        <v>305</v>
      </c>
      <c r="H31" s="35">
        <v>1933</v>
      </c>
      <c r="I31" s="35">
        <v>3680</v>
      </c>
      <c r="J31" s="35">
        <v>4926</v>
      </c>
      <c r="K31" s="35">
        <v>3715</v>
      </c>
      <c r="L31" s="35">
        <v>2523</v>
      </c>
      <c r="M31" s="35">
        <v>325</v>
      </c>
      <c r="N31" s="35">
        <v>132</v>
      </c>
      <c r="O31" s="35">
        <v>99</v>
      </c>
      <c r="Q31" s="173"/>
    </row>
    <row r="32" spans="1:17" x14ac:dyDescent="0.25">
      <c r="A32" s="5" t="s">
        <v>317</v>
      </c>
      <c r="B32" s="172">
        <f t="shared" si="1"/>
        <v>1.5378907540267097E-3</v>
      </c>
      <c r="C32" s="35">
        <f t="shared" si="2"/>
        <v>14736</v>
      </c>
      <c r="D32" s="35">
        <v>104</v>
      </c>
      <c r="E32" s="35">
        <v>107</v>
      </c>
      <c r="F32" s="35">
        <v>115</v>
      </c>
      <c r="G32" s="35">
        <v>269</v>
      </c>
      <c r="H32" s="35">
        <v>1545</v>
      </c>
      <c r="I32" s="35">
        <v>3044</v>
      </c>
      <c r="J32" s="35">
        <v>3923</v>
      </c>
      <c r="K32" s="35">
        <v>3181</v>
      </c>
      <c r="L32" s="35">
        <v>1956</v>
      </c>
      <c r="M32" s="35">
        <v>283</v>
      </c>
      <c r="N32" s="35">
        <v>122</v>
      </c>
      <c r="O32" s="35">
        <v>87</v>
      </c>
      <c r="Q32" s="173"/>
    </row>
    <row r="33" spans="1:17" x14ac:dyDescent="0.25">
      <c r="A33" s="5" t="s">
        <v>251</v>
      </c>
      <c r="B33" s="172">
        <f t="shared" si="1"/>
        <v>8.0862412733100925E-3</v>
      </c>
      <c r="C33" s="35">
        <f t="shared" si="2"/>
        <v>77482</v>
      </c>
      <c r="D33" s="35">
        <v>1278</v>
      </c>
      <c r="E33" s="35">
        <v>1296</v>
      </c>
      <c r="F33" s="35">
        <v>1267</v>
      </c>
      <c r="G33" s="35">
        <v>2056</v>
      </c>
      <c r="H33" s="35">
        <v>7937</v>
      </c>
      <c r="I33" s="35">
        <v>15060</v>
      </c>
      <c r="J33" s="35">
        <v>19476</v>
      </c>
      <c r="K33" s="35">
        <v>14785</v>
      </c>
      <c r="L33" s="35">
        <v>9867</v>
      </c>
      <c r="M33" s="35">
        <v>2106</v>
      </c>
      <c r="N33" s="35">
        <v>1398</v>
      </c>
      <c r="O33" s="35">
        <v>956</v>
      </c>
      <c r="Q33" s="173"/>
    </row>
    <row r="34" spans="1:17" x14ac:dyDescent="0.25">
      <c r="A34" s="174" t="s">
        <v>318</v>
      </c>
      <c r="B34" s="175">
        <f>SUM(B7:B33)</f>
        <v>0.99999999999999989</v>
      </c>
      <c r="C34" s="176">
        <f>SUM(C7:C33)</f>
        <v>9581955</v>
      </c>
      <c r="D34" s="176">
        <f t="shared" ref="D34:O34" si="3">SUM(D7:D33)</f>
        <v>793660</v>
      </c>
      <c r="E34" s="176">
        <f t="shared" si="3"/>
        <v>794575</v>
      </c>
      <c r="F34" s="176">
        <f t="shared" si="3"/>
        <v>795425</v>
      </c>
      <c r="G34" s="176">
        <f t="shared" si="3"/>
        <v>796625</v>
      </c>
      <c r="H34" s="176">
        <f t="shared" si="3"/>
        <v>797445</v>
      </c>
      <c r="I34" s="176">
        <f t="shared" si="3"/>
        <v>798366</v>
      </c>
      <c r="J34" s="176">
        <f t="shared" si="3"/>
        <v>798966</v>
      </c>
      <c r="K34" s="176">
        <f t="shared" si="3"/>
        <v>799808</v>
      </c>
      <c r="L34" s="176">
        <f t="shared" si="3"/>
        <v>800780</v>
      </c>
      <c r="M34" s="176">
        <f t="shared" si="3"/>
        <v>801556</v>
      </c>
      <c r="N34" s="176">
        <f t="shared" si="3"/>
        <v>802079</v>
      </c>
      <c r="O34" s="176">
        <f t="shared" si="3"/>
        <v>802670</v>
      </c>
      <c r="Q34" s="173"/>
    </row>
  </sheetData>
  <mergeCells count="4">
    <mergeCell ref="A1:O1"/>
    <mergeCell ref="A2:O2"/>
    <mergeCell ref="A3:O3"/>
    <mergeCell ref="A4:O4"/>
  </mergeCells>
  <pageMargins left="0.7" right="0.7" top="0.75" bottom="0.75" header="0.3" footer="0.3"/>
  <pageSetup scale="78" orientation="landscape" horizontalDpi="90" verticalDpi="90" r:id="rId1"/>
  <headerFooter>
    <oddFooter>&amp;L&amp;F
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1:R41"/>
  <sheetViews>
    <sheetView zoomScale="90" zoomScaleNormal="90" workbookViewId="0">
      <selection activeCell="L20" sqref="L20"/>
    </sheetView>
  </sheetViews>
  <sheetFormatPr defaultColWidth="9.140625" defaultRowHeight="15" x14ac:dyDescent="0.25"/>
  <cols>
    <col min="1" max="1" width="1.5703125" style="21" customWidth="1"/>
    <col min="2" max="2" width="14.85546875" style="21" customWidth="1"/>
    <col min="3" max="3" width="2.85546875" style="21" customWidth="1"/>
    <col min="4" max="15" width="13.42578125" style="21" customWidth="1"/>
    <col min="16" max="16" width="14" style="21" customWidth="1"/>
    <col min="17" max="16384" width="9.140625" style="21"/>
  </cols>
  <sheetData>
    <row r="1" spans="2:18" x14ac:dyDescent="0.25">
      <c r="B1" s="226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</row>
    <row r="2" spans="2:18" x14ac:dyDescent="0.25">
      <c r="B2" s="227" t="s">
        <v>186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2:18" x14ac:dyDescent="0.25">
      <c r="B3" s="227" t="s">
        <v>255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2:18" x14ac:dyDescent="0.25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8" x14ac:dyDescent="0.25">
      <c r="B5" s="21" t="s">
        <v>185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7" spans="2:18" x14ac:dyDescent="0.25">
      <c r="B7" s="24" t="s">
        <v>21</v>
      </c>
      <c r="D7" s="29">
        <v>44927</v>
      </c>
      <c r="E7" s="29">
        <f>EDATE(D7,1)</f>
        <v>44958</v>
      </c>
      <c r="F7" s="29">
        <f t="shared" ref="F7:O7" si="0">EDATE(E7,1)</f>
        <v>44986</v>
      </c>
      <c r="G7" s="29">
        <f t="shared" si="0"/>
        <v>45017</v>
      </c>
      <c r="H7" s="29">
        <f t="shared" si="0"/>
        <v>45047</v>
      </c>
      <c r="I7" s="29">
        <f t="shared" si="0"/>
        <v>45078</v>
      </c>
      <c r="J7" s="29">
        <f t="shared" si="0"/>
        <v>45108</v>
      </c>
      <c r="K7" s="29">
        <f t="shared" si="0"/>
        <v>45139</v>
      </c>
      <c r="L7" s="29">
        <f t="shared" si="0"/>
        <v>45170</v>
      </c>
      <c r="M7" s="29">
        <f t="shared" si="0"/>
        <v>45200</v>
      </c>
      <c r="N7" s="29">
        <f t="shared" si="0"/>
        <v>45231</v>
      </c>
      <c r="O7" s="29">
        <f t="shared" si="0"/>
        <v>45261</v>
      </c>
      <c r="P7" s="24" t="s">
        <v>6</v>
      </c>
    </row>
    <row r="8" spans="2:18" x14ac:dyDescent="0.25">
      <c r="B8" s="25"/>
    </row>
    <row r="9" spans="2:18" x14ac:dyDescent="0.25">
      <c r="B9" s="12">
        <v>16</v>
      </c>
      <c r="D9" s="156">
        <f>'[2]RY#1 Therms'!B36</f>
        <v>736</v>
      </c>
      <c r="E9" s="156">
        <f>'[2]RY#1 Therms'!C36</f>
        <v>736</v>
      </c>
      <c r="F9" s="156">
        <f>'[2]RY#1 Therms'!D36</f>
        <v>736</v>
      </c>
      <c r="G9" s="156">
        <f>'[2]RY#1 Therms'!E36</f>
        <v>736</v>
      </c>
      <c r="H9" s="156">
        <f>'[2]RY#1 Therms'!F36</f>
        <v>736</v>
      </c>
      <c r="I9" s="156">
        <f>'[2]RY#1 Therms'!G36</f>
        <v>736</v>
      </c>
      <c r="J9" s="156">
        <f>'[2]RY#1 Therms'!H36</f>
        <v>736</v>
      </c>
      <c r="K9" s="156">
        <f>'[2]RY#1 Therms'!I36</f>
        <v>736</v>
      </c>
      <c r="L9" s="156">
        <f>'[2]RY#1 Therms'!J36</f>
        <v>736</v>
      </c>
      <c r="M9" s="156">
        <f>'[2]RY#1 Therms'!K36</f>
        <v>736</v>
      </c>
      <c r="N9" s="156">
        <f>'[2]RY#1 Therms'!L36</f>
        <v>736</v>
      </c>
      <c r="O9" s="156">
        <f>'[2]RY#1 Therms'!M36</f>
        <v>736</v>
      </c>
      <c r="P9" s="23">
        <f>SUM(D9:O9)</f>
        <v>8832</v>
      </c>
      <c r="R9" s="53"/>
    </row>
    <row r="10" spans="2:18" x14ac:dyDescent="0.25">
      <c r="B10" s="25">
        <v>23</v>
      </c>
      <c r="D10" s="156">
        <f>'[2]RY#1 Therms'!B37</f>
        <v>97941516</v>
      </c>
      <c r="E10" s="156">
        <f>'[2]RY#1 Therms'!C37</f>
        <v>83022104</v>
      </c>
      <c r="F10" s="156">
        <f>'[2]RY#1 Therms'!D37</f>
        <v>75914577</v>
      </c>
      <c r="G10" s="156">
        <f>'[2]RY#1 Therms'!E37</f>
        <v>53571434</v>
      </c>
      <c r="H10" s="156">
        <f>'[2]RY#1 Therms'!F37</f>
        <v>30561974</v>
      </c>
      <c r="I10" s="156">
        <f>'[2]RY#1 Therms'!G37</f>
        <v>20171882</v>
      </c>
      <c r="J10" s="156">
        <f>'[2]RY#1 Therms'!H37</f>
        <v>14529332</v>
      </c>
      <c r="K10" s="156">
        <f>'[2]RY#1 Therms'!I37</f>
        <v>13851846</v>
      </c>
      <c r="L10" s="156">
        <f>'[2]RY#1 Therms'!J37</f>
        <v>20485033</v>
      </c>
      <c r="M10" s="156">
        <f>'[2]RY#1 Therms'!K37</f>
        <v>47224738</v>
      </c>
      <c r="N10" s="156">
        <f>'[2]RY#1 Therms'!L37</f>
        <v>77482026</v>
      </c>
      <c r="O10" s="156">
        <f>'[2]RY#1 Therms'!M37</f>
        <v>101612899</v>
      </c>
      <c r="P10" s="23">
        <f>SUM(D10:O10)</f>
        <v>636369361</v>
      </c>
      <c r="R10" s="53"/>
    </row>
    <row r="11" spans="2:18" x14ac:dyDescent="0.25">
      <c r="B11" s="25">
        <v>53</v>
      </c>
      <c r="D11" s="156">
        <f>'[2]RY#1 Therms'!B38</f>
        <v>0</v>
      </c>
      <c r="E11" s="156">
        <f>'[2]RY#1 Therms'!C38</f>
        <v>0</v>
      </c>
      <c r="F11" s="156">
        <f>'[2]RY#1 Therms'!D38</f>
        <v>0</v>
      </c>
      <c r="G11" s="156">
        <f>'[2]RY#1 Therms'!E38</f>
        <v>0</v>
      </c>
      <c r="H11" s="156">
        <f>'[2]RY#1 Therms'!F38</f>
        <v>0</v>
      </c>
      <c r="I11" s="156">
        <f>'[2]RY#1 Therms'!G38</f>
        <v>0</v>
      </c>
      <c r="J11" s="156">
        <f>'[2]RY#1 Therms'!H38</f>
        <v>0</v>
      </c>
      <c r="K11" s="156">
        <f>'[2]RY#1 Therms'!I38</f>
        <v>0</v>
      </c>
      <c r="L11" s="156">
        <f>'[2]RY#1 Therms'!J38</f>
        <v>0</v>
      </c>
      <c r="M11" s="156">
        <f>'[2]RY#1 Therms'!K38</f>
        <v>0</v>
      </c>
      <c r="N11" s="156">
        <f>'[2]RY#1 Therms'!L38</f>
        <v>0</v>
      </c>
      <c r="O11" s="156">
        <f>'[2]RY#1 Therms'!M38</f>
        <v>0</v>
      </c>
      <c r="P11" s="23">
        <f t="shared" ref="P11:P26" si="1">SUM(D11:O11)</f>
        <v>0</v>
      </c>
      <c r="R11" s="53"/>
    </row>
    <row r="12" spans="2:18" x14ac:dyDescent="0.25">
      <c r="B12" s="25">
        <v>31</v>
      </c>
      <c r="D12" s="156">
        <f>'[2]RY#1 Therms'!B39</f>
        <v>32813556</v>
      </c>
      <c r="E12" s="156">
        <f>'[2]RY#1 Therms'!C39</f>
        <v>30024227</v>
      </c>
      <c r="F12" s="156">
        <f>'[2]RY#1 Therms'!D39</f>
        <v>27311157</v>
      </c>
      <c r="G12" s="156">
        <f>'[2]RY#1 Therms'!E39</f>
        <v>19906498</v>
      </c>
      <c r="H12" s="156">
        <f>'[2]RY#1 Therms'!F39</f>
        <v>14088839</v>
      </c>
      <c r="I12" s="156">
        <f>'[2]RY#1 Therms'!G39</f>
        <v>10820806</v>
      </c>
      <c r="J12" s="156">
        <f>'[2]RY#1 Therms'!H39</f>
        <v>8981782</v>
      </c>
      <c r="K12" s="156">
        <f>'[2]RY#1 Therms'!I39</f>
        <v>9265748</v>
      </c>
      <c r="L12" s="156">
        <f>'[2]RY#1 Therms'!J39</f>
        <v>10441065</v>
      </c>
      <c r="M12" s="156">
        <f>'[2]RY#1 Therms'!K39</f>
        <v>17481865</v>
      </c>
      <c r="N12" s="156">
        <f>'[2]RY#1 Therms'!L39</f>
        <v>26613144</v>
      </c>
      <c r="O12" s="156">
        <f>'[2]RY#1 Therms'!M39</f>
        <v>35443561</v>
      </c>
      <c r="P12" s="23">
        <f t="shared" si="1"/>
        <v>243192248</v>
      </c>
      <c r="R12" s="53"/>
    </row>
    <row r="13" spans="2:18" x14ac:dyDescent="0.25">
      <c r="B13" s="25">
        <v>41</v>
      </c>
      <c r="D13" s="156">
        <f>'[2]RY#1 Therms'!B40</f>
        <v>7910759</v>
      </c>
      <c r="E13" s="156">
        <f>'[2]RY#1 Therms'!C40</f>
        <v>7671023</v>
      </c>
      <c r="F13" s="156">
        <f>'[2]RY#1 Therms'!D40</f>
        <v>7204827</v>
      </c>
      <c r="G13" s="156">
        <f>'[2]RY#1 Therms'!E40</f>
        <v>5641062</v>
      </c>
      <c r="H13" s="156">
        <f>'[2]RY#1 Therms'!F40</f>
        <v>4422143</v>
      </c>
      <c r="I13" s="156">
        <f>'[2]RY#1 Therms'!G40</f>
        <v>3620707</v>
      </c>
      <c r="J13" s="156">
        <f>'[2]RY#1 Therms'!H40</f>
        <v>2879055</v>
      </c>
      <c r="K13" s="156">
        <f>'[2]RY#1 Therms'!I40</f>
        <v>2993984</v>
      </c>
      <c r="L13" s="156">
        <f>'[2]RY#1 Therms'!J40</f>
        <v>3434869</v>
      </c>
      <c r="M13" s="156">
        <f>'[2]RY#1 Therms'!K40</f>
        <v>5338183</v>
      </c>
      <c r="N13" s="156">
        <f>'[2]RY#1 Therms'!L40</f>
        <v>7301859</v>
      </c>
      <c r="O13" s="156">
        <f>'[2]RY#1 Therms'!M40</f>
        <v>8504414</v>
      </c>
      <c r="P13" s="23">
        <f t="shared" si="1"/>
        <v>66922885</v>
      </c>
      <c r="R13" s="53"/>
    </row>
    <row r="14" spans="2:18" x14ac:dyDescent="0.25">
      <c r="B14" s="25">
        <v>85</v>
      </c>
      <c r="D14" s="156">
        <f>'[2]RY#1 Therms'!B41</f>
        <v>1198131</v>
      </c>
      <c r="E14" s="156">
        <f>'[2]RY#1 Therms'!C41</f>
        <v>1185502</v>
      </c>
      <c r="F14" s="156">
        <f>'[2]RY#1 Therms'!D41</f>
        <v>1088002</v>
      </c>
      <c r="G14" s="156">
        <f>'[2]RY#1 Therms'!E41</f>
        <v>873041</v>
      </c>
      <c r="H14" s="156">
        <f>'[2]RY#1 Therms'!F41</f>
        <v>810165</v>
      </c>
      <c r="I14" s="156">
        <f>'[2]RY#1 Therms'!G41</f>
        <v>636889</v>
      </c>
      <c r="J14" s="156">
        <f>'[2]RY#1 Therms'!H41</f>
        <v>601480</v>
      </c>
      <c r="K14" s="156">
        <f>'[2]RY#1 Therms'!I41</f>
        <v>658848</v>
      </c>
      <c r="L14" s="156">
        <f>'[2]RY#1 Therms'!J41</f>
        <v>666097</v>
      </c>
      <c r="M14" s="156">
        <f>'[2]RY#1 Therms'!K41</f>
        <v>946492</v>
      </c>
      <c r="N14" s="156">
        <f>'[2]RY#1 Therms'!L41</f>
        <v>1081303</v>
      </c>
      <c r="O14" s="156">
        <f>'[2]RY#1 Therms'!M41</f>
        <v>1378690</v>
      </c>
      <c r="P14" s="23">
        <f t="shared" si="1"/>
        <v>11124640</v>
      </c>
      <c r="R14" s="53"/>
    </row>
    <row r="15" spans="2:18" x14ac:dyDescent="0.25">
      <c r="B15" s="25">
        <v>86</v>
      </c>
      <c r="D15" s="156">
        <f>'[2]RY#1 Therms'!B42</f>
        <v>759018</v>
      </c>
      <c r="E15" s="156">
        <f>'[2]RY#1 Therms'!C42</f>
        <v>747461</v>
      </c>
      <c r="F15" s="156">
        <f>'[2]RY#1 Therms'!D42</f>
        <v>701258</v>
      </c>
      <c r="G15" s="156">
        <f>'[2]RY#1 Therms'!E42</f>
        <v>488482</v>
      </c>
      <c r="H15" s="156">
        <f>'[2]RY#1 Therms'!F42</f>
        <v>417860</v>
      </c>
      <c r="I15" s="156">
        <f>'[2]RY#1 Therms'!G42</f>
        <v>257965</v>
      </c>
      <c r="J15" s="156">
        <f>'[2]RY#1 Therms'!H42</f>
        <v>186909</v>
      </c>
      <c r="K15" s="156">
        <f>'[2]RY#1 Therms'!I42</f>
        <v>152379</v>
      </c>
      <c r="L15" s="156">
        <f>'[2]RY#1 Therms'!J42</f>
        <v>170002</v>
      </c>
      <c r="M15" s="156">
        <f>'[2]RY#1 Therms'!K42</f>
        <v>380238</v>
      </c>
      <c r="N15" s="156">
        <f>'[2]RY#1 Therms'!L42</f>
        <v>579415</v>
      </c>
      <c r="O15" s="156">
        <f>'[2]RY#1 Therms'!M42</f>
        <v>850503</v>
      </c>
      <c r="P15" s="23">
        <f t="shared" si="1"/>
        <v>5691490</v>
      </c>
      <c r="R15" s="53"/>
    </row>
    <row r="16" spans="2:18" x14ac:dyDescent="0.25">
      <c r="B16" s="25">
        <v>87</v>
      </c>
      <c r="D16" s="156">
        <f>'[2]RY#1 Therms'!B43</f>
        <v>2998650.8943750001</v>
      </c>
      <c r="E16" s="156">
        <f>'[2]RY#1 Therms'!C43</f>
        <v>4620973.8603750002</v>
      </c>
      <c r="F16" s="156">
        <f>'[2]RY#1 Therms'!D43</f>
        <v>-230183.26163159739</v>
      </c>
      <c r="G16" s="156">
        <f>'[2]RY#1 Therms'!E43</f>
        <v>2722328.7807902782</v>
      </c>
      <c r="H16" s="156">
        <f>'[2]RY#1 Therms'!F43</f>
        <v>1246699.5224090284</v>
      </c>
      <c r="I16" s="156">
        <f>'[2]RY#1 Therms'!G43</f>
        <v>1711965.7117916665</v>
      </c>
      <c r="J16" s="156">
        <f>'[2]RY#1 Therms'!H43</f>
        <v>204785.59449999995</v>
      </c>
      <c r="K16" s="156">
        <f>'[2]RY#1 Therms'!I43</f>
        <v>2315404.6089999997</v>
      </c>
      <c r="L16" s="156">
        <f>'[2]RY#1 Therms'!J43</f>
        <v>955360.63349999976</v>
      </c>
      <c r="M16" s="156">
        <f>'[2]RY#1 Therms'!K43</f>
        <v>1332643.2697923623</v>
      </c>
      <c r="N16" s="156">
        <f>'[2]RY#1 Therms'!L43</f>
        <v>4079298.5974499993</v>
      </c>
      <c r="O16" s="156">
        <f>'[2]RY#1 Therms'!M43</f>
        <v>-138472.44999652982</v>
      </c>
      <c r="P16" s="23">
        <f t="shared" si="1"/>
        <v>21819455.762355205</v>
      </c>
      <c r="R16" s="53"/>
    </row>
    <row r="17" spans="2:18" x14ac:dyDescent="0.25">
      <c r="B17" s="25" t="s">
        <v>33</v>
      </c>
      <c r="D17" s="156">
        <f>'[2]RY#1 Therms'!B44</f>
        <v>3528</v>
      </c>
      <c r="E17" s="156">
        <f>'[2]RY#1 Therms'!C44</f>
        <v>3764</v>
      </c>
      <c r="F17" s="156">
        <f>'[2]RY#1 Therms'!D44</f>
        <v>3289</v>
      </c>
      <c r="G17" s="156">
        <f>'[2]RY#1 Therms'!E44</f>
        <v>2864</v>
      </c>
      <c r="H17" s="156">
        <f>'[2]RY#1 Therms'!F44</f>
        <v>2114</v>
      </c>
      <c r="I17" s="156">
        <f>'[2]RY#1 Therms'!G44</f>
        <v>1988</v>
      </c>
      <c r="J17" s="156">
        <f>'[2]RY#1 Therms'!H44</f>
        <v>1731</v>
      </c>
      <c r="K17" s="156">
        <f>'[2]RY#1 Therms'!I44</f>
        <v>1953</v>
      </c>
      <c r="L17" s="156">
        <f>'[2]RY#1 Therms'!J44</f>
        <v>2044</v>
      </c>
      <c r="M17" s="156">
        <f>'[2]RY#1 Therms'!K44</f>
        <v>2851</v>
      </c>
      <c r="N17" s="156">
        <f>'[2]RY#1 Therms'!L44</f>
        <v>3983</v>
      </c>
      <c r="O17" s="156">
        <f>'[2]RY#1 Therms'!M44</f>
        <v>4288</v>
      </c>
      <c r="P17" s="23">
        <f t="shared" si="1"/>
        <v>34397</v>
      </c>
      <c r="R17" s="53"/>
    </row>
    <row r="18" spans="2:18" x14ac:dyDescent="0.25">
      <c r="B18" s="25" t="s">
        <v>35</v>
      </c>
      <c r="D18" s="156">
        <f>'[2]RY#1 Therms'!B45</f>
        <v>2116956</v>
      </c>
      <c r="E18" s="156">
        <f>'[2]RY#1 Therms'!C45</f>
        <v>2331781</v>
      </c>
      <c r="F18" s="156">
        <f>'[2]RY#1 Therms'!D45</f>
        <v>1977795</v>
      </c>
      <c r="G18" s="156">
        <f>'[2]RY#1 Therms'!E45</f>
        <v>2219457</v>
      </c>
      <c r="H18" s="156">
        <f>'[2]RY#1 Therms'!F45</f>
        <v>2069887</v>
      </c>
      <c r="I18" s="156">
        <f>'[2]RY#1 Therms'!G45</f>
        <v>2183125</v>
      </c>
      <c r="J18" s="156">
        <f>'[2]RY#1 Therms'!H45</f>
        <v>1984196</v>
      </c>
      <c r="K18" s="156">
        <f>'[2]RY#1 Therms'!I45</f>
        <v>2033669</v>
      </c>
      <c r="L18" s="156">
        <f>'[2]RY#1 Therms'!J45</f>
        <v>1976564</v>
      </c>
      <c r="M18" s="156">
        <f>'[2]RY#1 Therms'!K45</f>
        <v>2014514</v>
      </c>
      <c r="N18" s="156">
        <f>'[2]RY#1 Therms'!L45</f>
        <v>2305708</v>
      </c>
      <c r="O18" s="156">
        <f>'[2]RY#1 Therms'!M45</f>
        <v>2250869</v>
      </c>
      <c r="P18" s="23">
        <f t="shared" si="1"/>
        <v>25464521</v>
      </c>
      <c r="R18" s="53"/>
    </row>
    <row r="19" spans="2:18" x14ac:dyDescent="0.25">
      <c r="B19" s="25" t="s">
        <v>37</v>
      </c>
      <c r="D19" s="156">
        <f>'[2]RY#1 Therms'!B46</f>
        <v>5016441</v>
      </c>
      <c r="E19" s="156">
        <f>'[2]RY#1 Therms'!C46</f>
        <v>6201400</v>
      </c>
      <c r="F19" s="156">
        <f>'[2]RY#1 Therms'!D46</f>
        <v>4921274</v>
      </c>
      <c r="G19" s="156">
        <f>'[2]RY#1 Therms'!E46</f>
        <v>5504027</v>
      </c>
      <c r="H19" s="156">
        <f>'[2]RY#1 Therms'!F46</f>
        <v>4906016</v>
      </c>
      <c r="I19" s="156">
        <f>'[2]RY#1 Therms'!G46</f>
        <v>5236530</v>
      </c>
      <c r="J19" s="156">
        <f>'[2]RY#1 Therms'!H46</f>
        <v>4812895</v>
      </c>
      <c r="K19" s="156">
        <f>'[2]RY#1 Therms'!I46</f>
        <v>4804341</v>
      </c>
      <c r="L19" s="156">
        <f>'[2]RY#1 Therms'!J46</f>
        <v>4845237</v>
      </c>
      <c r="M19" s="156">
        <f>'[2]RY#1 Therms'!K46</f>
        <v>5320951</v>
      </c>
      <c r="N19" s="156">
        <f>'[2]RY#1 Therms'!L46</f>
        <v>5758442</v>
      </c>
      <c r="O19" s="156">
        <f>'[2]RY#1 Therms'!M46</f>
        <v>5459964</v>
      </c>
      <c r="P19" s="23">
        <f t="shared" si="1"/>
        <v>62787518</v>
      </c>
      <c r="R19" s="53"/>
    </row>
    <row r="20" spans="2:18" x14ac:dyDescent="0.25">
      <c r="B20" s="25" t="s">
        <v>39</v>
      </c>
      <c r="D20" s="156">
        <f>'[2]RY#1 Therms'!B47</f>
        <v>42937</v>
      </c>
      <c r="E20" s="156">
        <f>'[2]RY#1 Therms'!C47</f>
        <v>60764</v>
      </c>
      <c r="F20" s="156">
        <f>'[2]RY#1 Therms'!D47</f>
        <v>34773</v>
      </c>
      <c r="G20" s="156">
        <f>'[2]RY#1 Therms'!E47</f>
        <v>44687</v>
      </c>
      <c r="H20" s="156">
        <f>'[2]RY#1 Therms'!F47</f>
        <v>40593</v>
      </c>
      <c r="I20" s="156">
        <f>'[2]RY#1 Therms'!G47</f>
        <v>45663</v>
      </c>
      <c r="J20" s="156">
        <f>'[2]RY#1 Therms'!H47</f>
        <v>45435</v>
      </c>
      <c r="K20" s="156">
        <f>'[2]RY#1 Therms'!I47</f>
        <v>42617</v>
      </c>
      <c r="L20" s="156">
        <f>'[2]RY#1 Therms'!J47</f>
        <v>43435</v>
      </c>
      <c r="M20" s="156">
        <f>'[2]RY#1 Therms'!K47</f>
        <v>42130</v>
      </c>
      <c r="N20" s="156">
        <f>'[2]RY#1 Therms'!L47</f>
        <v>49027</v>
      </c>
      <c r="O20" s="156">
        <f>'[2]RY#1 Therms'!M47</f>
        <v>50348</v>
      </c>
      <c r="P20" s="23">
        <f t="shared" si="1"/>
        <v>542409</v>
      </c>
      <c r="R20" s="53"/>
    </row>
    <row r="21" spans="2:18" x14ac:dyDescent="0.25">
      <c r="B21" s="25" t="s">
        <v>41</v>
      </c>
      <c r="D21" s="156">
        <f>'[2]RY#1 Therms'!B48</f>
        <v>9534334.2782708313</v>
      </c>
      <c r="E21" s="156">
        <f>'[2]RY#1 Therms'!C48</f>
        <v>9083630.6327500008</v>
      </c>
      <c r="F21" s="156">
        <f>'[2]RY#1 Therms'!D48</f>
        <v>11122338.460125834</v>
      </c>
      <c r="G21" s="156">
        <f>'[2]RY#1 Therms'!E48</f>
        <v>11482920.092618749</v>
      </c>
      <c r="H21" s="156">
        <f>'[2]RY#1 Therms'!F48</f>
        <v>11256643.514784165</v>
      </c>
      <c r="I21" s="156">
        <f>'[2]RY#1 Therms'!G48</f>
        <v>10322709.920044998</v>
      </c>
      <c r="J21" s="156">
        <f>'[2]RY#1 Therms'!H48</f>
        <v>9478611.2100000009</v>
      </c>
      <c r="K21" s="156">
        <f>'[2]RY#1 Therms'!I48</f>
        <v>11385047.600000001</v>
      </c>
      <c r="L21" s="156">
        <f>'[2]RY#1 Therms'!J48</f>
        <v>10431732.109999999</v>
      </c>
      <c r="M21" s="156">
        <f>'[2]RY#1 Therms'!K48</f>
        <v>11797093.040597919</v>
      </c>
      <c r="N21" s="156">
        <f>'[2]RY#1 Therms'!L48</f>
        <v>9379606.9908349998</v>
      </c>
      <c r="O21" s="156">
        <f>'[2]RY#1 Therms'!M48</f>
        <v>13678744.795452083</v>
      </c>
      <c r="P21" s="23">
        <f t="shared" si="1"/>
        <v>128953412.64547956</v>
      </c>
      <c r="R21" s="53"/>
    </row>
    <row r="22" spans="2:18" x14ac:dyDescent="0.25">
      <c r="B22" s="25" t="s">
        <v>13</v>
      </c>
      <c r="D22" s="156">
        <f>'[2]RY#1 Therms'!B49</f>
        <v>3285881</v>
      </c>
      <c r="E22" s="156">
        <f>'[2]RY#1 Therms'!C49</f>
        <v>4444835</v>
      </c>
      <c r="F22" s="156">
        <f>'[2]RY#1 Therms'!D49</f>
        <v>2651562</v>
      </c>
      <c r="G22" s="156">
        <f>'[2]RY#1 Therms'!E49</f>
        <v>2584624</v>
      </c>
      <c r="H22" s="156">
        <f>'[2]RY#1 Therms'!F49</f>
        <v>1940500</v>
      </c>
      <c r="I22" s="156">
        <f>'[2]RY#1 Therms'!G49</f>
        <v>1936192</v>
      </c>
      <c r="J22" s="156">
        <f>'[2]RY#1 Therms'!H49</f>
        <v>1696949</v>
      </c>
      <c r="K22" s="156">
        <f>'[2]RY#1 Therms'!I49</f>
        <v>1557426</v>
      </c>
      <c r="L22" s="156">
        <f>'[2]RY#1 Therms'!J49</f>
        <v>1711238</v>
      </c>
      <c r="M22" s="156">
        <f>'[2]RY#1 Therms'!K49</f>
        <v>2425672</v>
      </c>
      <c r="N22" s="156">
        <f>'[2]RY#1 Therms'!L49</f>
        <v>3276015</v>
      </c>
      <c r="O22" s="156">
        <f>'[2]RY#1 Therms'!M49</f>
        <v>3555866</v>
      </c>
      <c r="P22" s="23">
        <f t="shared" si="1"/>
        <v>31066760</v>
      </c>
      <c r="R22" s="53"/>
    </row>
    <row r="23" spans="2:18" x14ac:dyDescent="0.25">
      <c r="B23" s="25" t="s">
        <v>6</v>
      </c>
      <c r="D23" s="26">
        <f t="shared" ref="D23:P23" si="2">SUM(D9:D22)</f>
        <v>163622444.17264584</v>
      </c>
      <c r="E23" s="26">
        <f t="shared" si="2"/>
        <v>149398201.49312499</v>
      </c>
      <c r="F23" s="26">
        <f t="shared" si="2"/>
        <v>132701405.19849424</v>
      </c>
      <c r="G23" s="26">
        <f t="shared" si="2"/>
        <v>105042160.87340903</v>
      </c>
      <c r="H23" s="26">
        <f t="shared" si="2"/>
        <v>71764170.037193194</v>
      </c>
      <c r="I23" s="26">
        <f t="shared" si="2"/>
        <v>56947158.63183666</v>
      </c>
      <c r="J23" s="26">
        <f t="shared" si="2"/>
        <v>45403896.804500006</v>
      </c>
      <c r="K23" s="26">
        <f t="shared" si="2"/>
        <v>49063999.208999999</v>
      </c>
      <c r="L23" s="26">
        <f t="shared" si="2"/>
        <v>55163412.743500002</v>
      </c>
      <c r="M23" s="26">
        <f t="shared" si="2"/>
        <v>94308106.310390279</v>
      </c>
      <c r="N23" s="26">
        <f t="shared" si="2"/>
        <v>137910563.588285</v>
      </c>
      <c r="O23" s="26">
        <f t="shared" si="2"/>
        <v>172652410.34545556</v>
      </c>
      <c r="P23" s="26">
        <f t="shared" si="2"/>
        <v>1233977929.407835</v>
      </c>
    </row>
    <row r="24" spans="2:18" x14ac:dyDescent="0.25">
      <c r="B24" s="25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2:18" x14ac:dyDescent="0.25">
      <c r="B25" s="25" t="s">
        <v>72</v>
      </c>
      <c r="D25" s="23">
        <f t="shared" ref="D25:O25" si="3">SUM(D9:D13)</f>
        <v>138666567</v>
      </c>
      <c r="E25" s="23">
        <f t="shared" si="3"/>
        <v>120718090</v>
      </c>
      <c r="F25" s="23">
        <f t="shared" si="3"/>
        <v>110431297</v>
      </c>
      <c r="G25" s="23">
        <f t="shared" si="3"/>
        <v>79119730</v>
      </c>
      <c r="H25" s="23">
        <f t="shared" si="3"/>
        <v>49073692</v>
      </c>
      <c r="I25" s="23">
        <f t="shared" si="3"/>
        <v>34614131</v>
      </c>
      <c r="J25" s="23">
        <f t="shared" si="3"/>
        <v>26390905</v>
      </c>
      <c r="K25" s="23">
        <f t="shared" si="3"/>
        <v>26112314</v>
      </c>
      <c r="L25" s="23">
        <f t="shared" si="3"/>
        <v>34361703</v>
      </c>
      <c r="M25" s="23">
        <f t="shared" si="3"/>
        <v>70045522</v>
      </c>
      <c r="N25" s="23">
        <f t="shared" si="3"/>
        <v>111397765</v>
      </c>
      <c r="O25" s="23">
        <f t="shared" si="3"/>
        <v>145561610</v>
      </c>
      <c r="P25" s="23">
        <f t="shared" si="1"/>
        <v>946493326</v>
      </c>
    </row>
    <row r="26" spans="2:18" x14ac:dyDescent="0.25">
      <c r="B26" s="25" t="s">
        <v>73</v>
      </c>
      <c r="D26" s="23">
        <f>SUM(D14:D16)</f>
        <v>4955799.8943750001</v>
      </c>
      <c r="E26" s="23">
        <f t="shared" ref="E26:O26" si="4">SUM(E14:E16)</f>
        <v>6553936.8603750002</v>
      </c>
      <c r="F26" s="23">
        <f t="shared" si="4"/>
        <v>1559076.7383684027</v>
      </c>
      <c r="G26" s="23">
        <f t="shared" si="4"/>
        <v>4083851.7807902782</v>
      </c>
      <c r="H26" s="23">
        <f t="shared" si="4"/>
        <v>2474724.5224090284</v>
      </c>
      <c r="I26" s="23">
        <f t="shared" si="4"/>
        <v>2606819.7117916662</v>
      </c>
      <c r="J26" s="23">
        <f t="shared" si="4"/>
        <v>993174.59449999989</v>
      </c>
      <c r="K26" s="23">
        <f t="shared" si="4"/>
        <v>3126631.6089999997</v>
      </c>
      <c r="L26" s="23">
        <f t="shared" si="4"/>
        <v>1791459.6334999998</v>
      </c>
      <c r="M26" s="23">
        <f t="shared" si="4"/>
        <v>2659373.2697923621</v>
      </c>
      <c r="N26" s="23">
        <f t="shared" si="4"/>
        <v>5740016.5974499993</v>
      </c>
      <c r="O26" s="23">
        <f t="shared" si="4"/>
        <v>2090720.5500034702</v>
      </c>
      <c r="P26" s="23">
        <f t="shared" si="1"/>
        <v>38635585.762355208</v>
      </c>
    </row>
    <row r="27" spans="2:18" x14ac:dyDescent="0.25">
      <c r="B27" s="25" t="s">
        <v>74</v>
      </c>
      <c r="D27" s="26">
        <f>SUM(D25:D26)</f>
        <v>143622366.894375</v>
      </c>
      <c r="E27" s="26">
        <f t="shared" ref="E27:P27" si="5">SUM(E25:E26)</f>
        <v>127272026.860375</v>
      </c>
      <c r="F27" s="26">
        <f t="shared" si="5"/>
        <v>111990373.73836841</v>
      </c>
      <c r="G27" s="26">
        <f t="shared" si="5"/>
        <v>83203581.780790284</v>
      </c>
      <c r="H27" s="26">
        <f t="shared" si="5"/>
        <v>51548416.522409029</v>
      </c>
      <c r="I27" s="26">
        <f t="shared" si="5"/>
        <v>37220950.711791664</v>
      </c>
      <c r="J27" s="26">
        <f t="shared" si="5"/>
        <v>27384079.594500002</v>
      </c>
      <c r="K27" s="26">
        <f t="shared" si="5"/>
        <v>29238945.609000001</v>
      </c>
      <c r="L27" s="26">
        <f t="shared" si="5"/>
        <v>36153162.633500002</v>
      </c>
      <c r="M27" s="26">
        <f t="shared" si="5"/>
        <v>72704895.269792363</v>
      </c>
      <c r="N27" s="26">
        <f t="shared" si="5"/>
        <v>117137781.59745</v>
      </c>
      <c r="O27" s="26">
        <f t="shared" si="5"/>
        <v>147652330.55000347</v>
      </c>
      <c r="P27" s="26">
        <f t="shared" si="5"/>
        <v>985128911.76235521</v>
      </c>
    </row>
    <row r="28" spans="2:18" x14ac:dyDescent="0.25">
      <c r="B28" s="25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2:18" x14ac:dyDescent="0.25">
      <c r="B29" s="25" t="s">
        <v>75</v>
      </c>
      <c r="D29" s="23">
        <f>SUM(D17:D22)</f>
        <v>20000077.278270833</v>
      </c>
      <c r="E29" s="23">
        <f t="shared" ref="E29:O29" si="6">SUM(E17:E22)</f>
        <v>22126174.632750001</v>
      </c>
      <c r="F29" s="23">
        <f t="shared" si="6"/>
        <v>20711031.460125834</v>
      </c>
      <c r="G29" s="23">
        <f t="shared" si="6"/>
        <v>21838579.092618749</v>
      </c>
      <c r="H29" s="23">
        <f t="shared" si="6"/>
        <v>20215753.514784165</v>
      </c>
      <c r="I29" s="23">
        <f t="shared" si="6"/>
        <v>19726207.920044996</v>
      </c>
      <c r="J29" s="23">
        <f t="shared" si="6"/>
        <v>18019817.210000001</v>
      </c>
      <c r="K29" s="23">
        <f t="shared" si="6"/>
        <v>19825053.600000001</v>
      </c>
      <c r="L29" s="23">
        <f t="shared" si="6"/>
        <v>19010250.109999999</v>
      </c>
      <c r="M29" s="23">
        <f t="shared" si="6"/>
        <v>21603211.040597919</v>
      </c>
      <c r="N29" s="23">
        <f t="shared" si="6"/>
        <v>20772781.990835</v>
      </c>
      <c r="O29" s="23">
        <f t="shared" si="6"/>
        <v>25000079.795452081</v>
      </c>
      <c r="P29" s="23">
        <f>SUM(D29:O29)</f>
        <v>248849017.64547959</v>
      </c>
    </row>
    <row r="30" spans="2:18" x14ac:dyDescent="0.25">
      <c r="B30" s="25" t="s">
        <v>6</v>
      </c>
      <c r="D30" s="26">
        <f>D27+D29</f>
        <v>163622444.17264584</v>
      </c>
      <c r="E30" s="26">
        <f t="shared" ref="E30:P30" si="7">E27+E29</f>
        <v>149398201.49312499</v>
      </c>
      <c r="F30" s="26">
        <f t="shared" si="7"/>
        <v>132701405.19849424</v>
      </c>
      <c r="G30" s="26">
        <f t="shared" si="7"/>
        <v>105042160.87340903</v>
      </c>
      <c r="H30" s="26">
        <f t="shared" si="7"/>
        <v>71764170.037193194</v>
      </c>
      <c r="I30" s="26">
        <f t="shared" si="7"/>
        <v>56947158.63183666</v>
      </c>
      <c r="J30" s="26">
        <f t="shared" si="7"/>
        <v>45403896.804499999</v>
      </c>
      <c r="K30" s="26">
        <f t="shared" si="7"/>
        <v>49063999.209000006</v>
      </c>
      <c r="L30" s="26">
        <f t="shared" si="7"/>
        <v>55163412.743500002</v>
      </c>
      <c r="M30" s="26">
        <f t="shared" si="7"/>
        <v>94308106.310390279</v>
      </c>
      <c r="N30" s="26">
        <f t="shared" si="7"/>
        <v>137910563.588285</v>
      </c>
      <c r="O30" s="26">
        <f t="shared" si="7"/>
        <v>172652410.34545556</v>
      </c>
      <c r="P30" s="26">
        <f t="shared" si="7"/>
        <v>1233977929.4078348</v>
      </c>
    </row>
    <row r="31" spans="2:18" x14ac:dyDescent="0.25">
      <c r="B31" s="27" t="s">
        <v>76</v>
      </c>
      <c r="D31" s="28">
        <f>D23-D30</f>
        <v>0</v>
      </c>
      <c r="E31" s="28">
        <f t="shared" ref="E31:P31" si="8">E23-E30</f>
        <v>0</v>
      </c>
      <c r="F31" s="28">
        <f t="shared" si="8"/>
        <v>0</v>
      </c>
      <c r="G31" s="28">
        <f t="shared" si="8"/>
        <v>0</v>
      </c>
      <c r="H31" s="28">
        <f t="shared" si="8"/>
        <v>0</v>
      </c>
      <c r="I31" s="28">
        <f t="shared" si="8"/>
        <v>0</v>
      </c>
      <c r="J31" s="28">
        <f t="shared" si="8"/>
        <v>0</v>
      </c>
      <c r="K31" s="28">
        <f t="shared" si="8"/>
        <v>0</v>
      </c>
      <c r="L31" s="28">
        <f t="shared" si="8"/>
        <v>0</v>
      </c>
      <c r="M31" s="28">
        <f t="shared" si="8"/>
        <v>0</v>
      </c>
      <c r="N31" s="28">
        <f t="shared" si="8"/>
        <v>0</v>
      </c>
      <c r="O31" s="28">
        <f t="shared" si="8"/>
        <v>0</v>
      </c>
      <c r="P31" s="28">
        <f t="shared" si="8"/>
        <v>0</v>
      </c>
    </row>
    <row r="32" spans="2:18" x14ac:dyDescent="0.25">
      <c r="C32" s="23"/>
    </row>
    <row r="33" spans="2:16" x14ac:dyDescent="0.25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 x14ac:dyDescent="0.25">
      <c r="B34" s="5" t="s">
        <v>184</v>
      </c>
      <c r="C34" s="23"/>
      <c r="D34" s="23">
        <f t="shared" ref="D34:P34" si="9">SUM(D9:D11)</f>
        <v>97942252</v>
      </c>
      <c r="E34" s="23">
        <f t="shared" si="9"/>
        <v>83022840</v>
      </c>
      <c r="F34" s="23">
        <f t="shared" si="9"/>
        <v>75915313</v>
      </c>
      <c r="G34" s="23">
        <f t="shared" si="9"/>
        <v>53572170</v>
      </c>
      <c r="H34" s="23">
        <f t="shared" si="9"/>
        <v>30562710</v>
      </c>
      <c r="I34" s="23">
        <f t="shared" si="9"/>
        <v>20172618</v>
      </c>
      <c r="J34" s="23">
        <f t="shared" si="9"/>
        <v>14530068</v>
      </c>
      <c r="K34" s="23">
        <f t="shared" si="9"/>
        <v>13852582</v>
      </c>
      <c r="L34" s="23">
        <f t="shared" si="9"/>
        <v>20485769</v>
      </c>
      <c r="M34" s="23">
        <f t="shared" si="9"/>
        <v>47225474</v>
      </c>
      <c r="N34" s="23">
        <f t="shared" si="9"/>
        <v>77482762</v>
      </c>
      <c r="O34" s="23">
        <f t="shared" si="9"/>
        <v>101613635</v>
      </c>
      <c r="P34" s="23">
        <f t="shared" si="9"/>
        <v>636378193</v>
      </c>
    </row>
    <row r="35" spans="2:16" x14ac:dyDescent="0.25">
      <c r="B35" s="25" t="s">
        <v>124</v>
      </c>
      <c r="C35" s="23"/>
      <c r="D35" s="23">
        <f t="shared" ref="D35:P35" si="10">SUM(D12,D17)</f>
        <v>32817084</v>
      </c>
      <c r="E35" s="23">
        <f t="shared" si="10"/>
        <v>30027991</v>
      </c>
      <c r="F35" s="23">
        <f t="shared" si="10"/>
        <v>27314446</v>
      </c>
      <c r="G35" s="23">
        <f t="shared" si="10"/>
        <v>19909362</v>
      </c>
      <c r="H35" s="23">
        <f t="shared" si="10"/>
        <v>14090953</v>
      </c>
      <c r="I35" s="23">
        <f t="shared" si="10"/>
        <v>10822794</v>
      </c>
      <c r="J35" s="23">
        <f t="shared" si="10"/>
        <v>8983513</v>
      </c>
      <c r="K35" s="23">
        <f t="shared" si="10"/>
        <v>9267701</v>
      </c>
      <c r="L35" s="23">
        <f t="shared" si="10"/>
        <v>10443109</v>
      </c>
      <c r="M35" s="23">
        <f t="shared" si="10"/>
        <v>17484716</v>
      </c>
      <c r="N35" s="23">
        <f t="shared" si="10"/>
        <v>26617127</v>
      </c>
      <c r="O35" s="23">
        <f t="shared" si="10"/>
        <v>35447849</v>
      </c>
      <c r="P35" s="23">
        <f t="shared" si="10"/>
        <v>243226645</v>
      </c>
    </row>
    <row r="36" spans="2:16" x14ac:dyDescent="0.25">
      <c r="B36" s="25" t="s">
        <v>125</v>
      </c>
      <c r="D36" s="23">
        <f t="shared" ref="D36:P36" si="11">SUM(D13,D18)</f>
        <v>10027715</v>
      </c>
      <c r="E36" s="23">
        <f t="shared" si="11"/>
        <v>10002804</v>
      </c>
      <c r="F36" s="23">
        <f t="shared" si="11"/>
        <v>9182622</v>
      </c>
      <c r="G36" s="23">
        <f t="shared" si="11"/>
        <v>7860519</v>
      </c>
      <c r="H36" s="23">
        <f t="shared" si="11"/>
        <v>6492030</v>
      </c>
      <c r="I36" s="23">
        <f t="shared" si="11"/>
        <v>5803832</v>
      </c>
      <c r="J36" s="23">
        <f t="shared" si="11"/>
        <v>4863251</v>
      </c>
      <c r="K36" s="23">
        <f t="shared" si="11"/>
        <v>5027653</v>
      </c>
      <c r="L36" s="23">
        <f t="shared" si="11"/>
        <v>5411433</v>
      </c>
      <c r="M36" s="23">
        <f t="shared" si="11"/>
        <v>7352697</v>
      </c>
      <c r="N36" s="23">
        <f t="shared" si="11"/>
        <v>9607567</v>
      </c>
      <c r="O36" s="23">
        <f t="shared" si="11"/>
        <v>10755283</v>
      </c>
      <c r="P36" s="23">
        <f t="shared" si="11"/>
        <v>92387406</v>
      </c>
    </row>
    <row r="37" spans="2:16" x14ac:dyDescent="0.25">
      <c r="B37" s="64" t="s">
        <v>128</v>
      </c>
      <c r="D37" s="23">
        <f t="shared" ref="D37:P37" si="12">SUM(D14,D19)</f>
        <v>6214572</v>
      </c>
      <c r="E37" s="23">
        <f t="shared" si="12"/>
        <v>7386902</v>
      </c>
      <c r="F37" s="23">
        <f t="shared" si="12"/>
        <v>6009276</v>
      </c>
      <c r="G37" s="23">
        <f t="shared" si="12"/>
        <v>6377068</v>
      </c>
      <c r="H37" s="23">
        <f t="shared" si="12"/>
        <v>5716181</v>
      </c>
      <c r="I37" s="23">
        <f t="shared" si="12"/>
        <v>5873419</v>
      </c>
      <c r="J37" s="23">
        <f t="shared" si="12"/>
        <v>5414375</v>
      </c>
      <c r="K37" s="23">
        <f t="shared" si="12"/>
        <v>5463189</v>
      </c>
      <c r="L37" s="23">
        <f t="shared" si="12"/>
        <v>5511334</v>
      </c>
      <c r="M37" s="23">
        <f t="shared" si="12"/>
        <v>6267443</v>
      </c>
      <c r="N37" s="23">
        <f t="shared" si="12"/>
        <v>6839745</v>
      </c>
      <c r="O37" s="23">
        <f t="shared" si="12"/>
        <v>6838654</v>
      </c>
      <c r="P37" s="23">
        <f t="shared" si="12"/>
        <v>73912158</v>
      </c>
    </row>
    <row r="38" spans="2:16" x14ac:dyDescent="0.25">
      <c r="B38" s="25" t="s">
        <v>126</v>
      </c>
      <c r="D38" s="23">
        <f t="shared" ref="D38:P38" si="13">SUM(D15,D20)</f>
        <v>801955</v>
      </c>
      <c r="E38" s="23">
        <f t="shared" si="13"/>
        <v>808225</v>
      </c>
      <c r="F38" s="23">
        <f t="shared" si="13"/>
        <v>736031</v>
      </c>
      <c r="G38" s="23">
        <f t="shared" si="13"/>
        <v>533169</v>
      </c>
      <c r="H38" s="23">
        <f t="shared" si="13"/>
        <v>458453</v>
      </c>
      <c r="I38" s="23">
        <f t="shared" si="13"/>
        <v>303628</v>
      </c>
      <c r="J38" s="23">
        <f t="shared" si="13"/>
        <v>232344</v>
      </c>
      <c r="K38" s="23">
        <f t="shared" si="13"/>
        <v>194996</v>
      </c>
      <c r="L38" s="23">
        <f t="shared" si="13"/>
        <v>213437</v>
      </c>
      <c r="M38" s="23">
        <f t="shared" si="13"/>
        <v>422368</v>
      </c>
      <c r="N38" s="23">
        <f t="shared" si="13"/>
        <v>628442</v>
      </c>
      <c r="O38" s="23">
        <f t="shared" si="13"/>
        <v>900851</v>
      </c>
      <c r="P38" s="23">
        <f t="shared" si="13"/>
        <v>6233899</v>
      </c>
    </row>
    <row r="39" spans="2:16" x14ac:dyDescent="0.25">
      <c r="B39" s="25" t="s">
        <v>127</v>
      </c>
      <c r="D39" s="23">
        <f t="shared" ref="D39:P39" si="14">SUM(D16,D21)</f>
        <v>12532985.172645831</v>
      </c>
      <c r="E39" s="23">
        <f t="shared" si="14"/>
        <v>13704604.493125001</v>
      </c>
      <c r="F39" s="23">
        <f t="shared" si="14"/>
        <v>10892155.198494237</v>
      </c>
      <c r="G39" s="23">
        <f t="shared" si="14"/>
        <v>14205248.873409027</v>
      </c>
      <c r="H39" s="23">
        <f t="shared" si="14"/>
        <v>12503343.037193194</v>
      </c>
      <c r="I39" s="23">
        <f t="shared" si="14"/>
        <v>12034675.631836664</v>
      </c>
      <c r="J39" s="23">
        <f t="shared" si="14"/>
        <v>9683396.8045000006</v>
      </c>
      <c r="K39" s="23">
        <f t="shared" si="14"/>
        <v>13700452.209000001</v>
      </c>
      <c r="L39" s="23">
        <f t="shared" si="14"/>
        <v>11387092.7435</v>
      </c>
      <c r="M39" s="23">
        <f t="shared" si="14"/>
        <v>13129736.310390282</v>
      </c>
      <c r="N39" s="23">
        <f t="shared" si="14"/>
        <v>13458905.588284999</v>
      </c>
      <c r="O39" s="23">
        <f t="shared" si="14"/>
        <v>13540272.345455553</v>
      </c>
      <c r="P39" s="23">
        <f t="shared" si="14"/>
        <v>150772868.40783477</v>
      </c>
    </row>
    <row r="40" spans="2:16" x14ac:dyDescent="0.25">
      <c r="B40" s="64" t="s">
        <v>13</v>
      </c>
      <c r="D40" s="23">
        <f t="shared" ref="D40:P40" si="15">D22</f>
        <v>3285881</v>
      </c>
      <c r="E40" s="23">
        <f t="shared" si="15"/>
        <v>4444835</v>
      </c>
      <c r="F40" s="23">
        <f t="shared" si="15"/>
        <v>2651562</v>
      </c>
      <c r="G40" s="23">
        <f t="shared" si="15"/>
        <v>2584624</v>
      </c>
      <c r="H40" s="23">
        <f t="shared" si="15"/>
        <v>1940500</v>
      </c>
      <c r="I40" s="23">
        <f t="shared" si="15"/>
        <v>1936192</v>
      </c>
      <c r="J40" s="23">
        <f t="shared" si="15"/>
        <v>1696949</v>
      </c>
      <c r="K40" s="23">
        <f t="shared" si="15"/>
        <v>1557426</v>
      </c>
      <c r="L40" s="23">
        <f t="shared" si="15"/>
        <v>1711238</v>
      </c>
      <c r="M40" s="23">
        <f t="shared" si="15"/>
        <v>2425672</v>
      </c>
      <c r="N40" s="23">
        <f t="shared" si="15"/>
        <v>3276015</v>
      </c>
      <c r="O40" s="23">
        <f t="shared" si="15"/>
        <v>3555866</v>
      </c>
      <c r="P40" s="23">
        <f t="shared" si="15"/>
        <v>31066760</v>
      </c>
    </row>
    <row r="41" spans="2:16" x14ac:dyDescent="0.25">
      <c r="B41" s="27" t="s">
        <v>76</v>
      </c>
      <c r="D41" s="28">
        <f>SUM(D34:D40)-D23</f>
        <v>0</v>
      </c>
      <c r="E41" s="28">
        <f t="shared" ref="E41:P41" si="16">SUM(E34:E40)-E23</f>
        <v>0</v>
      </c>
      <c r="F41" s="28">
        <f t="shared" si="16"/>
        <v>0</v>
      </c>
      <c r="G41" s="28">
        <f t="shared" si="16"/>
        <v>0</v>
      </c>
      <c r="H41" s="28">
        <f t="shared" si="16"/>
        <v>0</v>
      </c>
      <c r="I41" s="28">
        <f t="shared" si="16"/>
        <v>0</v>
      </c>
      <c r="J41" s="28">
        <f t="shared" si="16"/>
        <v>0</v>
      </c>
      <c r="K41" s="28">
        <f t="shared" si="16"/>
        <v>0</v>
      </c>
      <c r="L41" s="28">
        <f t="shared" si="16"/>
        <v>0</v>
      </c>
      <c r="M41" s="28">
        <f t="shared" si="16"/>
        <v>0</v>
      </c>
      <c r="N41" s="28">
        <f t="shared" si="16"/>
        <v>0</v>
      </c>
      <c r="O41" s="28">
        <f t="shared" si="16"/>
        <v>0</v>
      </c>
      <c r="P41" s="28">
        <f t="shared" si="16"/>
        <v>0</v>
      </c>
    </row>
  </sheetData>
  <mergeCells count="3">
    <mergeCell ref="B1:P1"/>
    <mergeCell ref="B2:P2"/>
    <mergeCell ref="B3:P3"/>
  </mergeCells>
  <printOptions horizontalCentered="1"/>
  <pageMargins left="0.7" right="0.7" top="0.75" bottom="0.75" header="0.3" footer="0.3"/>
  <pageSetup scale="59" orientation="landscape" blackAndWhite="1" r:id="rId1"/>
  <headerFooter>
    <oddFooter>&amp;L&amp;F 
&amp;A&amp;C&amp;P&amp;R&amp;D</oddFooter>
  </headerFooter>
  <customProperties>
    <customPr name="_pios_id" r:id="rId2"/>
  </customPropertie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R41"/>
  <sheetViews>
    <sheetView zoomScale="90" zoomScaleNormal="90" workbookViewId="0">
      <selection activeCell="F15" sqref="F15"/>
    </sheetView>
  </sheetViews>
  <sheetFormatPr defaultColWidth="9.140625" defaultRowHeight="15" x14ac:dyDescent="0.25"/>
  <cols>
    <col min="1" max="1" width="1.5703125" style="21" customWidth="1"/>
    <col min="2" max="2" width="14.85546875" style="21" customWidth="1"/>
    <col min="3" max="3" width="2.85546875" style="21" customWidth="1"/>
    <col min="4" max="15" width="13.42578125" style="21" customWidth="1"/>
    <col min="16" max="16" width="14" style="21" customWidth="1"/>
    <col min="17" max="16384" width="9.140625" style="21"/>
  </cols>
  <sheetData>
    <row r="1" spans="2:18" x14ac:dyDescent="0.25">
      <c r="B1" s="226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</row>
    <row r="2" spans="2:18" x14ac:dyDescent="0.25">
      <c r="B2" s="227" t="s">
        <v>186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2:18" x14ac:dyDescent="0.25">
      <c r="B3" s="227" t="s">
        <v>271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2:18" x14ac:dyDescent="0.25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8" x14ac:dyDescent="0.25">
      <c r="B5" s="21" t="s">
        <v>185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7" spans="2:18" x14ac:dyDescent="0.25">
      <c r="B7" s="24" t="s">
        <v>21</v>
      </c>
      <c r="D7" s="29">
        <v>45292</v>
      </c>
      <c r="E7" s="29">
        <f>EDATE(D7,1)</f>
        <v>45323</v>
      </c>
      <c r="F7" s="29">
        <f t="shared" ref="F7:O7" si="0">EDATE(E7,1)</f>
        <v>45352</v>
      </c>
      <c r="G7" s="29">
        <f t="shared" si="0"/>
        <v>45383</v>
      </c>
      <c r="H7" s="29">
        <f t="shared" si="0"/>
        <v>45413</v>
      </c>
      <c r="I7" s="29">
        <f t="shared" si="0"/>
        <v>45444</v>
      </c>
      <c r="J7" s="29">
        <f t="shared" si="0"/>
        <v>45474</v>
      </c>
      <c r="K7" s="29">
        <f t="shared" si="0"/>
        <v>45505</v>
      </c>
      <c r="L7" s="29">
        <f t="shared" si="0"/>
        <v>45536</v>
      </c>
      <c r="M7" s="29">
        <f t="shared" si="0"/>
        <v>45566</v>
      </c>
      <c r="N7" s="29">
        <f t="shared" si="0"/>
        <v>45597</v>
      </c>
      <c r="O7" s="29">
        <f t="shared" si="0"/>
        <v>45627</v>
      </c>
      <c r="P7" s="24" t="s">
        <v>6</v>
      </c>
    </row>
    <row r="8" spans="2:18" x14ac:dyDescent="0.25">
      <c r="B8" s="25"/>
    </row>
    <row r="9" spans="2:18" x14ac:dyDescent="0.25">
      <c r="B9" s="12">
        <v>16</v>
      </c>
      <c r="D9" s="156">
        <f>'[2]RY#2 Therms'!B36</f>
        <v>736</v>
      </c>
      <c r="E9" s="156">
        <f>'[2]RY#2 Therms'!C36</f>
        <v>736</v>
      </c>
      <c r="F9" s="156">
        <f>'[2]RY#2 Therms'!D36</f>
        <v>736</v>
      </c>
      <c r="G9" s="156">
        <f>'[2]RY#2 Therms'!E36</f>
        <v>736</v>
      </c>
      <c r="H9" s="156">
        <f>'[2]RY#2 Therms'!F36</f>
        <v>736</v>
      </c>
      <c r="I9" s="156">
        <f>'[2]RY#2 Therms'!G36</f>
        <v>736</v>
      </c>
      <c r="J9" s="156">
        <f>'[2]RY#2 Therms'!H36</f>
        <v>736</v>
      </c>
      <c r="K9" s="156">
        <f>'[2]RY#2 Therms'!I36</f>
        <v>736</v>
      </c>
      <c r="L9" s="156">
        <f>'[2]RY#2 Therms'!J36</f>
        <v>736</v>
      </c>
      <c r="M9" s="156">
        <f>'[2]RY#2 Therms'!K36</f>
        <v>736</v>
      </c>
      <c r="N9" s="156">
        <f>'[2]RY#2 Therms'!L36</f>
        <v>736</v>
      </c>
      <c r="O9" s="156">
        <f>'[2]RY#2 Therms'!M36</f>
        <v>736</v>
      </c>
      <c r="P9" s="23">
        <f>SUM(D9:O9)</f>
        <v>8832</v>
      </c>
      <c r="R9" s="53"/>
    </row>
    <row r="10" spans="2:18" x14ac:dyDescent="0.25">
      <c r="B10" s="25">
        <v>23</v>
      </c>
      <c r="D10" s="156">
        <f>'[2]RY#2 Therms'!B37</f>
        <v>97939022</v>
      </c>
      <c r="E10" s="156">
        <f>'[2]RY#2 Therms'!C37</f>
        <v>84388896</v>
      </c>
      <c r="F10" s="156">
        <f>'[2]RY#2 Therms'!D37</f>
        <v>77323969</v>
      </c>
      <c r="G10" s="156">
        <f>'[2]RY#2 Therms'!E37</f>
        <v>53507958</v>
      </c>
      <c r="H10" s="156">
        <f>'[2]RY#2 Therms'!F37</f>
        <v>30480725</v>
      </c>
      <c r="I10" s="156">
        <f>'[2]RY#2 Therms'!G37</f>
        <v>20098155</v>
      </c>
      <c r="J10" s="156">
        <f>'[2]RY#2 Therms'!H37</f>
        <v>14466554</v>
      </c>
      <c r="K10" s="156">
        <f>'[2]RY#2 Therms'!I37</f>
        <v>13798925</v>
      </c>
      <c r="L10" s="156">
        <f>'[2]RY#2 Therms'!J37</f>
        <v>20484242</v>
      </c>
      <c r="M10" s="156">
        <f>'[2]RY#2 Therms'!K37</f>
        <v>47350638</v>
      </c>
      <c r="N10" s="156">
        <f>'[2]RY#2 Therms'!L37</f>
        <v>77723497</v>
      </c>
      <c r="O10" s="156">
        <f>'[2]RY#2 Therms'!M37</f>
        <v>101901968</v>
      </c>
      <c r="P10" s="23">
        <f>SUM(D10:O10)</f>
        <v>639464549</v>
      </c>
      <c r="R10" s="53"/>
    </row>
    <row r="11" spans="2:18" x14ac:dyDescent="0.25">
      <c r="B11" s="25">
        <v>53</v>
      </c>
      <c r="D11" s="156">
        <f>'[2]RY#2 Therms'!B38</f>
        <v>0</v>
      </c>
      <c r="E11" s="156">
        <f>'[2]RY#2 Therms'!C38</f>
        <v>0</v>
      </c>
      <c r="F11" s="156">
        <f>'[2]RY#2 Therms'!D38</f>
        <v>0</v>
      </c>
      <c r="G11" s="156">
        <f>'[2]RY#2 Therms'!E38</f>
        <v>0</v>
      </c>
      <c r="H11" s="156">
        <f>'[2]RY#2 Therms'!F38</f>
        <v>0</v>
      </c>
      <c r="I11" s="156">
        <f>'[2]RY#2 Therms'!G38</f>
        <v>0</v>
      </c>
      <c r="J11" s="156">
        <f>'[2]RY#2 Therms'!H38</f>
        <v>0</v>
      </c>
      <c r="K11" s="156">
        <f>'[2]RY#2 Therms'!I38</f>
        <v>0</v>
      </c>
      <c r="L11" s="156">
        <f>'[2]RY#2 Therms'!J38</f>
        <v>0</v>
      </c>
      <c r="M11" s="156">
        <f>'[2]RY#2 Therms'!K38</f>
        <v>0</v>
      </c>
      <c r="N11" s="156">
        <f>'[2]RY#2 Therms'!L38</f>
        <v>0</v>
      </c>
      <c r="O11" s="156">
        <f>'[2]RY#2 Therms'!M38</f>
        <v>0</v>
      </c>
      <c r="P11" s="23">
        <f t="shared" ref="P11:P26" si="1">SUM(D11:O11)</f>
        <v>0</v>
      </c>
      <c r="R11" s="53"/>
    </row>
    <row r="12" spans="2:18" x14ac:dyDescent="0.25">
      <c r="B12" s="25">
        <v>31</v>
      </c>
      <c r="D12" s="156">
        <f>'[2]RY#2 Therms'!B39</f>
        <v>32928097</v>
      </c>
      <c r="E12" s="156">
        <f>'[2]RY#2 Therms'!C39</f>
        <v>30624982</v>
      </c>
      <c r="F12" s="156">
        <f>'[2]RY#2 Therms'!D39</f>
        <v>27968358</v>
      </c>
      <c r="G12" s="156">
        <f>'[2]RY#2 Therms'!E39</f>
        <v>20038502</v>
      </c>
      <c r="H12" s="156">
        <f>'[2]RY#2 Therms'!F39</f>
        <v>14236908</v>
      </c>
      <c r="I12" s="156">
        <f>'[2]RY#2 Therms'!G39</f>
        <v>10978875</v>
      </c>
      <c r="J12" s="156">
        <f>'[2]RY#2 Therms'!H39</f>
        <v>9137542</v>
      </c>
      <c r="K12" s="156">
        <f>'[2]RY#2 Therms'!I39</f>
        <v>9432504</v>
      </c>
      <c r="L12" s="156">
        <f>'[2]RY#2 Therms'!J39</f>
        <v>10596109</v>
      </c>
      <c r="M12" s="156">
        <f>'[2]RY#2 Therms'!K39</f>
        <v>17665776</v>
      </c>
      <c r="N12" s="156">
        <f>'[2]RY#2 Therms'!L39</f>
        <v>26773535</v>
      </c>
      <c r="O12" s="156">
        <f>'[2]RY#2 Therms'!M39</f>
        <v>35555055</v>
      </c>
      <c r="P12" s="23">
        <f t="shared" si="1"/>
        <v>245936243</v>
      </c>
      <c r="R12" s="53"/>
    </row>
    <row r="13" spans="2:18" x14ac:dyDescent="0.25">
      <c r="B13" s="25">
        <v>41</v>
      </c>
      <c r="D13" s="156">
        <f>'[2]RY#2 Therms'!B40</f>
        <v>7888189</v>
      </c>
      <c r="E13" s="156">
        <f>'[2]RY#2 Therms'!C40</f>
        <v>7769589</v>
      </c>
      <c r="F13" s="156">
        <f>'[2]RY#2 Therms'!D40</f>
        <v>7323085</v>
      </c>
      <c r="G13" s="156">
        <f>'[2]RY#2 Therms'!E40</f>
        <v>5619867</v>
      </c>
      <c r="H13" s="156">
        <f>'[2]RY#2 Therms'!F40</f>
        <v>4403676</v>
      </c>
      <c r="I13" s="156">
        <f>'[2]RY#2 Therms'!G40</f>
        <v>3602353</v>
      </c>
      <c r="J13" s="156">
        <f>'[2]RY#2 Therms'!H40</f>
        <v>2860641</v>
      </c>
      <c r="K13" s="156">
        <f>'[2]RY#2 Therms'!I40</f>
        <v>2970849</v>
      </c>
      <c r="L13" s="156">
        <f>'[2]RY#2 Therms'!J40</f>
        <v>3405163</v>
      </c>
      <c r="M13" s="156">
        <f>'[2]RY#2 Therms'!K40</f>
        <v>5305866</v>
      </c>
      <c r="N13" s="156">
        <f>'[2]RY#2 Therms'!L40</f>
        <v>7269688</v>
      </c>
      <c r="O13" s="156">
        <f>'[2]RY#2 Therms'!M40</f>
        <v>8471575</v>
      </c>
      <c r="P13" s="23">
        <f t="shared" si="1"/>
        <v>66890541</v>
      </c>
      <c r="R13" s="53"/>
    </row>
    <row r="14" spans="2:18" x14ac:dyDescent="0.25">
      <c r="B14" s="25">
        <v>85</v>
      </c>
      <c r="D14" s="156">
        <f>'[2]RY#2 Therms'!B41</f>
        <v>1161136</v>
      </c>
      <c r="E14" s="156">
        <f>'[2]RY#2 Therms'!C41</f>
        <v>1161191</v>
      </c>
      <c r="F14" s="156">
        <f>'[2]RY#2 Therms'!D41</f>
        <v>1058245</v>
      </c>
      <c r="G14" s="156">
        <f>'[2]RY#2 Therms'!E41</f>
        <v>840349</v>
      </c>
      <c r="H14" s="156">
        <f>'[2]RY#2 Therms'!F41</f>
        <v>780885</v>
      </c>
      <c r="I14" s="156">
        <f>'[2]RY#2 Therms'!G41</f>
        <v>615102</v>
      </c>
      <c r="J14" s="156">
        <f>'[2]RY#2 Therms'!H41</f>
        <v>581128</v>
      </c>
      <c r="K14" s="156">
        <f>'[2]RY#2 Therms'!I41</f>
        <v>636053</v>
      </c>
      <c r="L14" s="156">
        <f>'[2]RY#2 Therms'!J41</f>
        <v>642739</v>
      </c>
      <c r="M14" s="156">
        <f>'[2]RY#2 Therms'!K41</f>
        <v>909563</v>
      </c>
      <c r="N14" s="156">
        <f>'[2]RY#2 Therms'!L41</f>
        <v>1037256</v>
      </c>
      <c r="O14" s="156">
        <f>'[2]RY#2 Therms'!M41</f>
        <v>1321731</v>
      </c>
      <c r="P14" s="23">
        <f t="shared" si="1"/>
        <v>10745378</v>
      </c>
      <c r="R14" s="53"/>
    </row>
    <row r="15" spans="2:18" x14ac:dyDescent="0.25">
      <c r="B15" s="25">
        <v>86</v>
      </c>
      <c r="D15" s="156">
        <f>'[2]RY#2 Therms'!B42</f>
        <v>734470</v>
      </c>
      <c r="E15" s="156">
        <f>'[2]RY#2 Therms'!C42</f>
        <v>730359</v>
      </c>
      <c r="F15" s="156">
        <f>'[2]RY#2 Therms'!D42</f>
        <v>680496</v>
      </c>
      <c r="G15" s="156">
        <f>'[2]RY#2 Therms'!E42</f>
        <v>469537</v>
      </c>
      <c r="H15" s="156">
        <f>'[2]RY#2 Therms'!F42</f>
        <v>402401</v>
      </c>
      <c r="I15" s="156">
        <f>'[2]RY#2 Therms'!G42</f>
        <v>248868</v>
      </c>
      <c r="J15" s="156">
        <f>'[2]RY#2 Therms'!H42</f>
        <v>180391</v>
      </c>
      <c r="K15" s="156">
        <f>'[2]RY#2 Therms'!I42</f>
        <v>146949</v>
      </c>
      <c r="L15" s="156">
        <f>'[2]RY#2 Therms'!J42</f>
        <v>163570</v>
      </c>
      <c r="M15" s="156">
        <f>'[2]RY#2 Therms'!K42</f>
        <v>364476</v>
      </c>
      <c r="N15" s="156">
        <f>'[2]RY#2 Therms'!L42</f>
        <v>554566</v>
      </c>
      <c r="O15" s="156">
        <f>'[2]RY#2 Therms'!M42</f>
        <v>813325</v>
      </c>
      <c r="P15" s="23">
        <f t="shared" si="1"/>
        <v>5489408</v>
      </c>
      <c r="R15" s="53"/>
    </row>
    <row r="16" spans="2:18" x14ac:dyDescent="0.25">
      <c r="B16" s="25">
        <v>87</v>
      </c>
      <c r="D16" s="156">
        <f>'[2]RY#2 Therms'!B43</f>
        <v>2998650.8943750001</v>
      </c>
      <c r="E16" s="156">
        <f>'[2]RY#2 Therms'!C43</f>
        <v>4620973.8603750002</v>
      </c>
      <c r="F16" s="156">
        <f>'[2]RY#2 Therms'!D43</f>
        <v>-230183.26163159739</v>
      </c>
      <c r="G16" s="156">
        <f>'[2]RY#2 Therms'!E43</f>
        <v>2722328.7807902782</v>
      </c>
      <c r="H16" s="156">
        <f>'[2]RY#2 Therms'!F43</f>
        <v>1246699.5224090284</v>
      </c>
      <c r="I16" s="156">
        <f>'[2]RY#2 Therms'!G43</f>
        <v>1711965.7117916665</v>
      </c>
      <c r="J16" s="156">
        <f>'[2]RY#2 Therms'!H43</f>
        <v>204785.59449999995</v>
      </c>
      <c r="K16" s="156">
        <f>'[2]RY#2 Therms'!I43</f>
        <v>2315404.6089999997</v>
      </c>
      <c r="L16" s="156">
        <f>'[2]RY#2 Therms'!J43</f>
        <v>955360.63349999976</v>
      </c>
      <c r="M16" s="156">
        <f>'[2]RY#2 Therms'!K43</f>
        <v>1332643.2697923623</v>
      </c>
      <c r="N16" s="156">
        <f>'[2]RY#2 Therms'!L43</f>
        <v>4079298.5974499993</v>
      </c>
      <c r="O16" s="156">
        <f>'[2]RY#2 Therms'!M43</f>
        <v>-138472.44999652982</v>
      </c>
      <c r="P16" s="23">
        <f t="shared" si="1"/>
        <v>21819455.762355205</v>
      </c>
      <c r="R16" s="53"/>
    </row>
    <row r="17" spans="2:18" x14ac:dyDescent="0.25">
      <c r="B17" s="25" t="s">
        <v>33</v>
      </c>
      <c r="D17" s="156">
        <f>'[2]RY#2 Therms'!B44</f>
        <v>3584</v>
      </c>
      <c r="E17" s="156">
        <f>'[2]RY#2 Therms'!C44</f>
        <v>3704</v>
      </c>
      <c r="F17" s="156">
        <f>'[2]RY#2 Therms'!D44</f>
        <v>3231</v>
      </c>
      <c r="G17" s="156">
        <f>'[2]RY#2 Therms'!E44</f>
        <v>2806</v>
      </c>
      <c r="H17" s="156">
        <f>'[2]RY#2 Therms'!F44</f>
        <v>2070</v>
      </c>
      <c r="I17" s="156">
        <f>'[2]RY#2 Therms'!G44</f>
        <v>1945</v>
      </c>
      <c r="J17" s="156">
        <f>'[2]RY#2 Therms'!H44</f>
        <v>1693</v>
      </c>
      <c r="K17" s="156">
        <f>'[2]RY#2 Therms'!I44</f>
        <v>1910</v>
      </c>
      <c r="L17" s="156">
        <f>'[2]RY#2 Therms'!J44</f>
        <v>2000</v>
      </c>
      <c r="M17" s="156">
        <f>'[2]RY#2 Therms'!K44</f>
        <v>2796</v>
      </c>
      <c r="N17" s="156">
        <f>'[2]RY#2 Therms'!L44</f>
        <v>3910</v>
      </c>
      <c r="O17" s="156">
        <f>'[2]RY#2 Therms'!M44</f>
        <v>4218</v>
      </c>
      <c r="P17" s="23">
        <f t="shared" si="1"/>
        <v>33867</v>
      </c>
      <c r="R17" s="53"/>
    </row>
    <row r="18" spans="2:18" x14ac:dyDescent="0.25">
      <c r="B18" s="25" t="s">
        <v>35</v>
      </c>
      <c r="D18" s="156">
        <f>'[2]RY#2 Therms'!B45</f>
        <v>2265846</v>
      </c>
      <c r="E18" s="156">
        <f>'[2]RY#2 Therms'!C45</f>
        <v>2422810</v>
      </c>
      <c r="F18" s="156">
        <f>'[2]RY#2 Therms'!D45</f>
        <v>2062550</v>
      </c>
      <c r="G18" s="156">
        <f>'[2]RY#2 Therms'!E45</f>
        <v>2310270</v>
      </c>
      <c r="H18" s="156">
        <f>'[2]RY#2 Therms'!F45</f>
        <v>2150213</v>
      </c>
      <c r="I18" s="156">
        <f>'[2]RY#2 Therms'!G45</f>
        <v>2264391</v>
      </c>
      <c r="J18" s="156">
        <f>'[2]RY#2 Therms'!H45</f>
        <v>2055994</v>
      </c>
      <c r="K18" s="156">
        <f>'[2]RY#2 Therms'!I45</f>
        <v>2108840</v>
      </c>
      <c r="L18" s="156">
        <f>'[2]RY#2 Therms'!J45</f>
        <v>2050826</v>
      </c>
      <c r="M18" s="156">
        <f>'[2]RY#2 Therms'!K45</f>
        <v>2092145</v>
      </c>
      <c r="N18" s="156">
        <f>'[2]RY#2 Therms'!L45</f>
        <v>2394558</v>
      </c>
      <c r="O18" s="156">
        <f>'[2]RY#2 Therms'!M45</f>
        <v>2331791</v>
      </c>
      <c r="P18" s="23">
        <f t="shared" si="1"/>
        <v>26510234</v>
      </c>
      <c r="R18" s="53"/>
    </row>
    <row r="19" spans="2:18" x14ac:dyDescent="0.25">
      <c r="B19" s="25" t="s">
        <v>37</v>
      </c>
      <c r="D19" s="156">
        <f>'[2]RY#2 Therms'!B46</f>
        <v>5134678</v>
      </c>
      <c r="E19" s="156">
        <f>'[2]RY#2 Therms'!C46</f>
        <v>6142926</v>
      </c>
      <c r="F19" s="156">
        <f>'[2]RY#2 Therms'!D46</f>
        <v>4864940</v>
      </c>
      <c r="G19" s="156">
        <f>'[2]RY#2 Therms'!E46</f>
        <v>5439076</v>
      </c>
      <c r="H19" s="156">
        <f>'[2]RY#2 Therms'!F46</f>
        <v>4847607</v>
      </c>
      <c r="I19" s="156">
        <f>'[2]RY#2 Therms'!G46</f>
        <v>5177332</v>
      </c>
      <c r="J19" s="156">
        <f>'[2]RY#2 Therms'!H46</f>
        <v>4759620</v>
      </c>
      <c r="K19" s="156">
        <f>'[2]RY#2 Therms'!I46</f>
        <v>4751470</v>
      </c>
      <c r="L19" s="156">
        <f>'[2]RY#2 Therms'!J46</f>
        <v>4791537</v>
      </c>
      <c r="M19" s="156">
        <f>'[2]RY#2 Therms'!K46</f>
        <v>5268534</v>
      </c>
      <c r="N19" s="156">
        <f>'[2]RY#2 Therms'!L46</f>
        <v>5701725</v>
      </c>
      <c r="O19" s="156">
        <f>'[2]RY#2 Therms'!M46</f>
        <v>5409481</v>
      </c>
      <c r="P19" s="23">
        <f t="shared" si="1"/>
        <v>62288926</v>
      </c>
      <c r="R19" s="53"/>
    </row>
    <row r="20" spans="2:18" x14ac:dyDescent="0.25">
      <c r="B20" s="25" t="s">
        <v>39</v>
      </c>
      <c r="D20" s="156">
        <f>'[2]RY#2 Therms'!B47</f>
        <v>47088</v>
      </c>
      <c r="E20" s="156">
        <f>'[2]RY#2 Therms'!C47</f>
        <v>64390</v>
      </c>
      <c r="F20" s="156">
        <f>'[2]RY#2 Therms'!D47</f>
        <v>37100</v>
      </c>
      <c r="G20" s="156">
        <f>'[2]RY#2 Therms'!E47</f>
        <v>47661</v>
      </c>
      <c r="H20" s="156">
        <f>'[2]RY#2 Therms'!F47</f>
        <v>43279</v>
      </c>
      <c r="I20" s="156">
        <f>'[2]RY#2 Therms'!G47</f>
        <v>48694</v>
      </c>
      <c r="J20" s="156">
        <f>'[2]RY#2 Therms'!H47</f>
        <v>48436</v>
      </c>
      <c r="K20" s="156">
        <f>'[2]RY#2 Therms'!I47</f>
        <v>45424</v>
      </c>
      <c r="L20" s="156">
        <f>'[2]RY#2 Therms'!J47</f>
        <v>46262</v>
      </c>
      <c r="M20" s="156">
        <f>'[2]RY#2 Therms'!K47</f>
        <v>44895</v>
      </c>
      <c r="N20" s="156">
        <f>'[2]RY#2 Therms'!L47</f>
        <v>52241</v>
      </c>
      <c r="O20" s="156">
        <f>'[2]RY#2 Therms'!M47</f>
        <v>53232</v>
      </c>
      <c r="P20" s="23">
        <f t="shared" si="1"/>
        <v>578702</v>
      </c>
      <c r="R20" s="53"/>
    </row>
    <row r="21" spans="2:18" x14ac:dyDescent="0.25">
      <c r="B21" s="25" t="s">
        <v>41</v>
      </c>
      <c r="D21" s="156">
        <f>'[2]RY#2 Therms'!B48</f>
        <v>11091789.278270831</v>
      </c>
      <c r="E21" s="156">
        <f>'[2]RY#2 Therms'!C48</f>
        <v>10641085.632750001</v>
      </c>
      <c r="F21" s="156">
        <f>'[2]RY#2 Therms'!D48</f>
        <v>12679793.460125834</v>
      </c>
      <c r="G21" s="156">
        <f>'[2]RY#2 Therms'!E48</f>
        <v>12414385.092618749</v>
      </c>
      <c r="H21" s="156">
        <f>'[2]RY#2 Therms'!F48</f>
        <v>12188108.514784165</v>
      </c>
      <c r="I21" s="156">
        <f>'[2]RY#2 Therms'!G48</f>
        <v>11254174.920044998</v>
      </c>
      <c r="J21" s="156">
        <f>'[2]RY#2 Therms'!H48</f>
        <v>10410076.210000001</v>
      </c>
      <c r="K21" s="156">
        <f>'[2]RY#2 Therms'!I48</f>
        <v>12316512.600000001</v>
      </c>
      <c r="L21" s="156">
        <f>'[2]RY#2 Therms'!J48</f>
        <v>11363197.109999999</v>
      </c>
      <c r="M21" s="156">
        <f>'[2]RY#2 Therms'!K48</f>
        <v>12728558.040597919</v>
      </c>
      <c r="N21" s="156">
        <f>'[2]RY#2 Therms'!L48</f>
        <v>10311071.990835</v>
      </c>
      <c r="O21" s="156">
        <f>'[2]RY#2 Therms'!M48</f>
        <v>14610213.795452083</v>
      </c>
      <c r="P21" s="23">
        <f t="shared" si="1"/>
        <v>142008966.64547956</v>
      </c>
      <c r="R21" s="53"/>
    </row>
    <row r="22" spans="2:18" x14ac:dyDescent="0.25">
      <c r="B22" s="25" t="s">
        <v>13</v>
      </c>
      <c r="D22" s="156">
        <f>'[2]RY#2 Therms'!B49</f>
        <v>3376573</v>
      </c>
      <c r="E22" s="156">
        <f>'[2]RY#2 Therms'!C49</f>
        <v>4414906</v>
      </c>
      <c r="F22" s="156">
        <f>'[2]RY#2 Therms'!D49</f>
        <v>2630513</v>
      </c>
      <c r="G22" s="156">
        <f>'[2]RY#2 Therms'!E49</f>
        <v>2564284</v>
      </c>
      <c r="H22" s="156">
        <f>'[2]RY#2 Therms'!F49</f>
        <v>1925391</v>
      </c>
      <c r="I22" s="156">
        <f>'[2]RY#2 Therms'!G49</f>
        <v>1922345</v>
      </c>
      <c r="J22" s="156">
        <f>'[2]RY#2 Therms'!H49</f>
        <v>1684994</v>
      </c>
      <c r="K22" s="156">
        <f>'[2]RY#2 Therms'!I49</f>
        <v>1546823</v>
      </c>
      <c r="L22" s="156">
        <f>'[2]RY#2 Therms'!J49</f>
        <v>1699014</v>
      </c>
      <c r="M22" s="156">
        <f>'[2]RY#2 Therms'!K49</f>
        <v>2410628</v>
      </c>
      <c r="N22" s="156">
        <f>'[2]RY#2 Therms'!L49</f>
        <v>3256750</v>
      </c>
      <c r="O22" s="156">
        <f>'[2]RY#2 Therms'!M49</f>
        <v>3535679</v>
      </c>
      <c r="P22" s="23">
        <f t="shared" si="1"/>
        <v>30967900</v>
      </c>
      <c r="R22" s="53"/>
    </row>
    <row r="23" spans="2:18" x14ac:dyDescent="0.25">
      <c r="B23" s="25" t="s">
        <v>6</v>
      </c>
      <c r="D23" s="26">
        <f t="shared" ref="D23:P23" si="2">SUM(D9:D22)</f>
        <v>165569859.17264584</v>
      </c>
      <c r="E23" s="26">
        <f t="shared" si="2"/>
        <v>152986548.49312499</v>
      </c>
      <c r="F23" s="26">
        <f t="shared" si="2"/>
        <v>136402833.19849426</v>
      </c>
      <c r="G23" s="26">
        <f t="shared" si="2"/>
        <v>105977759.87340903</v>
      </c>
      <c r="H23" s="26">
        <f t="shared" si="2"/>
        <v>72708699.037193194</v>
      </c>
      <c r="I23" s="26">
        <f t="shared" si="2"/>
        <v>57924936.63183666</v>
      </c>
      <c r="J23" s="26">
        <f t="shared" si="2"/>
        <v>46392590.804500006</v>
      </c>
      <c r="K23" s="26">
        <f t="shared" si="2"/>
        <v>50072400.208999999</v>
      </c>
      <c r="L23" s="26">
        <f t="shared" si="2"/>
        <v>56200755.743500002</v>
      </c>
      <c r="M23" s="26">
        <f t="shared" si="2"/>
        <v>95477254.310390279</v>
      </c>
      <c r="N23" s="26">
        <f t="shared" si="2"/>
        <v>139158832.588285</v>
      </c>
      <c r="O23" s="26">
        <f t="shared" si="2"/>
        <v>173870532.34545556</v>
      </c>
      <c r="P23" s="26">
        <f t="shared" si="2"/>
        <v>1252743002.407835</v>
      </c>
    </row>
    <row r="24" spans="2:18" x14ac:dyDescent="0.25">
      <c r="B24" s="25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2:18" x14ac:dyDescent="0.25">
      <c r="B25" s="25" t="s">
        <v>72</v>
      </c>
      <c r="D25" s="23">
        <f t="shared" ref="D25:O25" si="3">SUM(D9:D13)</f>
        <v>138756044</v>
      </c>
      <c r="E25" s="23">
        <f t="shared" si="3"/>
        <v>122784203</v>
      </c>
      <c r="F25" s="23">
        <f t="shared" si="3"/>
        <v>112616148</v>
      </c>
      <c r="G25" s="23">
        <f t="shared" si="3"/>
        <v>79167063</v>
      </c>
      <c r="H25" s="23">
        <f t="shared" si="3"/>
        <v>49122045</v>
      </c>
      <c r="I25" s="23">
        <f t="shared" si="3"/>
        <v>34680119</v>
      </c>
      <c r="J25" s="23">
        <f t="shared" si="3"/>
        <v>26465473</v>
      </c>
      <c r="K25" s="23">
        <f t="shared" si="3"/>
        <v>26203014</v>
      </c>
      <c r="L25" s="23">
        <f t="shared" si="3"/>
        <v>34486250</v>
      </c>
      <c r="M25" s="23">
        <f t="shared" si="3"/>
        <v>70323016</v>
      </c>
      <c r="N25" s="23">
        <f t="shared" si="3"/>
        <v>111767456</v>
      </c>
      <c r="O25" s="23">
        <f t="shared" si="3"/>
        <v>145929334</v>
      </c>
      <c r="P25" s="23">
        <f t="shared" si="1"/>
        <v>952300165</v>
      </c>
    </row>
    <row r="26" spans="2:18" x14ac:dyDescent="0.25">
      <c r="B26" s="25" t="s">
        <v>73</v>
      </c>
      <c r="D26" s="23">
        <f>SUM(D14:D16)</f>
        <v>4894256.8943750001</v>
      </c>
      <c r="E26" s="23">
        <f t="shared" ref="E26:O26" si="4">SUM(E14:E16)</f>
        <v>6512523.8603750002</v>
      </c>
      <c r="F26" s="23">
        <f t="shared" si="4"/>
        <v>1508557.7383684027</v>
      </c>
      <c r="G26" s="23">
        <f t="shared" si="4"/>
        <v>4032214.7807902782</v>
      </c>
      <c r="H26" s="23">
        <f t="shared" si="4"/>
        <v>2429985.5224090284</v>
      </c>
      <c r="I26" s="23">
        <f t="shared" si="4"/>
        <v>2575935.7117916662</v>
      </c>
      <c r="J26" s="23">
        <f t="shared" si="4"/>
        <v>966304.59449999989</v>
      </c>
      <c r="K26" s="23">
        <f t="shared" si="4"/>
        <v>3098406.6089999997</v>
      </c>
      <c r="L26" s="23">
        <f t="shared" si="4"/>
        <v>1761669.6334999998</v>
      </c>
      <c r="M26" s="23">
        <f t="shared" si="4"/>
        <v>2606682.2697923621</v>
      </c>
      <c r="N26" s="23">
        <f t="shared" si="4"/>
        <v>5671120.5974499993</v>
      </c>
      <c r="O26" s="23">
        <f t="shared" si="4"/>
        <v>1996583.5500034702</v>
      </c>
      <c r="P26" s="23">
        <f t="shared" si="1"/>
        <v>38054241.762355208</v>
      </c>
    </row>
    <row r="27" spans="2:18" x14ac:dyDescent="0.25">
      <c r="B27" s="25" t="s">
        <v>74</v>
      </c>
      <c r="D27" s="26">
        <f>SUM(D25:D26)</f>
        <v>143650300.894375</v>
      </c>
      <c r="E27" s="26">
        <f t="shared" ref="E27:P27" si="5">SUM(E25:E26)</f>
        <v>129296726.860375</v>
      </c>
      <c r="F27" s="26">
        <f t="shared" si="5"/>
        <v>114124705.73836841</v>
      </c>
      <c r="G27" s="26">
        <f t="shared" si="5"/>
        <v>83199277.780790284</v>
      </c>
      <c r="H27" s="26">
        <f t="shared" si="5"/>
        <v>51552030.522409029</v>
      </c>
      <c r="I27" s="26">
        <f t="shared" si="5"/>
        <v>37256054.711791664</v>
      </c>
      <c r="J27" s="26">
        <f t="shared" si="5"/>
        <v>27431777.594500002</v>
      </c>
      <c r="K27" s="26">
        <f t="shared" si="5"/>
        <v>29301420.609000001</v>
      </c>
      <c r="L27" s="26">
        <f t="shared" si="5"/>
        <v>36247919.633500002</v>
      </c>
      <c r="M27" s="26">
        <f t="shared" si="5"/>
        <v>72929698.269792363</v>
      </c>
      <c r="N27" s="26">
        <f t="shared" si="5"/>
        <v>117438576.59745</v>
      </c>
      <c r="O27" s="26">
        <f t="shared" si="5"/>
        <v>147925917.55000347</v>
      </c>
      <c r="P27" s="26">
        <f t="shared" si="5"/>
        <v>990354406.76235521</v>
      </c>
    </row>
    <row r="28" spans="2:18" x14ac:dyDescent="0.25">
      <c r="B28" s="25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2:18" x14ac:dyDescent="0.25">
      <c r="B29" s="25" t="s">
        <v>75</v>
      </c>
      <c r="D29" s="23">
        <f>SUM(D17:D22)</f>
        <v>21919558.278270833</v>
      </c>
      <c r="E29" s="23">
        <f t="shared" ref="E29:O29" si="6">SUM(E17:E22)</f>
        <v>23689821.632750001</v>
      </c>
      <c r="F29" s="23">
        <f t="shared" si="6"/>
        <v>22278127.460125834</v>
      </c>
      <c r="G29" s="23">
        <f t="shared" si="6"/>
        <v>22778482.092618749</v>
      </c>
      <c r="H29" s="23">
        <f t="shared" si="6"/>
        <v>21156668.514784165</v>
      </c>
      <c r="I29" s="23">
        <f t="shared" si="6"/>
        <v>20668881.920044996</v>
      </c>
      <c r="J29" s="23">
        <f t="shared" si="6"/>
        <v>18960813.210000001</v>
      </c>
      <c r="K29" s="23">
        <f t="shared" si="6"/>
        <v>20770979.600000001</v>
      </c>
      <c r="L29" s="23">
        <f t="shared" si="6"/>
        <v>19952836.109999999</v>
      </c>
      <c r="M29" s="23">
        <f t="shared" si="6"/>
        <v>22547556.040597919</v>
      </c>
      <c r="N29" s="23">
        <f t="shared" si="6"/>
        <v>21720255.990835</v>
      </c>
      <c r="O29" s="23">
        <f t="shared" si="6"/>
        <v>25944614.795452081</v>
      </c>
      <c r="P29" s="23">
        <f>SUM(D29:O29)</f>
        <v>262388595.64547959</v>
      </c>
    </row>
    <row r="30" spans="2:18" x14ac:dyDescent="0.25">
      <c r="B30" s="25" t="s">
        <v>6</v>
      </c>
      <c r="D30" s="26">
        <f>D27+D29</f>
        <v>165569859.17264584</v>
      </c>
      <c r="E30" s="26">
        <f t="shared" ref="E30:P30" si="7">E27+E29</f>
        <v>152986548.49312499</v>
      </c>
      <c r="F30" s="26">
        <f t="shared" si="7"/>
        <v>136402833.19849426</v>
      </c>
      <c r="G30" s="26">
        <f t="shared" si="7"/>
        <v>105977759.87340903</v>
      </c>
      <c r="H30" s="26">
        <f t="shared" si="7"/>
        <v>72708699.037193194</v>
      </c>
      <c r="I30" s="26">
        <f t="shared" si="7"/>
        <v>57924936.63183666</v>
      </c>
      <c r="J30" s="26">
        <f t="shared" si="7"/>
        <v>46392590.804499999</v>
      </c>
      <c r="K30" s="26">
        <f t="shared" si="7"/>
        <v>50072400.209000006</v>
      </c>
      <c r="L30" s="26">
        <f t="shared" si="7"/>
        <v>56200755.743500002</v>
      </c>
      <c r="M30" s="26">
        <f t="shared" si="7"/>
        <v>95477254.310390279</v>
      </c>
      <c r="N30" s="26">
        <f t="shared" si="7"/>
        <v>139158832.588285</v>
      </c>
      <c r="O30" s="26">
        <f t="shared" si="7"/>
        <v>173870532.34545556</v>
      </c>
      <c r="P30" s="26">
        <f t="shared" si="7"/>
        <v>1252743002.4078348</v>
      </c>
    </row>
    <row r="31" spans="2:18" x14ac:dyDescent="0.25">
      <c r="B31" s="27" t="s">
        <v>76</v>
      </c>
      <c r="D31" s="28">
        <f>D23-D30</f>
        <v>0</v>
      </c>
      <c r="E31" s="28">
        <f t="shared" ref="E31:P31" si="8">E23-E30</f>
        <v>0</v>
      </c>
      <c r="F31" s="28">
        <f t="shared" si="8"/>
        <v>0</v>
      </c>
      <c r="G31" s="28">
        <f t="shared" si="8"/>
        <v>0</v>
      </c>
      <c r="H31" s="28">
        <f t="shared" si="8"/>
        <v>0</v>
      </c>
      <c r="I31" s="28">
        <f t="shared" si="8"/>
        <v>0</v>
      </c>
      <c r="J31" s="28">
        <f t="shared" si="8"/>
        <v>0</v>
      </c>
      <c r="K31" s="28">
        <f t="shared" si="8"/>
        <v>0</v>
      </c>
      <c r="L31" s="28">
        <f t="shared" si="8"/>
        <v>0</v>
      </c>
      <c r="M31" s="28">
        <f t="shared" si="8"/>
        <v>0</v>
      </c>
      <c r="N31" s="28">
        <f t="shared" si="8"/>
        <v>0</v>
      </c>
      <c r="O31" s="28">
        <f t="shared" si="8"/>
        <v>0</v>
      </c>
      <c r="P31" s="28">
        <f t="shared" si="8"/>
        <v>0</v>
      </c>
    </row>
    <row r="32" spans="2:18" x14ac:dyDescent="0.25">
      <c r="C32" s="23"/>
    </row>
    <row r="33" spans="2:16" x14ac:dyDescent="0.25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 x14ac:dyDescent="0.25">
      <c r="B34" s="5" t="s">
        <v>184</v>
      </c>
      <c r="C34" s="23"/>
      <c r="D34" s="23">
        <f t="shared" ref="D34:P34" si="9">SUM(D9:D11)</f>
        <v>97939758</v>
      </c>
      <c r="E34" s="23">
        <f t="shared" si="9"/>
        <v>84389632</v>
      </c>
      <c r="F34" s="23">
        <f t="shared" si="9"/>
        <v>77324705</v>
      </c>
      <c r="G34" s="23">
        <f t="shared" si="9"/>
        <v>53508694</v>
      </c>
      <c r="H34" s="23">
        <f t="shared" si="9"/>
        <v>30481461</v>
      </c>
      <c r="I34" s="23">
        <f t="shared" si="9"/>
        <v>20098891</v>
      </c>
      <c r="J34" s="23">
        <f t="shared" si="9"/>
        <v>14467290</v>
      </c>
      <c r="K34" s="23">
        <f t="shared" si="9"/>
        <v>13799661</v>
      </c>
      <c r="L34" s="23">
        <f t="shared" si="9"/>
        <v>20484978</v>
      </c>
      <c r="M34" s="23">
        <f t="shared" si="9"/>
        <v>47351374</v>
      </c>
      <c r="N34" s="23">
        <f t="shared" si="9"/>
        <v>77724233</v>
      </c>
      <c r="O34" s="23">
        <f t="shared" si="9"/>
        <v>101902704</v>
      </c>
      <c r="P34" s="23">
        <f t="shared" si="9"/>
        <v>639473381</v>
      </c>
    </row>
    <row r="35" spans="2:16" x14ac:dyDescent="0.25">
      <c r="B35" s="25" t="s">
        <v>124</v>
      </c>
      <c r="C35" s="23"/>
      <c r="D35" s="23">
        <f t="shared" ref="D35:P39" si="10">SUM(D12,D17)</f>
        <v>32931681</v>
      </c>
      <c r="E35" s="23">
        <f t="shared" si="10"/>
        <v>30628686</v>
      </c>
      <c r="F35" s="23">
        <f t="shared" si="10"/>
        <v>27971589</v>
      </c>
      <c r="G35" s="23">
        <f t="shared" si="10"/>
        <v>20041308</v>
      </c>
      <c r="H35" s="23">
        <f t="shared" si="10"/>
        <v>14238978</v>
      </c>
      <c r="I35" s="23">
        <f t="shared" si="10"/>
        <v>10980820</v>
      </c>
      <c r="J35" s="23">
        <f t="shared" si="10"/>
        <v>9139235</v>
      </c>
      <c r="K35" s="23">
        <f t="shared" si="10"/>
        <v>9434414</v>
      </c>
      <c r="L35" s="23">
        <f t="shared" si="10"/>
        <v>10598109</v>
      </c>
      <c r="M35" s="23">
        <f t="shared" si="10"/>
        <v>17668572</v>
      </c>
      <c r="N35" s="23">
        <f t="shared" si="10"/>
        <v>26777445</v>
      </c>
      <c r="O35" s="23">
        <f t="shared" si="10"/>
        <v>35559273</v>
      </c>
      <c r="P35" s="23">
        <f t="shared" si="10"/>
        <v>245970110</v>
      </c>
    </row>
    <row r="36" spans="2:16" x14ac:dyDescent="0.25">
      <c r="B36" s="25" t="s">
        <v>125</v>
      </c>
      <c r="D36" s="23">
        <f t="shared" si="10"/>
        <v>10154035</v>
      </c>
      <c r="E36" s="23">
        <f t="shared" si="10"/>
        <v>10192399</v>
      </c>
      <c r="F36" s="23">
        <f t="shared" si="10"/>
        <v>9385635</v>
      </c>
      <c r="G36" s="23">
        <f t="shared" si="10"/>
        <v>7930137</v>
      </c>
      <c r="H36" s="23">
        <f t="shared" si="10"/>
        <v>6553889</v>
      </c>
      <c r="I36" s="23">
        <f t="shared" si="10"/>
        <v>5866744</v>
      </c>
      <c r="J36" s="23">
        <f t="shared" si="10"/>
        <v>4916635</v>
      </c>
      <c r="K36" s="23">
        <f t="shared" si="10"/>
        <v>5079689</v>
      </c>
      <c r="L36" s="23">
        <f t="shared" si="10"/>
        <v>5455989</v>
      </c>
      <c r="M36" s="23">
        <f t="shared" si="10"/>
        <v>7398011</v>
      </c>
      <c r="N36" s="23">
        <f t="shared" si="10"/>
        <v>9664246</v>
      </c>
      <c r="O36" s="23">
        <f t="shared" si="10"/>
        <v>10803366</v>
      </c>
      <c r="P36" s="23">
        <f t="shared" si="10"/>
        <v>93400775</v>
      </c>
    </row>
    <row r="37" spans="2:16" x14ac:dyDescent="0.25">
      <c r="B37" s="64" t="s">
        <v>128</v>
      </c>
      <c r="D37" s="23">
        <f t="shared" si="10"/>
        <v>6295814</v>
      </c>
      <c r="E37" s="23">
        <f t="shared" si="10"/>
        <v>7304117</v>
      </c>
      <c r="F37" s="23">
        <f t="shared" si="10"/>
        <v>5923185</v>
      </c>
      <c r="G37" s="23">
        <f t="shared" si="10"/>
        <v>6279425</v>
      </c>
      <c r="H37" s="23">
        <f t="shared" si="10"/>
        <v>5628492</v>
      </c>
      <c r="I37" s="23">
        <f t="shared" si="10"/>
        <v>5792434</v>
      </c>
      <c r="J37" s="23">
        <f t="shared" si="10"/>
        <v>5340748</v>
      </c>
      <c r="K37" s="23">
        <f t="shared" si="10"/>
        <v>5387523</v>
      </c>
      <c r="L37" s="23">
        <f t="shared" si="10"/>
        <v>5434276</v>
      </c>
      <c r="M37" s="23">
        <f t="shared" si="10"/>
        <v>6178097</v>
      </c>
      <c r="N37" s="23">
        <f t="shared" si="10"/>
        <v>6738981</v>
      </c>
      <c r="O37" s="23">
        <f t="shared" si="10"/>
        <v>6731212</v>
      </c>
      <c r="P37" s="23">
        <f t="shared" si="10"/>
        <v>73034304</v>
      </c>
    </row>
    <row r="38" spans="2:16" x14ac:dyDescent="0.25">
      <c r="B38" s="25" t="s">
        <v>126</v>
      </c>
      <c r="D38" s="23">
        <f t="shared" si="10"/>
        <v>781558</v>
      </c>
      <c r="E38" s="23">
        <f t="shared" si="10"/>
        <v>794749</v>
      </c>
      <c r="F38" s="23">
        <f t="shared" si="10"/>
        <v>717596</v>
      </c>
      <c r="G38" s="23">
        <f t="shared" si="10"/>
        <v>517198</v>
      </c>
      <c r="H38" s="23">
        <f t="shared" si="10"/>
        <v>445680</v>
      </c>
      <c r="I38" s="23">
        <f t="shared" si="10"/>
        <v>297562</v>
      </c>
      <c r="J38" s="23">
        <f t="shared" si="10"/>
        <v>228827</v>
      </c>
      <c r="K38" s="23">
        <f t="shared" si="10"/>
        <v>192373</v>
      </c>
      <c r="L38" s="23">
        <f t="shared" si="10"/>
        <v>209832</v>
      </c>
      <c r="M38" s="23">
        <f t="shared" si="10"/>
        <v>409371</v>
      </c>
      <c r="N38" s="23">
        <f t="shared" si="10"/>
        <v>606807</v>
      </c>
      <c r="O38" s="23">
        <f t="shared" si="10"/>
        <v>866557</v>
      </c>
      <c r="P38" s="23">
        <f t="shared" si="10"/>
        <v>6068110</v>
      </c>
    </row>
    <row r="39" spans="2:16" x14ac:dyDescent="0.25">
      <c r="B39" s="25" t="s">
        <v>127</v>
      </c>
      <c r="D39" s="23">
        <f t="shared" si="10"/>
        <v>14090440.172645831</v>
      </c>
      <c r="E39" s="23">
        <f t="shared" si="10"/>
        <v>15262059.493125001</v>
      </c>
      <c r="F39" s="23">
        <f t="shared" si="10"/>
        <v>12449610.198494237</v>
      </c>
      <c r="G39" s="23">
        <f t="shared" si="10"/>
        <v>15136713.873409027</v>
      </c>
      <c r="H39" s="23">
        <f t="shared" si="10"/>
        <v>13434808.037193194</v>
      </c>
      <c r="I39" s="23">
        <f t="shared" si="10"/>
        <v>12966140.631836664</v>
      </c>
      <c r="J39" s="23">
        <f t="shared" si="10"/>
        <v>10614861.804500001</v>
      </c>
      <c r="K39" s="23">
        <f t="shared" si="10"/>
        <v>14631917.209000001</v>
      </c>
      <c r="L39" s="23">
        <f t="shared" si="10"/>
        <v>12318557.7435</v>
      </c>
      <c r="M39" s="23">
        <f t="shared" si="10"/>
        <v>14061201.310390282</v>
      </c>
      <c r="N39" s="23">
        <f t="shared" si="10"/>
        <v>14390370.588284999</v>
      </c>
      <c r="O39" s="23">
        <f t="shared" si="10"/>
        <v>14471741.345455553</v>
      </c>
      <c r="P39" s="23">
        <f t="shared" si="10"/>
        <v>163828422.40783477</v>
      </c>
    </row>
    <row r="40" spans="2:16" x14ac:dyDescent="0.25">
      <c r="B40" s="64" t="s">
        <v>13</v>
      </c>
      <c r="D40" s="23">
        <f t="shared" ref="D40:P40" si="11">D22</f>
        <v>3376573</v>
      </c>
      <c r="E40" s="23">
        <f t="shared" si="11"/>
        <v>4414906</v>
      </c>
      <c r="F40" s="23">
        <f t="shared" si="11"/>
        <v>2630513</v>
      </c>
      <c r="G40" s="23">
        <f t="shared" si="11"/>
        <v>2564284</v>
      </c>
      <c r="H40" s="23">
        <f t="shared" si="11"/>
        <v>1925391</v>
      </c>
      <c r="I40" s="23">
        <f t="shared" si="11"/>
        <v>1922345</v>
      </c>
      <c r="J40" s="23">
        <f t="shared" si="11"/>
        <v>1684994</v>
      </c>
      <c r="K40" s="23">
        <f t="shared" si="11"/>
        <v>1546823</v>
      </c>
      <c r="L40" s="23">
        <f t="shared" si="11"/>
        <v>1699014</v>
      </c>
      <c r="M40" s="23">
        <f t="shared" si="11"/>
        <v>2410628</v>
      </c>
      <c r="N40" s="23">
        <f t="shared" si="11"/>
        <v>3256750</v>
      </c>
      <c r="O40" s="23">
        <f t="shared" si="11"/>
        <v>3535679</v>
      </c>
      <c r="P40" s="23">
        <f t="shared" si="11"/>
        <v>30967900</v>
      </c>
    </row>
    <row r="41" spans="2:16" x14ac:dyDescent="0.25">
      <c r="B41" s="27" t="s">
        <v>76</v>
      </c>
      <c r="D41" s="28">
        <f>SUM(D34:D40)-D23</f>
        <v>0</v>
      </c>
      <c r="E41" s="28">
        <f t="shared" ref="E41:P41" si="12">SUM(E34:E40)-E23</f>
        <v>0</v>
      </c>
      <c r="F41" s="28">
        <f t="shared" si="12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8">
        <f t="shared" si="12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8">
        <f t="shared" si="12"/>
        <v>0</v>
      </c>
    </row>
  </sheetData>
  <mergeCells count="3">
    <mergeCell ref="B1:P1"/>
    <mergeCell ref="B2:P2"/>
    <mergeCell ref="B3:P3"/>
  </mergeCells>
  <printOptions horizontalCentered="1"/>
  <pageMargins left="0.7" right="0.7" top="0.75" bottom="0.75" header="0.3" footer="0.3"/>
  <pageSetup scale="59" orientation="landscape" blackAndWhite="1" r:id="rId1"/>
  <headerFooter>
    <oddFooter>&amp;L&amp;F 
&amp;A&amp;C&amp;P&amp;R&amp;D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38"/>
  <sheetViews>
    <sheetView zoomScale="90" zoomScaleNormal="90" workbookViewId="0">
      <pane xSplit="3" ySplit="9" topLeftCell="D10" activePane="bottomRight" state="frozenSplit"/>
      <selection activeCell="C32" sqref="C32"/>
      <selection pane="topRight" activeCell="C32" sqref="C32"/>
      <selection pane="bottomLeft" activeCell="C32" sqref="C32"/>
      <selection pane="bottomRight" activeCell="B22" sqref="B22:C22"/>
    </sheetView>
  </sheetViews>
  <sheetFormatPr defaultRowHeight="15" x14ac:dyDescent="0.25"/>
  <cols>
    <col min="1" max="1" width="2.85546875" customWidth="1"/>
    <col min="2" max="2" width="37.5703125" customWidth="1"/>
    <col min="3" max="3" width="9.140625" bestFit="1" customWidth="1"/>
    <col min="4" max="4" width="16.140625" bestFit="1" customWidth="1"/>
    <col min="5" max="5" width="2.28515625" customWidth="1"/>
    <col min="6" max="6" width="16" bestFit="1" customWidth="1"/>
    <col min="7" max="7" width="10.42578125" customWidth="1"/>
    <col min="8" max="8" width="2.28515625" customWidth="1"/>
    <col min="9" max="9" width="16" bestFit="1" customWidth="1"/>
    <col min="10" max="10" width="10.42578125" customWidth="1"/>
    <col min="11" max="11" width="2.28515625" customWidth="1"/>
    <col min="12" max="12" width="16.140625" customWidth="1"/>
    <col min="13" max="13" width="10.5703125" customWidth="1"/>
    <col min="14" max="14" width="2.28515625" customWidth="1"/>
    <col min="15" max="15" width="16.140625" bestFit="1" customWidth="1"/>
    <col min="16" max="16" width="16" bestFit="1" customWidth="1"/>
    <col min="17" max="17" width="11.5703125" customWidth="1"/>
    <col min="18" max="18" width="7.85546875" customWidth="1"/>
    <col min="19" max="19" width="9.28515625" customWidth="1"/>
  </cols>
  <sheetData>
    <row r="1" spans="2:18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3"/>
    </row>
    <row r="2" spans="2:18" x14ac:dyDescent="0.25">
      <c r="B2" s="42" t="s">
        <v>195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3"/>
    </row>
    <row r="3" spans="2:18" x14ac:dyDescent="0.25">
      <c r="B3" s="151" t="s">
        <v>213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2:18" x14ac:dyDescent="0.25">
      <c r="B4" s="151" t="s">
        <v>214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2:18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18" x14ac:dyDescent="0.25">
      <c r="D6" s="66" t="s">
        <v>220</v>
      </c>
      <c r="E6" s="66"/>
      <c r="H6" s="3"/>
      <c r="O6" s="3" t="str">
        <f>D6</f>
        <v>12ME Dec. 2024</v>
      </c>
    </row>
    <row r="7" spans="2:18" x14ac:dyDescent="0.25">
      <c r="B7" s="3"/>
      <c r="C7" s="3"/>
      <c r="D7" s="3" t="s">
        <v>136</v>
      </c>
      <c r="E7" s="3"/>
      <c r="F7" s="3" t="s">
        <v>200</v>
      </c>
      <c r="G7" s="3" t="str">
        <f>F7</f>
        <v>Sch. 141N</v>
      </c>
      <c r="H7" s="3"/>
      <c r="I7" s="3" t="s">
        <v>198</v>
      </c>
      <c r="J7" s="3" t="str">
        <f>I7</f>
        <v>Sch. 141R</v>
      </c>
      <c r="K7" s="3"/>
      <c r="L7" s="191" t="s">
        <v>380</v>
      </c>
      <c r="M7" s="191" t="str">
        <f>L7</f>
        <v>Sch. 141D</v>
      </c>
      <c r="N7" s="3"/>
      <c r="O7" s="3" t="s">
        <v>136</v>
      </c>
      <c r="P7" s="3"/>
      <c r="Q7" s="3"/>
      <c r="R7" s="3"/>
    </row>
    <row r="8" spans="2:18" x14ac:dyDescent="0.25">
      <c r="B8" s="3"/>
      <c r="C8" s="3" t="s">
        <v>17</v>
      </c>
      <c r="D8" s="3" t="s">
        <v>188</v>
      </c>
      <c r="E8" s="3"/>
      <c r="F8" s="3" t="s">
        <v>199</v>
      </c>
      <c r="G8" s="3" t="str">
        <f>F8</f>
        <v>Rate Plan</v>
      </c>
      <c r="H8" s="3"/>
      <c r="I8" s="3" t="s">
        <v>199</v>
      </c>
      <c r="J8" s="3" t="str">
        <f>I8</f>
        <v>Rate Plan</v>
      </c>
      <c r="K8" s="3"/>
      <c r="L8" s="191" t="s">
        <v>381</v>
      </c>
      <c r="M8" s="191" t="str">
        <f>L8</f>
        <v>Pipeline</v>
      </c>
      <c r="N8" s="3"/>
      <c r="O8" s="3" t="s">
        <v>189</v>
      </c>
      <c r="P8" s="3" t="s">
        <v>6</v>
      </c>
      <c r="Q8" s="3" t="s">
        <v>6</v>
      </c>
      <c r="R8" s="3"/>
    </row>
    <row r="9" spans="2:18" x14ac:dyDescent="0.25">
      <c r="B9" s="80" t="s">
        <v>4</v>
      </c>
      <c r="C9" s="80" t="s">
        <v>21</v>
      </c>
      <c r="D9" s="80" t="s">
        <v>259</v>
      </c>
      <c r="E9" s="3"/>
      <c r="F9" s="80" t="s">
        <v>122</v>
      </c>
      <c r="G9" s="80" t="s">
        <v>190</v>
      </c>
      <c r="H9" s="3"/>
      <c r="I9" s="80" t="s">
        <v>122</v>
      </c>
      <c r="J9" s="80" t="s">
        <v>164</v>
      </c>
      <c r="K9" s="3"/>
      <c r="L9" s="192" t="s">
        <v>122</v>
      </c>
      <c r="M9" s="192" t="s">
        <v>164</v>
      </c>
      <c r="N9" s="3"/>
      <c r="O9" s="80" t="s">
        <v>131</v>
      </c>
      <c r="P9" s="80" t="s">
        <v>122</v>
      </c>
      <c r="Q9" s="80" t="s">
        <v>164</v>
      </c>
      <c r="R9" s="80"/>
    </row>
    <row r="10" spans="2:18" x14ac:dyDescent="0.25">
      <c r="B10" s="3" t="s">
        <v>25</v>
      </c>
      <c r="C10" s="3" t="s">
        <v>26</v>
      </c>
      <c r="D10" s="3" t="s">
        <v>27</v>
      </c>
      <c r="E10" s="3"/>
      <c r="F10" s="74" t="s">
        <v>28</v>
      </c>
      <c r="G10" s="4" t="s">
        <v>165</v>
      </c>
      <c r="H10" s="3"/>
      <c r="I10" s="74" t="s">
        <v>132</v>
      </c>
      <c r="J10" s="4" t="s">
        <v>191</v>
      </c>
      <c r="K10" s="4"/>
      <c r="L10" s="193" t="s">
        <v>78</v>
      </c>
      <c r="M10" s="194" t="s">
        <v>192</v>
      </c>
      <c r="N10" s="4"/>
      <c r="O10" s="3" t="s">
        <v>396</v>
      </c>
      <c r="P10" s="74" t="s">
        <v>397</v>
      </c>
      <c r="Q10" s="4" t="s">
        <v>398</v>
      </c>
      <c r="R10" s="3"/>
    </row>
    <row r="11" spans="2:18" x14ac:dyDescent="0.25">
      <c r="B11" t="s">
        <v>7</v>
      </c>
      <c r="C11" s="5" t="s">
        <v>30</v>
      </c>
      <c r="D11" s="118">
        <f>'Revenue by Sch_RY#2'!P11</f>
        <v>805695887.19124937</v>
      </c>
      <c r="E11" s="118"/>
      <c r="F11" s="120">
        <f>'Sch. 141N_2024'!H9</f>
        <v>-18672364.830800001</v>
      </c>
      <c r="G11" s="62">
        <f>F11/$D11</f>
        <v>-2.3175450101767379E-2</v>
      </c>
      <c r="H11" s="6"/>
      <c r="I11" s="120">
        <f>'Sch. 141R_2024'!H9</f>
        <v>32056357.841370009</v>
      </c>
      <c r="J11" s="62">
        <f>I11/$D11</f>
        <v>3.9787168274027368E-2</v>
      </c>
      <c r="K11" s="62"/>
      <c r="L11" s="195">
        <f>'Sch. 141D_2024'!H9</f>
        <v>-70341.100389999803</v>
      </c>
      <c r="M11" s="196">
        <f>L11/$D11</f>
        <v>-8.7304777780630296E-5</v>
      </c>
      <c r="N11" s="62"/>
      <c r="O11" s="8">
        <f>SUM(D11,F11,I11,L11)</f>
        <v>819009539.10142934</v>
      </c>
      <c r="P11" s="143">
        <f t="shared" ref="P11:P23" si="0">O11-D11</f>
        <v>13313651.910179973</v>
      </c>
      <c r="Q11" s="62">
        <f>P11/$D11</f>
        <v>1.6524413394479312E-2</v>
      </c>
      <c r="R11" s="62"/>
    </row>
    <row r="12" spans="2:18" x14ac:dyDescent="0.25">
      <c r="B12" t="s">
        <v>31</v>
      </c>
      <c r="C12" s="5">
        <v>16</v>
      </c>
      <c r="D12" s="118">
        <f>'Revenue by Sch_RY#2'!P12</f>
        <v>10777.750959999998</v>
      </c>
      <c r="E12" s="118"/>
      <c r="F12" s="120">
        <f>'Sch. 141N_2024'!H10</f>
        <v>-257.89439999999996</v>
      </c>
      <c r="G12" s="62">
        <f t="shared" ref="G12:G22" si="1">F12/$D12</f>
        <v>-2.3928405931546968E-2</v>
      </c>
      <c r="H12" s="6"/>
      <c r="I12" s="120">
        <f>'Sch. 141R_2024'!H10</f>
        <v>442.74816000000004</v>
      </c>
      <c r="J12" s="62">
        <f t="shared" ref="J12:J22" si="2">I12/$D12</f>
        <v>4.1079828402344171E-2</v>
      </c>
      <c r="K12" s="62"/>
      <c r="L12" s="195">
        <f>'Sch. 141D_2024'!H10</f>
        <v>-0.97152000000000172</v>
      </c>
      <c r="M12" s="196">
        <f t="shared" ref="M12:M22" si="3">L12/$D12</f>
        <v>-9.0141255221581218E-5</v>
      </c>
      <c r="N12" s="62"/>
      <c r="O12" s="8">
        <f t="shared" ref="O12:O23" si="4">SUM(D12,F12,I12,L12)</f>
        <v>10961.633199999998</v>
      </c>
      <c r="P12" s="143">
        <f t="shared" si="0"/>
        <v>183.88224000000082</v>
      </c>
      <c r="Q12" s="62">
        <f t="shared" ref="Q12:Q24" si="5">P12/$D12</f>
        <v>1.706128121557569E-2</v>
      </c>
      <c r="R12" s="62"/>
    </row>
    <row r="13" spans="2:18" x14ac:dyDescent="0.25">
      <c r="B13" t="s">
        <v>8</v>
      </c>
      <c r="C13" s="5">
        <v>31</v>
      </c>
      <c r="D13" s="118">
        <f>'Revenue by Sch_RY#2'!P13</f>
        <v>282525988.06661838</v>
      </c>
      <c r="E13" s="118"/>
      <c r="F13" s="120">
        <f>'Sch. 141N_2024'!H11</f>
        <v>-6586172.5875399997</v>
      </c>
      <c r="G13" s="62">
        <f t="shared" si="1"/>
        <v>-2.3311740745021337E-2</v>
      </c>
      <c r="H13" s="6"/>
      <c r="I13" s="120">
        <f>'Sch. 141R_2024'!H11</f>
        <v>11236826.942670001</v>
      </c>
      <c r="J13" s="62">
        <f t="shared" si="2"/>
        <v>3.9772719740105489E-2</v>
      </c>
      <c r="K13" s="62"/>
      <c r="L13" s="195">
        <f>'Sch. 141D_2024'!H11</f>
        <v>-29512.349159999983</v>
      </c>
      <c r="M13" s="196">
        <f t="shared" si="3"/>
        <v>-1.0445888309942342E-4</v>
      </c>
      <c r="N13" s="62"/>
      <c r="O13" s="8">
        <f t="shared" si="4"/>
        <v>287147130.07258838</v>
      </c>
      <c r="P13" s="143">
        <f t="shared" si="0"/>
        <v>4621142.0059700012</v>
      </c>
      <c r="Q13" s="62">
        <f t="shared" si="5"/>
        <v>1.635652011198473E-2</v>
      </c>
      <c r="R13" s="62"/>
    </row>
    <row r="14" spans="2:18" x14ac:dyDescent="0.25">
      <c r="B14" t="s">
        <v>9</v>
      </c>
      <c r="C14" s="5">
        <v>41</v>
      </c>
      <c r="D14" s="118">
        <f>'Revenue by Sch_RY#2'!P14</f>
        <v>50411853.491752848</v>
      </c>
      <c r="E14" s="118"/>
      <c r="F14" s="120">
        <f>'Sch. 141N_2024'!H12</f>
        <v>-856198.92479999992</v>
      </c>
      <c r="G14" s="62">
        <f t="shared" si="1"/>
        <v>-1.6984079447506729E-2</v>
      </c>
      <c r="H14" s="6"/>
      <c r="I14" s="120">
        <f>'Sch. 141R_2024'!H12</f>
        <v>1461558.32085</v>
      </c>
      <c r="J14" s="62">
        <f t="shared" si="2"/>
        <v>2.8992354369376725E-2</v>
      </c>
      <c r="K14" s="62"/>
      <c r="L14" s="195">
        <f>'Sch. 141D_2024'!H12</f>
        <v>-4682.3378699999885</v>
      </c>
      <c r="M14" s="196">
        <f t="shared" si="3"/>
        <v>-9.2881684478552214E-5</v>
      </c>
      <c r="N14" s="62"/>
      <c r="O14" s="8">
        <f t="shared" si="4"/>
        <v>51012530.549932845</v>
      </c>
      <c r="P14" s="143">
        <f t="shared" si="0"/>
        <v>600677.05817999691</v>
      </c>
      <c r="Q14" s="62">
        <f t="shared" si="5"/>
        <v>1.1915393237391381E-2</v>
      </c>
      <c r="R14" s="62"/>
    </row>
    <row r="15" spans="2:18" x14ac:dyDescent="0.25">
      <c r="B15" t="s">
        <v>10</v>
      </c>
      <c r="C15" s="5">
        <v>85</v>
      </c>
      <c r="D15" s="118">
        <f>'Revenue by Sch_RY#2'!P15</f>
        <v>6355026.2474540109</v>
      </c>
      <c r="E15" s="118"/>
      <c r="F15" s="120">
        <f>'Sch. 141N_2024'!H13</f>
        <v>-83813.948400000008</v>
      </c>
      <c r="G15" s="62">
        <f t="shared" si="1"/>
        <v>-1.3188607747069189E-2</v>
      </c>
      <c r="H15" s="6"/>
      <c r="I15" s="120">
        <f>'Sch. 141R_2024'!H13</f>
        <v>146029.68702000001</v>
      </c>
      <c r="J15" s="62">
        <f t="shared" si="2"/>
        <v>2.2978612728547471E-2</v>
      </c>
      <c r="K15" s="62"/>
      <c r="L15" s="195">
        <f>'Sch. 141D_2024'!H13</f>
        <v>107.45377999999982</v>
      </c>
      <c r="M15" s="196">
        <f t="shared" si="3"/>
        <v>1.6908471470601497E-5</v>
      </c>
      <c r="N15" s="62"/>
      <c r="O15" s="8">
        <f t="shared" si="4"/>
        <v>6417349.4398540109</v>
      </c>
      <c r="P15" s="143">
        <f t="shared" si="0"/>
        <v>62323.192400000058</v>
      </c>
      <c r="Q15" s="62">
        <f t="shared" si="5"/>
        <v>9.8069134529488924E-3</v>
      </c>
      <c r="R15" s="62"/>
    </row>
    <row r="16" spans="2:18" x14ac:dyDescent="0.25">
      <c r="B16" t="s">
        <v>11</v>
      </c>
      <c r="C16" s="5">
        <v>86</v>
      </c>
      <c r="D16" s="118">
        <f>'Revenue by Sch_RY#2'!P16</f>
        <v>3618488.4794600722</v>
      </c>
      <c r="E16" s="118"/>
      <c r="F16" s="120">
        <f>'Sch. 141N_2024'!H14</f>
        <v>-35516.46976</v>
      </c>
      <c r="G16" s="62">
        <f t="shared" si="1"/>
        <v>-9.8152778326102454E-3</v>
      </c>
      <c r="H16" s="6"/>
      <c r="I16" s="120">
        <f>'Sch. 141R_2024'!H14</f>
        <v>62634.145279999997</v>
      </c>
      <c r="J16" s="62">
        <f t="shared" si="2"/>
        <v>1.7309477599703693E-2</v>
      </c>
      <c r="K16" s="62"/>
      <c r="L16" s="195">
        <f>'Sch. 141D_2024'!H14</f>
        <v>0</v>
      </c>
      <c r="M16" s="196">
        <f t="shared" si="3"/>
        <v>0</v>
      </c>
      <c r="N16" s="62"/>
      <c r="O16" s="8">
        <f t="shared" si="4"/>
        <v>3645606.1549800723</v>
      </c>
      <c r="P16" s="143">
        <f t="shared" si="0"/>
        <v>27117.675520000048</v>
      </c>
      <c r="Q16" s="62">
        <f>P16/$D16</f>
        <v>7.4941997670934617E-3</v>
      </c>
      <c r="R16" s="62"/>
    </row>
    <row r="17" spans="2:19" x14ac:dyDescent="0.25">
      <c r="B17" t="s">
        <v>12</v>
      </c>
      <c r="C17" s="5">
        <v>87</v>
      </c>
      <c r="D17" s="118">
        <f>'Revenue by Sch_RY#2'!P17</f>
        <v>11309317.372549269</v>
      </c>
      <c r="E17" s="118"/>
      <c r="F17" s="120">
        <f>'Sch. 141N_2024'!H23</f>
        <v>-78087.443354149844</v>
      </c>
      <c r="G17" s="62">
        <f t="shared" si="1"/>
        <v>-6.9046999727577635E-3</v>
      </c>
      <c r="H17" s="6"/>
      <c r="I17" s="120">
        <f>'Sch. 141R_2024'!H23</f>
        <v>132722.57071838641</v>
      </c>
      <c r="J17" s="62">
        <f t="shared" si="2"/>
        <v>1.1735683626718223E-2</v>
      </c>
      <c r="K17" s="62"/>
      <c r="L17" s="195">
        <f>'Sch. 141D_2024'!H23</f>
        <v>-517.84840591355191</v>
      </c>
      <c r="M17" s="196">
        <f t="shared" si="3"/>
        <v>-4.5789536968032055E-5</v>
      </c>
      <c r="N17" s="62"/>
      <c r="O17" s="8">
        <f t="shared" si="4"/>
        <v>11363434.651507592</v>
      </c>
      <c r="P17" s="143">
        <f t="shared" si="0"/>
        <v>54117.27895832248</v>
      </c>
      <c r="Q17" s="62">
        <f t="shared" si="5"/>
        <v>4.7851941169923798E-3</v>
      </c>
      <c r="R17" s="62"/>
    </row>
    <row r="18" spans="2:19" x14ac:dyDescent="0.25">
      <c r="B18" t="s">
        <v>32</v>
      </c>
      <c r="C18" s="5" t="s">
        <v>33</v>
      </c>
      <c r="D18" s="118">
        <f>'Revenue by Sch_RY#2'!P18</f>
        <v>26176.089889183364</v>
      </c>
      <c r="E18" s="118"/>
      <c r="F18" s="120">
        <f>'Sch. 141N_2024'!H25</f>
        <v>-906.95826</v>
      </c>
      <c r="G18" s="62">
        <f t="shared" si="1"/>
        <v>-3.4648347550746243E-2</v>
      </c>
      <c r="H18" s="6"/>
      <c r="I18" s="120">
        <f>'Sch. 141R_2024'!H25</f>
        <v>1547.3832299999999</v>
      </c>
      <c r="J18" s="62">
        <f t="shared" si="2"/>
        <v>5.9114376385123076E-2</v>
      </c>
      <c r="K18" s="62"/>
      <c r="L18" s="195"/>
      <c r="M18" s="196">
        <f t="shared" si="3"/>
        <v>0</v>
      </c>
      <c r="N18" s="62"/>
      <c r="O18" s="8">
        <f t="shared" si="4"/>
        <v>26816.514859183364</v>
      </c>
      <c r="P18" s="143">
        <f t="shared" si="0"/>
        <v>640.42497000000003</v>
      </c>
      <c r="Q18" s="62">
        <f t="shared" si="5"/>
        <v>2.4466028834376832E-2</v>
      </c>
      <c r="R18" s="62"/>
    </row>
    <row r="19" spans="2:19" x14ac:dyDescent="0.25">
      <c r="B19" t="s">
        <v>34</v>
      </c>
      <c r="C19" t="s">
        <v>35</v>
      </c>
      <c r="D19" s="118">
        <f>'Revenue by Sch_RY#2'!P19</f>
        <v>5563549.1801457489</v>
      </c>
      <c r="E19" s="118"/>
      <c r="F19" s="120">
        <f>'Sch. 141N_2024'!H26</f>
        <v>-339330.9952</v>
      </c>
      <c r="G19" s="62">
        <f t="shared" si="1"/>
        <v>-6.099182090650819E-2</v>
      </c>
      <c r="H19" s="6"/>
      <c r="I19" s="120">
        <f>'Sch. 141R_2024'!H26</f>
        <v>579248.61289999983</v>
      </c>
      <c r="J19" s="62">
        <f t="shared" si="2"/>
        <v>0.10411494428181278</v>
      </c>
      <c r="K19" s="62"/>
      <c r="L19" s="195"/>
      <c r="M19" s="196">
        <f t="shared" si="3"/>
        <v>0</v>
      </c>
      <c r="N19" s="62"/>
      <c r="O19" s="8">
        <f t="shared" si="4"/>
        <v>5803466.7978457492</v>
      </c>
      <c r="P19" s="143">
        <f t="shared" si="0"/>
        <v>239917.61770000029</v>
      </c>
      <c r="Q19" s="62">
        <f>P19/$D19</f>
        <v>4.3123123375304676E-2</v>
      </c>
      <c r="R19" s="62"/>
    </row>
    <row r="20" spans="2:19" x14ac:dyDescent="0.25">
      <c r="B20" t="s">
        <v>36</v>
      </c>
      <c r="C20" t="s">
        <v>37</v>
      </c>
      <c r="D20" s="118">
        <f>'Revenue by Sch_RY#2'!P20</f>
        <v>7894042.8385108421</v>
      </c>
      <c r="E20" s="118"/>
      <c r="F20" s="120">
        <f>'Sch. 141N_2024'!H27</f>
        <v>-485853.62280000007</v>
      </c>
      <c r="G20" s="62">
        <f t="shared" si="1"/>
        <v>-6.154686929614548E-2</v>
      </c>
      <c r="H20" s="6"/>
      <c r="I20" s="120">
        <f>'Sch. 141R_2024'!H27</f>
        <v>846506.5043400001</v>
      </c>
      <c r="J20" s="62">
        <f t="shared" si="2"/>
        <v>0.1072335838121304</v>
      </c>
      <c r="K20" s="62"/>
      <c r="L20" s="195"/>
      <c r="M20" s="196">
        <f t="shared" si="3"/>
        <v>0</v>
      </c>
      <c r="N20" s="62"/>
      <c r="O20" s="8">
        <f t="shared" si="4"/>
        <v>8254695.7200508425</v>
      </c>
      <c r="P20" s="143">
        <f t="shared" si="0"/>
        <v>360652.88154000044</v>
      </c>
      <c r="Q20" s="62">
        <f t="shared" si="5"/>
        <v>4.5686714515984966E-2</v>
      </c>
      <c r="R20" s="62"/>
    </row>
    <row r="21" spans="2:19" x14ac:dyDescent="0.25">
      <c r="B21" t="s">
        <v>38</v>
      </c>
      <c r="C21" t="s">
        <v>39</v>
      </c>
      <c r="D21" s="118">
        <f>'Revenue by Sch_RY#2'!P21</f>
        <v>155244.16480140295</v>
      </c>
      <c r="E21" s="118"/>
      <c r="F21" s="120">
        <f>'Sch. 141N_2024'!H28</f>
        <v>-3744.2019400000004</v>
      </c>
      <c r="G21" s="62">
        <f t="shared" si="1"/>
        <v>-2.4118149270149984E-2</v>
      </c>
      <c r="H21" s="6"/>
      <c r="I21" s="120">
        <f>'Sch. 141R_2024'!H28</f>
        <v>6602.9898199999998</v>
      </c>
      <c r="J21" s="62">
        <f t="shared" si="2"/>
        <v>4.253293402973899E-2</v>
      </c>
      <c r="K21" s="62"/>
      <c r="L21" s="195"/>
      <c r="M21" s="196">
        <f t="shared" si="3"/>
        <v>0</v>
      </c>
      <c r="N21" s="62"/>
      <c r="O21" s="8">
        <f t="shared" si="4"/>
        <v>158102.95268140294</v>
      </c>
      <c r="P21" s="143">
        <f t="shared" si="0"/>
        <v>2858.7878799999889</v>
      </c>
      <c r="Q21" s="62">
        <f t="shared" si="5"/>
        <v>1.841478475958894E-2</v>
      </c>
      <c r="R21" s="62"/>
    </row>
    <row r="22" spans="2:19" x14ac:dyDescent="0.25">
      <c r="B22" s="214" t="s">
        <v>40</v>
      </c>
      <c r="C22" s="214" t="s">
        <v>41</v>
      </c>
      <c r="D22" s="118">
        <f>'Revenue by Sch_RY#2'!P22</f>
        <v>6954392.5986394649</v>
      </c>
      <c r="E22" s="118"/>
      <c r="F22" s="120">
        <f>'Sch. 141N_2024'!H37</f>
        <v>-294020.40489616583</v>
      </c>
      <c r="G22" s="62">
        <f t="shared" si="1"/>
        <v>-4.2278373089504183E-2</v>
      </c>
      <c r="H22" s="6"/>
      <c r="I22" s="120">
        <f>'Sch. 141R_2024'!H37</f>
        <v>498858.86838330975</v>
      </c>
      <c r="J22" s="62">
        <f t="shared" si="2"/>
        <v>7.1732917189763615E-2</v>
      </c>
      <c r="K22" s="62"/>
      <c r="L22" s="195"/>
      <c r="M22" s="196">
        <f t="shared" si="3"/>
        <v>0</v>
      </c>
      <c r="N22" s="62"/>
      <c r="O22" s="8">
        <f t="shared" si="4"/>
        <v>7159231.0621266086</v>
      </c>
      <c r="P22" s="143">
        <f t="shared" si="0"/>
        <v>204838.46348714363</v>
      </c>
      <c r="Q22" s="62">
        <f t="shared" si="5"/>
        <v>2.945454410025939E-2</v>
      </c>
      <c r="R22" s="62"/>
    </row>
    <row r="23" spans="2:19" x14ac:dyDescent="0.25">
      <c r="B23" t="s">
        <v>13</v>
      </c>
      <c r="D23" s="118">
        <f>'Revenue by Sch_RY#2'!P23</f>
        <v>1676822.7883708156</v>
      </c>
      <c r="E23" s="118"/>
      <c r="F23" s="120"/>
      <c r="G23" s="62">
        <f>F23/$D23</f>
        <v>0</v>
      </c>
      <c r="H23" s="6"/>
      <c r="I23" s="120"/>
      <c r="J23" s="62">
        <f>I23/$D23</f>
        <v>0</v>
      </c>
      <c r="K23" s="62"/>
      <c r="L23" s="195"/>
      <c r="M23" s="196">
        <f>L23/$D23</f>
        <v>0</v>
      </c>
      <c r="N23" s="62"/>
      <c r="O23" s="8">
        <f t="shared" si="4"/>
        <v>1676822.7883708156</v>
      </c>
      <c r="P23" s="143">
        <f t="shared" si="0"/>
        <v>0</v>
      </c>
      <c r="Q23" s="62">
        <f t="shared" si="5"/>
        <v>0</v>
      </c>
      <c r="R23" s="62"/>
    </row>
    <row r="24" spans="2:19" x14ac:dyDescent="0.25">
      <c r="B24" t="s">
        <v>6</v>
      </c>
      <c r="D24" s="11">
        <f>SUM(D11:D23)</f>
        <v>1182197566.2604012</v>
      </c>
      <c r="E24" s="8"/>
      <c r="F24" s="79">
        <f>SUM(F11:F23)</f>
        <v>-27436268.282150317</v>
      </c>
      <c r="G24" s="63">
        <f t="shared" ref="G24" si="6">F24/$D24</f>
        <v>-2.3207853801406796E-2</v>
      </c>
      <c r="H24" s="6"/>
      <c r="I24" s="79">
        <f>SUM(I11:I23)</f>
        <v>47029336.614741705</v>
      </c>
      <c r="J24" s="63">
        <f t="shared" ref="J24" si="7">I24/$D24</f>
        <v>3.9781283566255127E-2</v>
      </c>
      <c r="K24" s="62"/>
      <c r="L24" s="215">
        <f>SUM(L11:L23)</f>
        <v>-104947.15356591334</v>
      </c>
      <c r="M24" s="198">
        <f t="shared" ref="M24" si="8">L24/$D24</f>
        <v>-8.8772939956126385E-5</v>
      </c>
      <c r="N24" s="62"/>
      <c r="O24" s="79">
        <f>SUM(O11:O23)</f>
        <v>1201685687.4394271</v>
      </c>
      <c r="P24" s="79">
        <f>SUM(P11:P23)</f>
        <v>19488121.179025438</v>
      </c>
      <c r="Q24" s="63">
        <f t="shared" si="5"/>
        <v>1.6484656824892172E-2</v>
      </c>
      <c r="R24" s="62"/>
      <c r="S24" s="8"/>
    </row>
    <row r="25" spans="2:19" s="13" customFormat="1" x14ac:dyDescent="0.25">
      <c r="B25" s="12"/>
      <c r="C25" s="144"/>
      <c r="D25" s="144"/>
      <c r="E25" s="144"/>
      <c r="F25" s="16"/>
      <c r="G25" s="145"/>
      <c r="H25" s="146"/>
      <c r="I25" s="16"/>
      <c r="J25" s="145"/>
      <c r="K25" s="145"/>
      <c r="L25" s="201"/>
      <c r="M25" s="199"/>
      <c r="N25" s="145"/>
      <c r="O25" s="146"/>
      <c r="P25" s="16"/>
      <c r="Q25" s="145"/>
      <c r="R25" s="147"/>
    </row>
    <row r="26" spans="2:19" x14ac:dyDescent="0.25">
      <c r="F26" s="40"/>
      <c r="G26" s="8"/>
      <c r="I26" s="40"/>
      <c r="J26" s="8"/>
      <c r="K26" s="8"/>
      <c r="L26" s="195"/>
      <c r="M26" s="197"/>
      <c r="N26" s="8"/>
      <c r="P26" s="40"/>
      <c r="Q26" s="8"/>
      <c r="R26" s="62"/>
    </row>
    <row r="27" spans="2:19" s="13" customFormat="1" x14ac:dyDescent="0.25">
      <c r="B27" s="102" t="s">
        <v>160</v>
      </c>
      <c r="C27" s="15"/>
      <c r="D27" s="15"/>
      <c r="E27" s="15"/>
      <c r="F27" s="16"/>
      <c r="G27" s="125"/>
      <c r="I27" s="16"/>
      <c r="J27" s="125"/>
      <c r="K27" s="125"/>
      <c r="L27" s="201"/>
      <c r="M27" s="205"/>
      <c r="N27" s="125"/>
      <c r="P27" s="16"/>
      <c r="Q27" s="125"/>
      <c r="R27" s="147"/>
    </row>
    <row r="28" spans="2:19" s="13" customFormat="1" x14ac:dyDescent="0.25">
      <c r="B28" s="12" t="s">
        <v>42</v>
      </c>
      <c r="C28" s="12"/>
      <c r="D28" s="16">
        <f>D11+D12</f>
        <v>805706664.94220936</v>
      </c>
      <c r="E28" s="16"/>
      <c r="F28" s="16">
        <f>F11+F12</f>
        <v>-18672622.725200001</v>
      </c>
      <c r="G28" s="62">
        <f t="shared" ref="G28:G35" si="9">F28/$D28</f>
        <v>-2.3175460173882671E-2</v>
      </c>
      <c r="I28" s="16">
        <f>I11+I12</f>
        <v>32056800.58953001</v>
      </c>
      <c r="J28" s="62">
        <f t="shared" ref="J28:J35" si="10">I28/$D28</f>
        <v>3.9787185565641731E-2</v>
      </c>
      <c r="K28" s="62"/>
      <c r="L28" s="201">
        <f>L11+L12</f>
        <v>-70342.07190999981</v>
      </c>
      <c r="M28" s="196">
        <f t="shared" ref="M28:M35" si="11">L28/$D28</f>
        <v>-8.7304815723530366E-5</v>
      </c>
      <c r="N28" s="62"/>
      <c r="O28" s="8">
        <f t="shared" ref="O28:O34" si="12">SUM(D28,F28,I28)</f>
        <v>819090842.8065393</v>
      </c>
      <c r="P28" s="16">
        <f>P11+P12</f>
        <v>13313835.792419972</v>
      </c>
      <c r="Q28" s="62">
        <f t="shared" ref="Q28:Q35" si="13">P28/$D28</f>
        <v>1.6524420576035485E-2</v>
      </c>
      <c r="R28" s="62"/>
      <c r="S28" s="17"/>
    </row>
    <row r="29" spans="2:19" s="13" customFormat="1" x14ac:dyDescent="0.25">
      <c r="B29" s="12" t="s">
        <v>43</v>
      </c>
      <c r="C29" s="12"/>
      <c r="D29" s="16">
        <f>D13+D18</f>
        <v>282552164.15650755</v>
      </c>
      <c r="E29" s="16"/>
      <c r="F29" s="16">
        <f>F13+F18</f>
        <v>-6587079.5457999995</v>
      </c>
      <c r="G29" s="62">
        <f t="shared" si="9"/>
        <v>-2.3312790986627769E-2</v>
      </c>
      <c r="I29" s="16">
        <f>I13+I18</f>
        <v>11238374.325900001</v>
      </c>
      <c r="J29" s="62">
        <f t="shared" si="10"/>
        <v>3.9774511582487793E-2</v>
      </c>
      <c r="K29" s="62"/>
      <c r="L29" s="201">
        <f>L13+L18</f>
        <v>-29512.349159999983</v>
      </c>
      <c r="M29" s="196">
        <f t="shared" si="11"/>
        <v>-1.0444920585939273E-4</v>
      </c>
      <c r="N29" s="62"/>
      <c r="O29" s="8">
        <f t="shared" si="12"/>
        <v>287203458.9366076</v>
      </c>
      <c r="P29" s="16">
        <f>P13+P18</f>
        <v>4621782.4309400013</v>
      </c>
      <c r="Q29" s="62">
        <f t="shared" si="13"/>
        <v>1.6357271390000625E-2</v>
      </c>
      <c r="R29" s="62"/>
    </row>
    <row r="30" spans="2:19" s="13" customFormat="1" x14ac:dyDescent="0.25">
      <c r="B30" s="12" t="s">
        <v>44</v>
      </c>
      <c r="C30" s="12"/>
      <c r="D30" s="16">
        <f>D14+D19</f>
        <v>55975402.671898596</v>
      </c>
      <c r="E30" s="16"/>
      <c r="F30" s="16">
        <f>F14+F19</f>
        <v>-1195529.92</v>
      </c>
      <c r="G30" s="62">
        <f t="shared" si="9"/>
        <v>-2.1358129873716717E-2</v>
      </c>
      <c r="I30" s="16">
        <f>I14+I19</f>
        <v>2040806.9337499999</v>
      </c>
      <c r="J30" s="62">
        <f t="shared" si="10"/>
        <v>3.6458995135992989E-2</v>
      </c>
      <c r="K30" s="62"/>
      <c r="L30" s="201">
        <f>L14+L19</f>
        <v>-4682.3378699999885</v>
      </c>
      <c r="M30" s="196">
        <f t="shared" si="11"/>
        <v>-8.3649918473041531E-5</v>
      </c>
      <c r="N30" s="62"/>
      <c r="O30" s="8">
        <f t="shared" si="12"/>
        <v>56820679.68564859</v>
      </c>
      <c r="P30" s="16">
        <f>P14+P19</f>
        <v>840594.6758799972</v>
      </c>
      <c r="Q30" s="62">
        <f t="shared" si="13"/>
        <v>1.5017215343803181E-2</v>
      </c>
      <c r="R30" s="62"/>
    </row>
    <row r="31" spans="2:19" s="13" customFormat="1" x14ac:dyDescent="0.25">
      <c r="B31" s="12" t="s">
        <v>45</v>
      </c>
      <c r="C31" s="12"/>
      <c r="D31" s="16">
        <f>D15+D20</f>
        <v>14249069.085964853</v>
      </c>
      <c r="E31" s="16"/>
      <c r="F31" s="16">
        <f>F15+F20</f>
        <v>-569667.57120000012</v>
      </c>
      <c r="G31" s="62">
        <f t="shared" si="9"/>
        <v>-3.9979283401826951E-2</v>
      </c>
      <c r="I31" s="16">
        <f>I15+I20</f>
        <v>992536.19136000006</v>
      </c>
      <c r="J31" s="62">
        <f t="shared" si="10"/>
        <v>6.9656213003952319E-2</v>
      </c>
      <c r="K31" s="62"/>
      <c r="L31" s="201">
        <f>L15+L20</f>
        <v>107.45377999999982</v>
      </c>
      <c r="M31" s="196">
        <f t="shared" si="11"/>
        <v>7.5411087806318796E-6</v>
      </c>
      <c r="N31" s="62"/>
      <c r="O31" s="8">
        <f t="shared" si="12"/>
        <v>14671937.706124853</v>
      </c>
      <c r="P31" s="16">
        <f>P15+P20</f>
        <v>422976.0739400005</v>
      </c>
      <c r="Q31" s="62">
        <f t="shared" si="13"/>
        <v>2.9684470710906047E-2</v>
      </c>
      <c r="R31" s="62"/>
    </row>
    <row r="32" spans="2:19" s="13" customFormat="1" x14ac:dyDescent="0.25">
      <c r="B32" s="12" t="s">
        <v>46</v>
      </c>
      <c r="C32" s="12"/>
      <c r="D32" s="16">
        <f>D16+D21</f>
        <v>3773732.6442614752</v>
      </c>
      <c r="E32" s="16"/>
      <c r="F32" s="16">
        <f>F16+F21</f>
        <v>-39260.671699999999</v>
      </c>
      <c r="G32" s="62">
        <f t="shared" si="9"/>
        <v>-1.0403670689205214E-2</v>
      </c>
      <c r="I32" s="16">
        <f>I16+I21</f>
        <v>69237.1351</v>
      </c>
      <c r="J32" s="62">
        <f t="shared" si="10"/>
        <v>1.8347122498273801E-2</v>
      </c>
      <c r="K32" s="62"/>
      <c r="L32" s="201">
        <f>L16+L21</f>
        <v>0</v>
      </c>
      <c r="M32" s="196">
        <f t="shared" si="11"/>
        <v>0</v>
      </c>
      <c r="N32" s="62"/>
      <c r="O32" s="8">
        <f t="shared" si="12"/>
        <v>3803709.1076614754</v>
      </c>
      <c r="P32" s="16">
        <f>P16+P21</f>
        <v>29976.463400000037</v>
      </c>
      <c r="Q32" s="62">
        <f t="shared" si="13"/>
        <v>7.9434518090685975E-3</v>
      </c>
      <c r="R32" s="62"/>
    </row>
    <row r="33" spans="2:18" s="13" customFormat="1" x14ac:dyDescent="0.25">
      <c r="B33" s="12" t="s">
        <v>47</v>
      </c>
      <c r="C33" s="12"/>
      <c r="D33" s="16">
        <f>D17+D22</f>
        <v>18263709.971188735</v>
      </c>
      <c r="E33" s="16"/>
      <c r="F33" s="16">
        <f>F17+F22</f>
        <v>-372107.84825031564</v>
      </c>
      <c r="G33" s="62">
        <f t="shared" si="9"/>
        <v>-2.0374165426264496E-2</v>
      </c>
      <c r="I33" s="16">
        <f>I17+I22</f>
        <v>631581.43910169613</v>
      </c>
      <c r="J33" s="62">
        <f t="shared" si="10"/>
        <v>3.4581223645032959E-2</v>
      </c>
      <c r="K33" s="62"/>
      <c r="L33" s="201">
        <f>L17+L22</f>
        <v>-517.84840591355191</v>
      </c>
      <c r="M33" s="196">
        <f t="shared" si="11"/>
        <v>-2.8353954740327413E-5</v>
      </c>
      <c r="N33" s="62"/>
      <c r="O33" s="8">
        <f t="shared" si="12"/>
        <v>18523183.562040117</v>
      </c>
      <c r="P33" s="16">
        <f>P17+P22</f>
        <v>258955.74244546611</v>
      </c>
      <c r="Q33" s="62">
        <f t="shared" si="13"/>
        <v>1.4178704264028093E-2</v>
      </c>
      <c r="R33" s="62"/>
    </row>
    <row r="34" spans="2:18" s="13" customFormat="1" x14ac:dyDescent="0.25">
      <c r="B34" s="12" t="s">
        <v>13</v>
      </c>
      <c r="C34" s="12"/>
      <c r="D34" s="16">
        <f>D23</f>
        <v>1676822.7883708156</v>
      </c>
      <c r="E34" s="16"/>
      <c r="F34" s="16">
        <f>F23</f>
        <v>0</v>
      </c>
      <c r="G34" s="62">
        <f t="shared" si="9"/>
        <v>0</v>
      </c>
      <c r="I34" s="16">
        <f>I23</f>
        <v>0</v>
      </c>
      <c r="J34" s="62">
        <f t="shared" si="10"/>
        <v>0</v>
      </c>
      <c r="K34" s="62"/>
      <c r="L34" s="201">
        <f>L23</f>
        <v>0</v>
      </c>
      <c r="M34" s="196">
        <f t="shared" si="11"/>
        <v>0</v>
      </c>
      <c r="N34" s="62"/>
      <c r="O34" s="8">
        <f t="shared" si="12"/>
        <v>1676822.7883708156</v>
      </c>
      <c r="P34" s="16">
        <f>P23</f>
        <v>0</v>
      </c>
      <c r="Q34" s="62">
        <f t="shared" si="13"/>
        <v>0</v>
      </c>
      <c r="R34" s="62"/>
    </row>
    <row r="35" spans="2:18" s="13" customFormat="1" x14ac:dyDescent="0.25">
      <c r="B35" s="12" t="s">
        <v>14</v>
      </c>
      <c r="C35" s="12"/>
      <c r="D35" s="128">
        <f>SUM(D28:D34)</f>
        <v>1182197566.2604015</v>
      </c>
      <c r="E35" s="148"/>
      <c r="F35" s="18">
        <f>SUM(F28:F34)</f>
        <v>-27436268.282150313</v>
      </c>
      <c r="G35" s="63">
        <f t="shared" si="9"/>
        <v>-2.3207853801406789E-2</v>
      </c>
      <c r="I35" s="18">
        <f>SUM(I28:I34)</f>
        <v>47029336.614741705</v>
      </c>
      <c r="J35" s="63">
        <f t="shared" si="10"/>
        <v>3.978128356625512E-2</v>
      </c>
      <c r="K35" s="62"/>
      <c r="L35" s="202">
        <f>SUM(L28:L34)</f>
        <v>-104947.15356591334</v>
      </c>
      <c r="M35" s="198">
        <f t="shared" si="11"/>
        <v>-8.8772939956126358E-5</v>
      </c>
      <c r="N35" s="62"/>
      <c r="O35" s="18">
        <f>SUM(O28:O34)</f>
        <v>1201790634.5929928</v>
      </c>
      <c r="P35" s="18">
        <f>SUM(P28:P34)</f>
        <v>19488121.179025434</v>
      </c>
      <c r="Q35" s="63">
        <f t="shared" si="13"/>
        <v>1.6484656824892165E-2</v>
      </c>
      <c r="R35" s="62"/>
    </row>
    <row r="36" spans="2:18" s="13" customFormat="1" x14ac:dyDescent="0.25">
      <c r="B36" s="12"/>
      <c r="C36" s="12"/>
      <c r="D36" s="12"/>
      <c r="E36" s="12"/>
      <c r="F36" s="16"/>
      <c r="G36" s="149"/>
      <c r="I36" s="16"/>
      <c r="J36" s="149"/>
      <c r="K36" s="149"/>
      <c r="L36" s="149"/>
      <c r="M36" s="149"/>
      <c r="N36" s="149"/>
      <c r="P36" s="16"/>
      <c r="Q36" s="149"/>
      <c r="R36" s="62"/>
    </row>
    <row r="37" spans="2:18" x14ac:dyDescent="0.25">
      <c r="B37" s="12" t="s">
        <v>260</v>
      </c>
      <c r="F37" s="14"/>
      <c r="G37" s="14"/>
      <c r="J37" s="40"/>
      <c r="K37" s="40"/>
      <c r="L37" s="40"/>
      <c r="M37" s="40"/>
      <c r="N37" s="40"/>
      <c r="P37" s="14"/>
    </row>
    <row r="38" spans="2:18" x14ac:dyDescent="0.25">
      <c r="B38" s="189" t="s">
        <v>388</v>
      </c>
    </row>
  </sheetData>
  <printOptions horizontalCentered="1"/>
  <pageMargins left="0.45" right="0.45" top="0.75" bottom="0.75" header="0.3" footer="0.3"/>
  <pageSetup scale="65" orientation="landscape" blackAndWhite="1" r:id="rId1"/>
  <headerFooter>
    <oddFooter>&amp;R&amp;A
 Page &amp;P of 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R41"/>
  <sheetViews>
    <sheetView zoomScale="90" zoomScaleNormal="90" workbookViewId="0">
      <selection activeCell="P18" sqref="P18"/>
    </sheetView>
  </sheetViews>
  <sheetFormatPr defaultColWidth="9.140625" defaultRowHeight="15" x14ac:dyDescent="0.25"/>
  <cols>
    <col min="1" max="1" width="1.5703125" style="21" customWidth="1"/>
    <col min="2" max="2" width="14.85546875" style="21" customWidth="1"/>
    <col min="3" max="3" width="2.85546875" style="21" customWidth="1"/>
    <col min="4" max="15" width="13.42578125" style="21" customWidth="1"/>
    <col min="16" max="16" width="14" style="21" customWidth="1"/>
    <col min="17" max="16384" width="9.140625" style="21"/>
  </cols>
  <sheetData>
    <row r="1" spans="2:18" x14ac:dyDescent="0.25">
      <c r="B1" s="226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</row>
    <row r="2" spans="2:18" x14ac:dyDescent="0.25">
      <c r="B2" s="227" t="s">
        <v>186</v>
      </c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</row>
    <row r="3" spans="2:18" x14ac:dyDescent="0.25">
      <c r="B3" s="227" t="s">
        <v>281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</row>
    <row r="4" spans="2:18" x14ac:dyDescent="0.25"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8" x14ac:dyDescent="0.25">
      <c r="B5" s="21" t="s">
        <v>185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7" spans="2:18" x14ac:dyDescent="0.25">
      <c r="B7" s="24" t="s">
        <v>21</v>
      </c>
      <c r="D7" s="29">
        <v>45658</v>
      </c>
      <c r="E7" s="29">
        <f>EDATE(D7,1)</f>
        <v>45689</v>
      </c>
      <c r="F7" s="29">
        <f t="shared" ref="F7:O7" si="0">EDATE(E7,1)</f>
        <v>45717</v>
      </c>
      <c r="G7" s="29">
        <f t="shared" si="0"/>
        <v>45748</v>
      </c>
      <c r="H7" s="29">
        <f t="shared" si="0"/>
        <v>45778</v>
      </c>
      <c r="I7" s="29">
        <f t="shared" si="0"/>
        <v>45809</v>
      </c>
      <c r="J7" s="29">
        <f t="shared" si="0"/>
        <v>45839</v>
      </c>
      <c r="K7" s="29">
        <f t="shared" si="0"/>
        <v>45870</v>
      </c>
      <c r="L7" s="29">
        <f t="shared" si="0"/>
        <v>45901</v>
      </c>
      <c r="M7" s="29">
        <f t="shared" si="0"/>
        <v>45931</v>
      </c>
      <c r="N7" s="29">
        <f t="shared" si="0"/>
        <v>45962</v>
      </c>
      <c r="O7" s="29">
        <f t="shared" si="0"/>
        <v>45992</v>
      </c>
      <c r="P7" s="24" t="s">
        <v>6</v>
      </c>
    </row>
    <row r="8" spans="2:18" x14ac:dyDescent="0.25">
      <c r="B8" s="25"/>
    </row>
    <row r="9" spans="2:18" x14ac:dyDescent="0.25">
      <c r="B9" s="12">
        <v>16</v>
      </c>
      <c r="D9" s="156">
        <f>'[2]RY#3 Therms'!B36</f>
        <v>0</v>
      </c>
      <c r="E9" s="156">
        <f>'[2]RY#3 Therms'!C36</f>
        <v>0</v>
      </c>
      <c r="F9" s="156">
        <f>'[2]RY#3 Therms'!D36</f>
        <v>0</v>
      </c>
      <c r="G9" s="156">
        <f>'[2]RY#3 Therms'!E36</f>
        <v>0</v>
      </c>
      <c r="H9" s="156">
        <f>'[2]RY#3 Therms'!F36</f>
        <v>0</v>
      </c>
      <c r="I9" s="156">
        <f>'[2]RY#3 Therms'!G36</f>
        <v>0</v>
      </c>
      <c r="J9" s="156">
        <f>'[2]RY#3 Therms'!H36</f>
        <v>0</v>
      </c>
      <c r="K9" s="156">
        <f>'[2]RY#3 Therms'!I36</f>
        <v>0</v>
      </c>
      <c r="L9" s="156">
        <f>'[2]RY#3 Therms'!J36</f>
        <v>0</v>
      </c>
      <c r="M9" s="156">
        <f>'[2]RY#3 Therms'!K36</f>
        <v>0</v>
      </c>
      <c r="N9" s="156">
        <f>'[2]RY#3 Therms'!L36</f>
        <v>0</v>
      </c>
      <c r="O9" s="156">
        <f>'[2]RY#3 Therms'!M36</f>
        <v>0</v>
      </c>
      <c r="P9" s="23">
        <f>SUM(D9:O9)</f>
        <v>0</v>
      </c>
      <c r="R9" s="53"/>
    </row>
    <row r="10" spans="2:18" x14ac:dyDescent="0.25">
      <c r="B10" s="25">
        <v>23</v>
      </c>
      <c r="D10" s="156">
        <f>'[2]RY#3 Therms'!B37</f>
        <v>0</v>
      </c>
      <c r="E10" s="156">
        <f>'[2]RY#3 Therms'!C37</f>
        <v>0</v>
      </c>
      <c r="F10" s="156">
        <f>'[2]RY#3 Therms'!D37</f>
        <v>0</v>
      </c>
      <c r="G10" s="156">
        <f>'[2]RY#3 Therms'!E37</f>
        <v>0</v>
      </c>
      <c r="H10" s="156">
        <f>'[2]RY#3 Therms'!F37</f>
        <v>0</v>
      </c>
      <c r="I10" s="156">
        <f>'[2]RY#3 Therms'!G37</f>
        <v>0</v>
      </c>
      <c r="J10" s="156">
        <f>'[2]RY#3 Therms'!H37</f>
        <v>0</v>
      </c>
      <c r="K10" s="156">
        <f>'[2]RY#3 Therms'!I37</f>
        <v>0</v>
      </c>
      <c r="L10" s="156">
        <f>'[2]RY#3 Therms'!J37</f>
        <v>0</v>
      </c>
      <c r="M10" s="156">
        <f>'[2]RY#3 Therms'!K37</f>
        <v>0</v>
      </c>
      <c r="N10" s="156">
        <f>'[2]RY#3 Therms'!L37</f>
        <v>0</v>
      </c>
      <c r="O10" s="156">
        <f>'[2]RY#3 Therms'!M37</f>
        <v>0</v>
      </c>
      <c r="P10" s="23">
        <f>SUM(D10:O10)</f>
        <v>0</v>
      </c>
      <c r="R10" s="53"/>
    </row>
    <row r="11" spans="2:18" x14ac:dyDescent="0.25">
      <c r="B11" s="25">
        <v>53</v>
      </c>
      <c r="D11" s="156">
        <f>'[2]RY#3 Therms'!B38</f>
        <v>0</v>
      </c>
      <c r="E11" s="156">
        <f>'[2]RY#3 Therms'!C38</f>
        <v>0</v>
      </c>
      <c r="F11" s="156">
        <f>'[2]RY#3 Therms'!D38</f>
        <v>0</v>
      </c>
      <c r="G11" s="156">
        <f>'[2]RY#3 Therms'!E38</f>
        <v>0</v>
      </c>
      <c r="H11" s="156">
        <f>'[2]RY#3 Therms'!F38</f>
        <v>0</v>
      </c>
      <c r="I11" s="156">
        <f>'[2]RY#3 Therms'!G38</f>
        <v>0</v>
      </c>
      <c r="J11" s="156">
        <f>'[2]RY#3 Therms'!H38</f>
        <v>0</v>
      </c>
      <c r="K11" s="156">
        <f>'[2]RY#3 Therms'!I38</f>
        <v>0</v>
      </c>
      <c r="L11" s="156">
        <f>'[2]RY#3 Therms'!J38</f>
        <v>0</v>
      </c>
      <c r="M11" s="156">
        <f>'[2]RY#3 Therms'!K38</f>
        <v>0</v>
      </c>
      <c r="N11" s="156">
        <f>'[2]RY#3 Therms'!L38</f>
        <v>0</v>
      </c>
      <c r="O11" s="156">
        <f>'[2]RY#3 Therms'!M38</f>
        <v>0</v>
      </c>
      <c r="P11" s="23">
        <f t="shared" ref="P11:P26" si="1">SUM(D11:O11)</f>
        <v>0</v>
      </c>
      <c r="R11" s="53"/>
    </row>
    <row r="12" spans="2:18" x14ac:dyDescent="0.25">
      <c r="B12" s="25">
        <v>31</v>
      </c>
      <c r="D12" s="156">
        <f>'[2]RY#3 Therms'!B39</f>
        <v>0</v>
      </c>
      <c r="E12" s="156">
        <f>'[2]RY#3 Therms'!C39</f>
        <v>0</v>
      </c>
      <c r="F12" s="156">
        <f>'[2]RY#3 Therms'!D39</f>
        <v>0</v>
      </c>
      <c r="G12" s="156">
        <f>'[2]RY#3 Therms'!E39</f>
        <v>0</v>
      </c>
      <c r="H12" s="156">
        <f>'[2]RY#3 Therms'!F39</f>
        <v>0</v>
      </c>
      <c r="I12" s="156">
        <f>'[2]RY#3 Therms'!G39</f>
        <v>0</v>
      </c>
      <c r="J12" s="156">
        <f>'[2]RY#3 Therms'!H39</f>
        <v>0</v>
      </c>
      <c r="K12" s="156">
        <f>'[2]RY#3 Therms'!I39</f>
        <v>0</v>
      </c>
      <c r="L12" s="156">
        <f>'[2]RY#3 Therms'!J39</f>
        <v>0</v>
      </c>
      <c r="M12" s="156">
        <f>'[2]RY#3 Therms'!K39</f>
        <v>0</v>
      </c>
      <c r="N12" s="156">
        <f>'[2]RY#3 Therms'!L39</f>
        <v>0</v>
      </c>
      <c r="O12" s="156">
        <f>'[2]RY#3 Therms'!M39</f>
        <v>0</v>
      </c>
      <c r="P12" s="23">
        <f t="shared" si="1"/>
        <v>0</v>
      </c>
      <c r="R12" s="53"/>
    </row>
    <row r="13" spans="2:18" x14ac:dyDescent="0.25">
      <c r="B13" s="25">
        <v>41</v>
      </c>
      <c r="D13" s="156">
        <f>'[2]RY#3 Therms'!B40</f>
        <v>0</v>
      </c>
      <c r="E13" s="156">
        <f>'[2]RY#3 Therms'!C40</f>
        <v>0</v>
      </c>
      <c r="F13" s="156">
        <f>'[2]RY#3 Therms'!D40</f>
        <v>0</v>
      </c>
      <c r="G13" s="156">
        <f>'[2]RY#3 Therms'!E40</f>
        <v>0</v>
      </c>
      <c r="H13" s="156">
        <f>'[2]RY#3 Therms'!F40</f>
        <v>0</v>
      </c>
      <c r="I13" s="156">
        <f>'[2]RY#3 Therms'!G40</f>
        <v>0</v>
      </c>
      <c r="J13" s="156">
        <f>'[2]RY#3 Therms'!H40</f>
        <v>0</v>
      </c>
      <c r="K13" s="156">
        <f>'[2]RY#3 Therms'!I40</f>
        <v>0</v>
      </c>
      <c r="L13" s="156">
        <f>'[2]RY#3 Therms'!J40</f>
        <v>0</v>
      </c>
      <c r="M13" s="156">
        <f>'[2]RY#3 Therms'!K40</f>
        <v>0</v>
      </c>
      <c r="N13" s="156">
        <f>'[2]RY#3 Therms'!L40</f>
        <v>0</v>
      </c>
      <c r="O13" s="156">
        <f>'[2]RY#3 Therms'!M40</f>
        <v>0</v>
      </c>
      <c r="P13" s="23">
        <f t="shared" si="1"/>
        <v>0</v>
      </c>
      <c r="R13" s="53"/>
    </row>
    <row r="14" spans="2:18" x14ac:dyDescent="0.25">
      <c r="B14" s="25">
        <v>85</v>
      </c>
      <c r="D14" s="156">
        <f>'[2]RY#3 Therms'!B41</f>
        <v>0</v>
      </c>
      <c r="E14" s="156">
        <f>'[2]RY#3 Therms'!C41</f>
        <v>0</v>
      </c>
      <c r="F14" s="156">
        <f>'[2]RY#3 Therms'!D41</f>
        <v>0</v>
      </c>
      <c r="G14" s="156">
        <f>'[2]RY#3 Therms'!E41</f>
        <v>0</v>
      </c>
      <c r="H14" s="156">
        <f>'[2]RY#3 Therms'!F41</f>
        <v>0</v>
      </c>
      <c r="I14" s="156">
        <f>'[2]RY#3 Therms'!G41</f>
        <v>0</v>
      </c>
      <c r="J14" s="156">
        <f>'[2]RY#3 Therms'!H41</f>
        <v>0</v>
      </c>
      <c r="K14" s="156">
        <f>'[2]RY#3 Therms'!I41</f>
        <v>0</v>
      </c>
      <c r="L14" s="156">
        <f>'[2]RY#3 Therms'!J41</f>
        <v>0</v>
      </c>
      <c r="M14" s="156">
        <f>'[2]RY#3 Therms'!K41</f>
        <v>0</v>
      </c>
      <c r="N14" s="156">
        <f>'[2]RY#3 Therms'!L41</f>
        <v>0</v>
      </c>
      <c r="O14" s="156">
        <f>'[2]RY#3 Therms'!M41</f>
        <v>0</v>
      </c>
      <c r="P14" s="23">
        <f t="shared" si="1"/>
        <v>0</v>
      </c>
      <c r="R14" s="53"/>
    </row>
    <row r="15" spans="2:18" x14ac:dyDescent="0.25">
      <c r="B15" s="25">
        <v>86</v>
      </c>
      <c r="D15" s="156">
        <f>'[2]RY#3 Therms'!B42</f>
        <v>0</v>
      </c>
      <c r="E15" s="156">
        <f>'[2]RY#3 Therms'!C42</f>
        <v>0</v>
      </c>
      <c r="F15" s="156">
        <f>'[2]RY#3 Therms'!D42</f>
        <v>0</v>
      </c>
      <c r="G15" s="156">
        <f>'[2]RY#3 Therms'!E42</f>
        <v>0</v>
      </c>
      <c r="H15" s="156">
        <f>'[2]RY#3 Therms'!F42</f>
        <v>0</v>
      </c>
      <c r="I15" s="156">
        <f>'[2]RY#3 Therms'!G42</f>
        <v>0</v>
      </c>
      <c r="J15" s="156">
        <f>'[2]RY#3 Therms'!H42</f>
        <v>0</v>
      </c>
      <c r="K15" s="156">
        <f>'[2]RY#3 Therms'!I42</f>
        <v>0</v>
      </c>
      <c r="L15" s="156">
        <f>'[2]RY#3 Therms'!J42</f>
        <v>0</v>
      </c>
      <c r="M15" s="156">
        <f>'[2]RY#3 Therms'!K42</f>
        <v>0</v>
      </c>
      <c r="N15" s="156">
        <f>'[2]RY#3 Therms'!L42</f>
        <v>0</v>
      </c>
      <c r="O15" s="156">
        <f>'[2]RY#3 Therms'!M42</f>
        <v>0</v>
      </c>
      <c r="P15" s="23">
        <f t="shared" si="1"/>
        <v>0</v>
      </c>
      <c r="R15" s="53"/>
    </row>
    <row r="16" spans="2:18" x14ac:dyDescent="0.25">
      <c r="B16" s="25">
        <v>87</v>
      </c>
      <c r="D16" s="156">
        <f>'[2]RY#3 Therms'!B43</f>
        <v>0</v>
      </c>
      <c r="E16" s="156">
        <f>'[2]RY#3 Therms'!C43</f>
        <v>0</v>
      </c>
      <c r="F16" s="156">
        <f>'[2]RY#3 Therms'!D43</f>
        <v>0</v>
      </c>
      <c r="G16" s="156">
        <f>'[2]RY#3 Therms'!E43</f>
        <v>0</v>
      </c>
      <c r="H16" s="156">
        <f>'[2]RY#3 Therms'!F43</f>
        <v>0</v>
      </c>
      <c r="I16" s="156">
        <f>'[2]RY#3 Therms'!G43</f>
        <v>0</v>
      </c>
      <c r="J16" s="156">
        <f>'[2]RY#3 Therms'!H43</f>
        <v>0</v>
      </c>
      <c r="K16" s="156">
        <f>'[2]RY#3 Therms'!I43</f>
        <v>0</v>
      </c>
      <c r="L16" s="156">
        <f>'[2]RY#3 Therms'!J43</f>
        <v>0</v>
      </c>
      <c r="M16" s="156">
        <f>'[2]RY#3 Therms'!K43</f>
        <v>0</v>
      </c>
      <c r="N16" s="156">
        <f>'[2]RY#3 Therms'!L43</f>
        <v>0</v>
      </c>
      <c r="O16" s="156">
        <f>'[2]RY#3 Therms'!M43</f>
        <v>0</v>
      </c>
      <c r="P16" s="23">
        <f t="shared" si="1"/>
        <v>0</v>
      </c>
      <c r="R16" s="53"/>
    </row>
    <row r="17" spans="2:18" x14ac:dyDescent="0.25">
      <c r="B17" s="25" t="s">
        <v>33</v>
      </c>
      <c r="D17" s="156">
        <f>'[2]RY#3 Therms'!B44</f>
        <v>0</v>
      </c>
      <c r="E17" s="156">
        <f>'[2]RY#3 Therms'!C44</f>
        <v>0</v>
      </c>
      <c r="F17" s="156">
        <f>'[2]RY#3 Therms'!D44</f>
        <v>0</v>
      </c>
      <c r="G17" s="156">
        <f>'[2]RY#3 Therms'!E44</f>
        <v>0</v>
      </c>
      <c r="H17" s="156">
        <f>'[2]RY#3 Therms'!F44</f>
        <v>0</v>
      </c>
      <c r="I17" s="156">
        <f>'[2]RY#3 Therms'!G44</f>
        <v>0</v>
      </c>
      <c r="J17" s="156">
        <f>'[2]RY#3 Therms'!H44</f>
        <v>0</v>
      </c>
      <c r="K17" s="156">
        <f>'[2]RY#3 Therms'!I44</f>
        <v>0</v>
      </c>
      <c r="L17" s="156">
        <f>'[2]RY#3 Therms'!J44</f>
        <v>0</v>
      </c>
      <c r="M17" s="156">
        <f>'[2]RY#3 Therms'!K44</f>
        <v>0</v>
      </c>
      <c r="N17" s="156">
        <f>'[2]RY#3 Therms'!L44</f>
        <v>0</v>
      </c>
      <c r="O17" s="156">
        <f>'[2]RY#3 Therms'!M44</f>
        <v>0</v>
      </c>
      <c r="P17" s="23">
        <f t="shared" si="1"/>
        <v>0</v>
      </c>
      <c r="R17" s="53"/>
    </row>
    <row r="18" spans="2:18" x14ac:dyDescent="0.25">
      <c r="B18" s="25" t="s">
        <v>35</v>
      </c>
      <c r="D18" s="156">
        <f>'[2]RY#3 Therms'!B45</f>
        <v>0</v>
      </c>
      <c r="E18" s="156">
        <f>'[2]RY#3 Therms'!C45</f>
        <v>0</v>
      </c>
      <c r="F18" s="156">
        <f>'[2]RY#3 Therms'!D45</f>
        <v>0</v>
      </c>
      <c r="G18" s="156">
        <f>'[2]RY#3 Therms'!E45</f>
        <v>0</v>
      </c>
      <c r="H18" s="156">
        <f>'[2]RY#3 Therms'!F45</f>
        <v>0</v>
      </c>
      <c r="I18" s="156">
        <f>'[2]RY#3 Therms'!G45</f>
        <v>0</v>
      </c>
      <c r="J18" s="156">
        <f>'[2]RY#3 Therms'!H45</f>
        <v>0</v>
      </c>
      <c r="K18" s="156">
        <f>'[2]RY#3 Therms'!I45</f>
        <v>0</v>
      </c>
      <c r="L18" s="156">
        <f>'[2]RY#3 Therms'!J45</f>
        <v>0</v>
      </c>
      <c r="M18" s="156">
        <f>'[2]RY#3 Therms'!K45</f>
        <v>0</v>
      </c>
      <c r="N18" s="156">
        <f>'[2]RY#3 Therms'!L45</f>
        <v>0</v>
      </c>
      <c r="O18" s="156">
        <f>'[2]RY#3 Therms'!M45</f>
        <v>0</v>
      </c>
      <c r="P18" s="23">
        <f t="shared" si="1"/>
        <v>0</v>
      </c>
      <c r="R18" s="53"/>
    </row>
    <row r="19" spans="2:18" x14ac:dyDescent="0.25">
      <c r="B19" s="25" t="s">
        <v>37</v>
      </c>
      <c r="D19" s="156">
        <f>'[2]RY#3 Therms'!B46</f>
        <v>0</v>
      </c>
      <c r="E19" s="156">
        <f>'[2]RY#3 Therms'!C46</f>
        <v>0</v>
      </c>
      <c r="F19" s="156">
        <f>'[2]RY#3 Therms'!D46</f>
        <v>0</v>
      </c>
      <c r="G19" s="156">
        <f>'[2]RY#3 Therms'!E46</f>
        <v>0</v>
      </c>
      <c r="H19" s="156">
        <f>'[2]RY#3 Therms'!F46</f>
        <v>0</v>
      </c>
      <c r="I19" s="156">
        <f>'[2]RY#3 Therms'!G46</f>
        <v>0</v>
      </c>
      <c r="J19" s="156">
        <f>'[2]RY#3 Therms'!H46</f>
        <v>0</v>
      </c>
      <c r="K19" s="156">
        <f>'[2]RY#3 Therms'!I46</f>
        <v>0</v>
      </c>
      <c r="L19" s="156">
        <f>'[2]RY#3 Therms'!J46</f>
        <v>0</v>
      </c>
      <c r="M19" s="156">
        <f>'[2]RY#3 Therms'!K46</f>
        <v>0</v>
      </c>
      <c r="N19" s="156">
        <f>'[2]RY#3 Therms'!L46</f>
        <v>0</v>
      </c>
      <c r="O19" s="156">
        <f>'[2]RY#3 Therms'!M46</f>
        <v>0</v>
      </c>
      <c r="P19" s="23">
        <f t="shared" si="1"/>
        <v>0</v>
      </c>
      <c r="R19" s="53"/>
    </row>
    <row r="20" spans="2:18" x14ac:dyDescent="0.25">
      <c r="B20" s="25" t="s">
        <v>39</v>
      </c>
      <c r="D20" s="156">
        <f>'[2]RY#3 Therms'!B47</f>
        <v>0</v>
      </c>
      <c r="E20" s="156">
        <f>'[2]RY#3 Therms'!C47</f>
        <v>0</v>
      </c>
      <c r="F20" s="156">
        <f>'[2]RY#3 Therms'!D47</f>
        <v>0</v>
      </c>
      <c r="G20" s="156">
        <f>'[2]RY#3 Therms'!E47</f>
        <v>0</v>
      </c>
      <c r="H20" s="156">
        <f>'[2]RY#3 Therms'!F47</f>
        <v>0</v>
      </c>
      <c r="I20" s="156">
        <f>'[2]RY#3 Therms'!G47</f>
        <v>0</v>
      </c>
      <c r="J20" s="156">
        <f>'[2]RY#3 Therms'!H47</f>
        <v>0</v>
      </c>
      <c r="K20" s="156">
        <f>'[2]RY#3 Therms'!I47</f>
        <v>0</v>
      </c>
      <c r="L20" s="156">
        <f>'[2]RY#3 Therms'!J47</f>
        <v>0</v>
      </c>
      <c r="M20" s="156">
        <f>'[2]RY#3 Therms'!K47</f>
        <v>0</v>
      </c>
      <c r="N20" s="156">
        <f>'[2]RY#3 Therms'!L47</f>
        <v>0</v>
      </c>
      <c r="O20" s="156">
        <f>'[2]RY#3 Therms'!M47</f>
        <v>0</v>
      </c>
      <c r="P20" s="23">
        <f t="shared" si="1"/>
        <v>0</v>
      </c>
      <c r="R20" s="53"/>
    </row>
    <row r="21" spans="2:18" x14ac:dyDescent="0.25">
      <c r="B21" s="25" t="s">
        <v>41</v>
      </c>
      <c r="D21" s="156">
        <f>'[2]RY#3 Therms'!B48</f>
        <v>0</v>
      </c>
      <c r="E21" s="156">
        <f>'[2]RY#3 Therms'!C48</f>
        <v>0</v>
      </c>
      <c r="F21" s="156">
        <f>'[2]RY#3 Therms'!D48</f>
        <v>0</v>
      </c>
      <c r="G21" s="156">
        <f>'[2]RY#3 Therms'!E48</f>
        <v>0</v>
      </c>
      <c r="H21" s="156">
        <f>'[2]RY#3 Therms'!F48</f>
        <v>0</v>
      </c>
      <c r="I21" s="156">
        <f>'[2]RY#3 Therms'!G48</f>
        <v>0</v>
      </c>
      <c r="J21" s="156">
        <f>'[2]RY#3 Therms'!H48</f>
        <v>0</v>
      </c>
      <c r="K21" s="156">
        <f>'[2]RY#3 Therms'!I48</f>
        <v>0</v>
      </c>
      <c r="L21" s="156">
        <f>'[2]RY#3 Therms'!J48</f>
        <v>0</v>
      </c>
      <c r="M21" s="156">
        <f>'[2]RY#3 Therms'!K48</f>
        <v>0</v>
      </c>
      <c r="N21" s="156">
        <f>'[2]RY#3 Therms'!L48</f>
        <v>0</v>
      </c>
      <c r="O21" s="156">
        <f>'[2]RY#3 Therms'!M48</f>
        <v>0</v>
      </c>
      <c r="P21" s="23">
        <f t="shared" si="1"/>
        <v>0</v>
      </c>
      <c r="R21" s="53"/>
    </row>
    <row r="22" spans="2:18" x14ac:dyDescent="0.25">
      <c r="B22" s="25" t="s">
        <v>13</v>
      </c>
      <c r="D22" s="156">
        <f>'[2]RY#3 Therms'!B49</f>
        <v>0</v>
      </c>
      <c r="E22" s="156">
        <f>'[2]RY#3 Therms'!C49</f>
        <v>0</v>
      </c>
      <c r="F22" s="156">
        <f>'[2]RY#3 Therms'!D49</f>
        <v>0</v>
      </c>
      <c r="G22" s="156">
        <f>'[2]RY#3 Therms'!E49</f>
        <v>0</v>
      </c>
      <c r="H22" s="156">
        <f>'[2]RY#3 Therms'!F49</f>
        <v>0</v>
      </c>
      <c r="I22" s="156">
        <f>'[2]RY#3 Therms'!G49</f>
        <v>0</v>
      </c>
      <c r="J22" s="156">
        <f>'[2]RY#3 Therms'!H49</f>
        <v>0</v>
      </c>
      <c r="K22" s="156">
        <f>'[2]RY#3 Therms'!I49</f>
        <v>0</v>
      </c>
      <c r="L22" s="156">
        <f>'[2]RY#3 Therms'!J49</f>
        <v>0</v>
      </c>
      <c r="M22" s="156">
        <f>'[2]RY#3 Therms'!K49</f>
        <v>0</v>
      </c>
      <c r="N22" s="156">
        <f>'[2]RY#3 Therms'!L49</f>
        <v>0</v>
      </c>
      <c r="O22" s="156">
        <f>'[2]RY#3 Therms'!M49</f>
        <v>0</v>
      </c>
      <c r="P22" s="23">
        <f t="shared" si="1"/>
        <v>0</v>
      </c>
      <c r="R22" s="53"/>
    </row>
    <row r="23" spans="2:18" x14ac:dyDescent="0.25">
      <c r="B23" s="25" t="s">
        <v>6</v>
      </c>
      <c r="D23" s="26">
        <f t="shared" ref="D23:P23" si="2">SUM(D9:D22)</f>
        <v>0</v>
      </c>
      <c r="E23" s="26">
        <f t="shared" si="2"/>
        <v>0</v>
      </c>
      <c r="F23" s="26">
        <f t="shared" si="2"/>
        <v>0</v>
      </c>
      <c r="G23" s="26">
        <f t="shared" si="2"/>
        <v>0</v>
      </c>
      <c r="H23" s="26">
        <f t="shared" si="2"/>
        <v>0</v>
      </c>
      <c r="I23" s="26">
        <f t="shared" si="2"/>
        <v>0</v>
      </c>
      <c r="J23" s="26">
        <f t="shared" si="2"/>
        <v>0</v>
      </c>
      <c r="K23" s="26">
        <f t="shared" si="2"/>
        <v>0</v>
      </c>
      <c r="L23" s="26">
        <f t="shared" si="2"/>
        <v>0</v>
      </c>
      <c r="M23" s="26">
        <f t="shared" si="2"/>
        <v>0</v>
      </c>
      <c r="N23" s="26">
        <f t="shared" si="2"/>
        <v>0</v>
      </c>
      <c r="O23" s="26">
        <f t="shared" si="2"/>
        <v>0</v>
      </c>
      <c r="P23" s="26">
        <f t="shared" si="2"/>
        <v>0</v>
      </c>
    </row>
    <row r="24" spans="2:18" x14ac:dyDescent="0.25">
      <c r="B24" s="25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2:18" x14ac:dyDescent="0.25">
      <c r="B25" s="25" t="s">
        <v>72</v>
      </c>
      <c r="D25" s="23">
        <f t="shared" ref="D25:O25" si="3">SUM(D9:D13)</f>
        <v>0</v>
      </c>
      <c r="E25" s="23">
        <f t="shared" si="3"/>
        <v>0</v>
      </c>
      <c r="F25" s="23">
        <f t="shared" si="3"/>
        <v>0</v>
      </c>
      <c r="G25" s="23">
        <f t="shared" si="3"/>
        <v>0</v>
      </c>
      <c r="H25" s="23">
        <f t="shared" si="3"/>
        <v>0</v>
      </c>
      <c r="I25" s="23">
        <f t="shared" si="3"/>
        <v>0</v>
      </c>
      <c r="J25" s="23">
        <f t="shared" si="3"/>
        <v>0</v>
      </c>
      <c r="K25" s="23">
        <f t="shared" si="3"/>
        <v>0</v>
      </c>
      <c r="L25" s="23">
        <f t="shared" si="3"/>
        <v>0</v>
      </c>
      <c r="M25" s="23">
        <f t="shared" si="3"/>
        <v>0</v>
      </c>
      <c r="N25" s="23">
        <f t="shared" si="3"/>
        <v>0</v>
      </c>
      <c r="O25" s="23">
        <f t="shared" si="3"/>
        <v>0</v>
      </c>
      <c r="P25" s="23">
        <f t="shared" si="1"/>
        <v>0</v>
      </c>
    </row>
    <row r="26" spans="2:18" x14ac:dyDescent="0.25">
      <c r="B26" s="25" t="s">
        <v>73</v>
      </c>
      <c r="D26" s="23">
        <f>SUM(D14:D16)</f>
        <v>0</v>
      </c>
      <c r="E26" s="23">
        <f t="shared" ref="E26:O26" si="4">SUM(E14:E16)</f>
        <v>0</v>
      </c>
      <c r="F26" s="23">
        <f t="shared" si="4"/>
        <v>0</v>
      </c>
      <c r="G26" s="23">
        <f t="shared" si="4"/>
        <v>0</v>
      </c>
      <c r="H26" s="23">
        <f t="shared" si="4"/>
        <v>0</v>
      </c>
      <c r="I26" s="23">
        <f t="shared" si="4"/>
        <v>0</v>
      </c>
      <c r="J26" s="23">
        <f t="shared" si="4"/>
        <v>0</v>
      </c>
      <c r="K26" s="23">
        <f t="shared" si="4"/>
        <v>0</v>
      </c>
      <c r="L26" s="23">
        <f t="shared" si="4"/>
        <v>0</v>
      </c>
      <c r="M26" s="23">
        <f t="shared" si="4"/>
        <v>0</v>
      </c>
      <c r="N26" s="23">
        <f t="shared" si="4"/>
        <v>0</v>
      </c>
      <c r="O26" s="23">
        <f t="shared" si="4"/>
        <v>0</v>
      </c>
      <c r="P26" s="23">
        <f t="shared" si="1"/>
        <v>0</v>
      </c>
    </row>
    <row r="27" spans="2:18" x14ac:dyDescent="0.25">
      <c r="B27" s="25" t="s">
        <v>74</v>
      </c>
      <c r="D27" s="26">
        <f>SUM(D25:D26)</f>
        <v>0</v>
      </c>
      <c r="E27" s="26">
        <f t="shared" ref="E27:P27" si="5">SUM(E25:E26)</f>
        <v>0</v>
      </c>
      <c r="F27" s="26">
        <f t="shared" si="5"/>
        <v>0</v>
      </c>
      <c r="G27" s="26">
        <f t="shared" si="5"/>
        <v>0</v>
      </c>
      <c r="H27" s="26">
        <f t="shared" si="5"/>
        <v>0</v>
      </c>
      <c r="I27" s="26">
        <f t="shared" si="5"/>
        <v>0</v>
      </c>
      <c r="J27" s="26">
        <f t="shared" si="5"/>
        <v>0</v>
      </c>
      <c r="K27" s="26">
        <f t="shared" si="5"/>
        <v>0</v>
      </c>
      <c r="L27" s="26">
        <f t="shared" si="5"/>
        <v>0</v>
      </c>
      <c r="M27" s="26">
        <f t="shared" si="5"/>
        <v>0</v>
      </c>
      <c r="N27" s="26">
        <f t="shared" si="5"/>
        <v>0</v>
      </c>
      <c r="O27" s="26">
        <f t="shared" si="5"/>
        <v>0</v>
      </c>
      <c r="P27" s="26">
        <f t="shared" si="5"/>
        <v>0</v>
      </c>
    </row>
    <row r="28" spans="2:18" x14ac:dyDescent="0.25">
      <c r="B28" s="25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2:18" x14ac:dyDescent="0.25">
      <c r="B29" s="25" t="s">
        <v>75</v>
      </c>
      <c r="D29" s="23">
        <f>SUM(D17:D22)</f>
        <v>0</v>
      </c>
      <c r="E29" s="23">
        <f t="shared" ref="E29:O29" si="6">SUM(E17:E22)</f>
        <v>0</v>
      </c>
      <c r="F29" s="23">
        <f t="shared" si="6"/>
        <v>0</v>
      </c>
      <c r="G29" s="23">
        <f t="shared" si="6"/>
        <v>0</v>
      </c>
      <c r="H29" s="23">
        <f t="shared" si="6"/>
        <v>0</v>
      </c>
      <c r="I29" s="23">
        <f t="shared" si="6"/>
        <v>0</v>
      </c>
      <c r="J29" s="23">
        <f t="shared" si="6"/>
        <v>0</v>
      </c>
      <c r="K29" s="23">
        <f t="shared" si="6"/>
        <v>0</v>
      </c>
      <c r="L29" s="23">
        <f t="shared" si="6"/>
        <v>0</v>
      </c>
      <c r="M29" s="23">
        <f t="shared" si="6"/>
        <v>0</v>
      </c>
      <c r="N29" s="23">
        <f t="shared" si="6"/>
        <v>0</v>
      </c>
      <c r="O29" s="23">
        <f t="shared" si="6"/>
        <v>0</v>
      </c>
      <c r="P29" s="23">
        <f>SUM(D29:O29)</f>
        <v>0</v>
      </c>
    </row>
    <row r="30" spans="2:18" x14ac:dyDescent="0.25">
      <c r="B30" s="25" t="s">
        <v>6</v>
      </c>
      <c r="D30" s="26">
        <f>D27+D29</f>
        <v>0</v>
      </c>
      <c r="E30" s="26">
        <f t="shared" ref="E30:P30" si="7">E27+E29</f>
        <v>0</v>
      </c>
      <c r="F30" s="26">
        <f t="shared" si="7"/>
        <v>0</v>
      </c>
      <c r="G30" s="26">
        <f t="shared" si="7"/>
        <v>0</v>
      </c>
      <c r="H30" s="26">
        <f t="shared" si="7"/>
        <v>0</v>
      </c>
      <c r="I30" s="26">
        <f t="shared" si="7"/>
        <v>0</v>
      </c>
      <c r="J30" s="26">
        <f t="shared" si="7"/>
        <v>0</v>
      </c>
      <c r="K30" s="26">
        <f t="shared" si="7"/>
        <v>0</v>
      </c>
      <c r="L30" s="26">
        <f t="shared" si="7"/>
        <v>0</v>
      </c>
      <c r="M30" s="26">
        <f t="shared" si="7"/>
        <v>0</v>
      </c>
      <c r="N30" s="26">
        <f t="shared" si="7"/>
        <v>0</v>
      </c>
      <c r="O30" s="26">
        <f t="shared" si="7"/>
        <v>0</v>
      </c>
      <c r="P30" s="26">
        <f t="shared" si="7"/>
        <v>0</v>
      </c>
    </row>
    <row r="31" spans="2:18" x14ac:dyDescent="0.25">
      <c r="B31" s="27" t="s">
        <v>76</v>
      </c>
      <c r="D31" s="28">
        <f>D23-D30</f>
        <v>0</v>
      </c>
      <c r="E31" s="28">
        <f t="shared" ref="E31:P31" si="8">E23-E30</f>
        <v>0</v>
      </c>
      <c r="F31" s="28">
        <f t="shared" si="8"/>
        <v>0</v>
      </c>
      <c r="G31" s="28">
        <f t="shared" si="8"/>
        <v>0</v>
      </c>
      <c r="H31" s="28">
        <f t="shared" si="8"/>
        <v>0</v>
      </c>
      <c r="I31" s="28">
        <f t="shared" si="8"/>
        <v>0</v>
      </c>
      <c r="J31" s="28">
        <f t="shared" si="8"/>
        <v>0</v>
      </c>
      <c r="K31" s="28">
        <f t="shared" si="8"/>
        <v>0</v>
      </c>
      <c r="L31" s="28">
        <f t="shared" si="8"/>
        <v>0</v>
      </c>
      <c r="M31" s="28">
        <f t="shared" si="8"/>
        <v>0</v>
      </c>
      <c r="N31" s="28">
        <f t="shared" si="8"/>
        <v>0</v>
      </c>
      <c r="O31" s="28">
        <f t="shared" si="8"/>
        <v>0</v>
      </c>
      <c r="P31" s="28">
        <f t="shared" si="8"/>
        <v>0</v>
      </c>
    </row>
    <row r="32" spans="2:18" x14ac:dyDescent="0.25">
      <c r="C32" s="23"/>
    </row>
    <row r="33" spans="2:16" x14ac:dyDescent="0.25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2:16" x14ac:dyDescent="0.25">
      <c r="B34" s="5" t="s">
        <v>184</v>
      </c>
      <c r="C34" s="23"/>
      <c r="D34" s="23">
        <f t="shared" ref="D34:P34" si="9">SUM(D9:D11)</f>
        <v>0</v>
      </c>
      <c r="E34" s="23">
        <f t="shared" si="9"/>
        <v>0</v>
      </c>
      <c r="F34" s="23">
        <f t="shared" si="9"/>
        <v>0</v>
      </c>
      <c r="G34" s="23">
        <f t="shared" si="9"/>
        <v>0</v>
      </c>
      <c r="H34" s="23">
        <f t="shared" si="9"/>
        <v>0</v>
      </c>
      <c r="I34" s="23">
        <f t="shared" si="9"/>
        <v>0</v>
      </c>
      <c r="J34" s="23">
        <f t="shared" si="9"/>
        <v>0</v>
      </c>
      <c r="K34" s="23">
        <f t="shared" si="9"/>
        <v>0</v>
      </c>
      <c r="L34" s="23">
        <f t="shared" si="9"/>
        <v>0</v>
      </c>
      <c r="M34" s="23">
        <f t="shared" si="9"/>
        <v>0</v>
      </c>
      <c r="N34" s="23">
        <f t="shared" si="9"/>
        <v>0</v>
      </c>
      <c r="O34" s="23">
        <f t="shared" si="9"/>
        <v>0</v>
      </c>
      <c r="P34" s="23">
        <f t="shared" si="9"/>
        <v>0</v>
      </c>
    </row>
    <row r="35" spans="2:16" x14ac:dyDescent="0.25">
      <c r="B35" s="25" t="s">
        <v>124</v>
      </c>
      <c r="C35" s="23"/>
      <c r="D35" s="23">
        <f t="shared" ref="D35:P39" si="10">SUM(D12,D17)</f>
        <v>0</v>
      </c>
      <c r="E35" s="23">
        <f t="shared" si="10"/>
        <v>0</v>
      </c>
      <c r="F35" s="23">
        <f t="shared" si="10"/>
        <v>0</v>
      </c>
      <c r="G35" s="23">
        <f t="shared" si="10"/>
        <v>0</v>
      </c>
      <c r="H35" s="23">
        <f t="shared" si="10"/>
        <v>0</v>
      </c>
      <c r="I35" s="23">
        <f t="shared" si="10"/>
        <v>0</v>
      </c>
      <c r="J35" s="23">
        <f t="shared" si="10"/>
        <v>0</v>
      </c>
      <c r="K35" s="23">
        <f t="shared" si="10"/>
        <v>0</v>
      </c>
      <c r="L35" s="23">
        <f t="shared" si="10"/>
        <v>0</v>
      </c>
      <c r="M35" s="23">
        <f t="shared" si="10"/>
        <v>0</v>
      </c>
      <c r="N35" s="23">
        <f t="shared" si="10"/>
        <v>0</v>
      </c>
      <c r="O35" s="23">
        <f t="shared" si="10"/>
        <v>0</v>
      </c>
      <c r="P35" s="23">
        <f t="shared" si="10"/>
        <v>0</v>
      </c>
    </row>
    <row r="36" spans="2:16" x14ac:dyDescent="0.25">
      <c r="B36" s="25" t="s">
        <v>125</v>
      </c>
      <c r="D36" s="23">
        <f t="shared" si="10"/>
        <v>0</v>
      </c>
      <c r="E36" s="23">
        <f t="shared" si="10"/>
        <v>0</v>
      </c>
      <c r="F36" s="23">
        <f t="shared" si="10"/>
        <v>0</v>
      </c>
      <c r="G36" s="23">
        <f t="shared" si="10"/>
        <v>0</v>
      </c>
      <c r="H36" s="23">
        <f t="shared" si="10"/>
        <v>0</v>
      </c>
      <c r="I36" s="23">
        <f t="shared" si="10"/>
        <v>0</v>
      </c>
      <c r="J36" s="23">
        <f t="shared" si="10"/>
        <v>0</v>
      </c>
      <c r="K36" s="23">
        <f t="shared" si="10"/>
        <v>0</v>
      </c>
      <c r="L36" s="23">
        <f t="shared" si="10"/>
        <v>0</v>
      </c>
      <c r="M36" s="23">
        <f t="shared" si="10"/>
        <v>0</v>
      </c>
      <c r="N36" s="23">
        <f t="shared" si="10"/>
        <v>0</v>
      </c>
      <c r="O36" s="23">
        <f t="shared" si="10"/>
        <v>0</v>
      </c>
      <c r="P36" s="23">
        <f t="shared" si="10"/>
        <v>0</v>
      </c>
    </row>
    <row r="37" spans="2:16" x14ac:dyDescent="0.25">
      <c r="B37" s="64" t="s">
        <v>128</v>
      </c>
      <c r="D37" s="23">
        <f t="shared" si="10"/>
        <v>0</v>
      </c>
      <c r="E37" s="23">
        <f t="shared" si="10"/>
        <v>0</v>
      </c>
      <c r="F37" s="23">
        <f t="shared" si="10"/>
        <v>0</v>
      </c>
      <c r="G37" s="23">
        <f t="shared" si="10"/>
        <v>0</v>
      </c>
      <c r="H37" s="23">
        <f t="shared" si="10"/>
        <v>0</v>
      </c>
      <c r="I37" s="23">
        <f t="shared" si="10"/>
        <v>0</v>
      </c>
      <c r="J37" s="23">
        <f t="shared" si="10"/>
        <v>0</v>
      </c>
      <c r="K37" s="23">
        <f t="shared" si="10"/>
        <v>0</v>
      </c>
      <c r="L37" s="23">
        <f t="shared" si="10"/>
        <v>0</v>
      </c>
      <c r="M37" s="23">
        <f t="shared" si="10"/>
        <v>0</v>
      </c>
      <c r="N37" s="23">
        <f t="shared" si="10"/>
        <v>0</v>
      </c>
      <c r="O37" s="23">
        <f t="shared" si="10"/>
        <v>0</v>
      </c>
      <c r="P37" s="23">
        <f t="shared" si="10"/>
        <v>0</v>
      </c>
    </row>
    <row r="38" spans="2:16" x14ac:dyDescent="0.25">
      <c r="B38" s="25" t="s">
        <v>126</v>
      </c>
      <c r="D38" s="23">
        <f t="shared" si="10"/>
        <v>0</v>
      </c>
      <c r="E38" s="23">
        <f t="shared" si="10"/>
        <v>0</v>
      </c>
      <c r="F38" s="23">
        <f t="shared" si="10"/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 t="shared" si="10"/>
        <v>0</v>
      </c>
      <c r="O38" s="23">
        <f t="shared" si="10"/>
        <v>0</v>
      </c>
      <c r="P38" s="23">
        <f t="shared" si="10"/>
        <v>0</v>
      </c>
    </row>
    <row r="39" spans="2:16" x14ac:dyDescent="0.25">
      <c r="B39" s="25" t="s">
        <v>127</v>
      </c>
      <c r="D39" s="23">
        <f t="shared" si="10"/>
        <v>0</v>
      </c>
      <c r="E39" s="23">
        <f t="shared" si="10"/>
        <v>0</v>
      </c>
      <c r="F39" s="23">
        <f t="shared" si="10"/>
        <v>0</v>
      </c>
      <c r="G39" s="23">
        <f t="shared" si="10"/>
        <v>0</v>
      </c>
      <c r="H39" s="23">
        <f t="shared" si="10"/>
        <v>0</v>
      </c>
      <c r="I39" s="23">
        <f t="shared" si="10"/>
        <v>0</v>
      </c>
      <c r="J39" s="23">
        <f t="shared" si="10"/>
        <v>0</v>
      </c>
      <c r="K39" s="23">
        <f t="shared" si="10"/>
        <v>0</v>
      </c>
      <c r="L39" s="23">
        <f t="shared" si="10"/>
        <v>0</v>
      </c>
      <c r="M39" s="23">
        <f t="shared" si="10"/>
        <v>0</v>
      </c>
      <c r="N39" s="23">
        <f t="shared" si="10"/>
        <v>0</v>
      </c>
      <c r="O39" s="23">
        <f t="shared" si="10"/>
        <v>0</v>
      </c>
      <c r="P39" s="23">
        <f t="shared" si="10"/>
        <v>0</v>
      </c>
    </row>
    <row r="40" spans="2:16" x14ac:dyDescent="0.25">
      <c r="B40" s="64" t="s">
        <v>13</v>
      </c>
      <c r="D40" s="23">
        <f t="shared" ref="D40:P40" si="11">D22</f>
        <v>0</v>
      </c>
      <c r="E40" s="23">
        <f t="shared" si="11"/>
        <v>0</v>
      </c>
      <c r="F40" s="23">
        <f t="shared" si="11"/>
        <v>0</v>
      </c>
      <c r="G40" s="23">
        <f t="shared" si="11"/>
        <v>0</v>
      </c>
      <c r="H40" s="23">
        <f t="shared" si="11"/>
        <v>0</v>
      </c>
      <c r="I40" s="23">
        <f t="shared" si="11"/>
        <v>0</v>
      </c>
      <c r="J40" s="23">
        <f t="shared" si="11"/>
        <v>0</v>
      </c>
      <c r="K40" s="23">
        <f t="shared" si="11"/>
        <v>0</v>
      </c>
      <c r="L40" s="23">
        <f t="shared" si="11"/>
        <v>0</v>
      </c>
      <c r="M40" s="23">
        <f t="shared" si="11"/>
        <v>0</v>
      </c>
      <c r="N40" s="23">
        <f t="shared" si="11"/>
        <v>0</v>
      </c>
      <c r="O40" s="23">
        <f t="shared" si="11"/>
        <v>0</v>
      </c>
      <c r="P40" s="23">
        <f t="shared" si="11"/>
        <v>0</v>
      </c>
    </row>
    <row r="41" spans="2:16" x14ac:dyDescent="0.25">
      <c r="B41" s="27" t="s">
        <v>76</v>
      </c>
      <c r="D41" s="28">
        <f>SUM(D34:D40)-D23</f>
        <v>0</v>
      </c>
      <c r="E41" s="28">
        <f t="shared" ref="E41:P41" si="12">SUM(E34:E40)-E23</f>
        <v>0</v>
      </c>
      <c r="F41" s="28">
        <f t="shared" si="12"/>
        <v>0</v>
      </c>
      <c r="G41" s="28">
        <f t="shared" si="12"/>
        <v>0</v>
      </c>
      <c r="H41" s="28">
        <f t="shared" si="12"/>
        <v>0</v>
      </c>
      <c r="I41" s="28">
        <f t="shared" si="12"/>
        <v>0</v>
      </c>
      <c r="J41" s="28">
        <f t="shared" si="12"/>
        <v>0</v>
      </c>
      <c r="K41" s="28">
        <f t="shared" si="12"/>
        <v>0</v>
      </c>
      <c r="L41" s="28">
        <f t="shared" si="12"/>
        <v>0</v>
      </c>
      <c r="M41" s="28">
        <f t="shared" si="12"/>
        <v>0</v>
      </c>
      <c r="N41" s="28">
        <f t="shared" si="12"/>
        <v>0</v>
      </c>
      <c r="O41" s="28">
        <f t="shared" si="12"/>
        <v>0</v>
      </c>
      <c r="P41" s="28">
        <f t="shared" si="12"/>
        <v>0</v>
      </c>
    </row>
  </sheetData>
  <mergeCells count="3">
    <mergeCell ref="B1:P1"/>
    <mergeCell ref="B2:P2"/>
    <mergeCell ref="B3:P3"/>
  </mergeCells>
  <printOptions horizontalCentered="1"/>
  <pageMargins left="0.7" right="0.7" top="0.75" bottom="0.75" header="0.3" footer="0.3"/>
  <pageSetup scale="59" orientation="landscape" blackAndWhite="1" r:id="rId1"/>
  <headerFooter>
    <oddFooter>&amp;L&amp;F 
&amp;A&amp;C&amp;P&amp;R&amp;D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AP80"/>
  <sheetViews>
    <sheetView zoomScale="90" zoomScaleNormal="90" workbookViewId="0">
      <pane ySplit="5" topLeftCell="A18" activePane="bottomLeft" state="frozen"/>
      <selection pane="bottomLeft" activeCell="K60" sqref="K60"/>
    </sheetView>
  </sheetViews>
  <sheetFormatPr defaultColWidth="9.140625" defaultRowHeight="12.75" x14ac:dyDescent="0.2"/>
  <cols>
    <col min="1" max="1" width="32.7109375" style="69" bestFit="1" customWidth="1"/>
    <col min="2" max="6" width="10.28515625" style="69" bestFit="1" customWidth="1"/>
    <col min="7" max="7" width="11.28515625" style="69" bestFit="1" customWidth="1"/>
    <col min="8" max="9" width="10.28515625" style="69" bestFit="1" customWidth="1"/>
    <col min="10" max="10" width="11.28515625" style="69" bestFit="1" customWidth="1"/>
    <col min="11" max="13" width="10.28515625" style="69" bestFit="1" customWidth="1"/>
    <col min="14" max="14" width="10.28515625" style="69" customWidth="1"/>
    <col min="15" max="16384" width="9.140625" style="69"/>
  </cols>
  <sheetData>
    <row r="1" spans="1:42" x14ac:dyDescent="0.2">
      <c r="A1" s="69" t="s">
        <v>0</v>
      </c>
    </row>
    <row r="2" spans="1:42" x14ac:dyDescent="0.2">
      <c r="A2" s="69" t="s">
        <v>261</v>
      </c>
    </row>
    <row r="3" spans="1:42" x14ac:dyDescent="0.2">
      <c r="A3" s="69" t="s">
        <v>264</v>
      </c>
    </row>
    <row r="5" spans="1:42" x14ac:dyDescent="0.2">
      <c r="A5" s="54" t="s">
        <v>83</v>
      </c>
      <c r="B5" s="159">
        <v>44927</v>
      </c>
      <c r="C5" s="159">
        <f>EDATE(B5,1)</f>
        <v>44958</v>
      </c>
      <c r="D5" s="159">
        <f t="shared" ref="D5:M5" si="0">EDATE(C5,1)</f>
        <v>44986</v>
      </c>
      <c r="E5" s="159">
        <f t="shared" si="0"/>
        <v>45017</v>
      </c>
      <c r="F5" s="159">
        <f t="shared" si="0"/>
        <v>45047</v>
      </c>
      <c r="G5" s="159">
        <f t="shared" si="0"/>
        <v>45078</v>
      </c>
      <c r="H5" s="159">
        <f t="shared" si="0"/>
        <v>45108</v>
      </c>
      <c r="I5" s="159">
        <f t="shared" si="0"/>
        <v>45139</v>
      </c>
      <c r="J5" s="159">
        <f t="shared" si="0"/>
        <v>45170</v>
      </c>
      <c r="K5" s="159">
        <f t="shared" si="0"/>
        <v>45200</v>
      </c>
      <c r="L5" s="159">
        <f t="shared" si="0"/>
        <v>45231</v>
      </c>
      <c r="M5" s="159">
        <f t="shared" si="0"/>
        <v>45261</v>
      </c>
      <c r="N5" s="70" t="s">
        <v>6</v>
      </c>
    </row>
    <row r="6" spans="1:42" x14ac:dyDescent="0.2">
      <c r="A6" s="32" t="s">
        <v>91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42" x14ac:dyDescent="0.2">
      <c r="A7" s="31" t="s">
        <v>90</v>
      </c>
      <c r="B7" s="163">
        <f>'12ME Dec 2023 Therms by Block'!B7/'12ME Dec 2023 Therms by Block'!B$10</f>
        <v>0.20143365493515783</v>
      </c>
      <c r="C7" s="163">
        <f>'12ME Dec 2023 Therms by Block'!C7/'12ME Dec 2023 Therms by Block'!C$10</f>
        <v>0.20178546578340087</v>
      </c>
      <c r="D7" s="163">
        <f>'12ME Dec 2023 Therms by Block'!D7/'12ME Dec 2023 Therms by Block'!D$10</f>
        <v>0.20123008103514536</v>
      </c>
      <c r="E7" s="163">
        <f>'12ME Dec 2023 Therms by Block'!E7/'12ME Dec 2023 Therms by Block'!E$10</f>
        <v>0.19645624823521232</v>
      </c>
      <c r="F7" s="163">
        <f>'12ME Dec 2023 Therms by Block'!F7/'12ME Dec 2023 Therms by Block'!F$10</f>
        <v>0.19438162194049557</v>
      </c>
      <c r="G7" s="163">
        <f>'12ME Dec 2023 Therms by Block'!G7/'12ME Dec 2023 Therms by Block'!G$10</f>
        <v>0.19084851183563456</v>
      </c>
      <c r="H7" s="163">
        <f>'12ME Dec 2023 Therms by Block'!H7/'12ME Dec 2023 Therms by Block'!H$10</f>
        <v>0.1893948436895686</v>
      </c>
      <c r="I7" s="163">
        <f>'12ME Dec 2023 Therms by Block'!I7/'12ME Dec 2023 Therms by Block'!I$10</f>
        <v>0.18804147085642231</v>
      </c>
      <c r="J7" s="163">
        <f>'12ME Dec 2023 Therms by Block'!J7/'12ME Dec 2023 Therms by Block'!J$10</f>
        <v>0.18559738506890938</v>
      </c>
      <c r="K7" s="163">
        <f>'12ME Dec 2023 Therms by Block'!K7/'12ME Dec 2023 Therms by Block'!K$10</f>
        <v>0.19788770874163344</v>
      </c>
      <c r="L7" s="163">
        <f>'12ME Dec 2023 Therms by Block'!L7/'12ME Dec 2023 Therms by Block'!L$10</f>
        <v>0.19702058073318385</v>
      </c>
      <c r="M7" s="163">
        <f>'12ME Dec 2023 Therms by Block'!M7/'12ME Dec 2023 Therms by Block'!M$10</f>
        <v>0.1995585890215946</v>
      </c>
      <c r="N7" s="163">
        <f>'12ME Dec 2023 Therms by Block'!N7/'12ME Dec 2023 Therms by Block'!N$10</f>
        <v>0.19706134769590197</v>
      </c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2" x14ac:dyDescent="0.2">
      <c r="A8" s="31" t="s">
        <v>85</v>
      </c>
      <c r="B8" s="163">
        <f>'12ME Dec 2023 Therms by Block'!B8/'12ME Dec 2023 Therms by Block'!B$10</f>
        <v>0.44823643806803992</v>
      </c>
      <c r="C8" s="163">
        <f>'12ME Dec 2023 Therms by Block'!C8/'12ME Dec 2023 Therms by Block'!C$10</f>
        <v>0.44874917633742112</v>
      </c>
      <c r="D8" s="163">
        <f>'12ME Dec 2023 Therms by Block'!D8/'12ME Dec 2023 Therms by Block'!D$10</f>
        <v>0.44793974417782928</v>
      </c>
      <c r="E8" s="163">
        <f>'12ME Dec 2023 Therms by Block'!E8/'12ME Dec 2023 Therms by Block'!E$10</f>
        <v>0.44098223624316363</v>
      </c>
      <c r="F8" s="163">
        <f>'12ME Dec 2023 Therms by Block'!F8/'12ME Dec 2023 Therms by Block'!F$10</f>
        <v>0.43795862198772517</v>
      </c>
      <c r="G8" s="163">
        <f>'12ME Dec 2023 Therms by Block'!G8/'12ME Dec 2023 Therms by Block'!G$10</f>
        <v>0.43280937553967996</v>
      </c>
      <c r="H8" s="163">
        <f>'12ME Dec 2023 Therms by Block'!H8/'12ME Dec 2023 Therms by Block'!H$10</f>
        <v>0.43069076182099958</v>
      </c>
      <c r="I8" s="163">
        <f>'12ME Dec 2023 Therms by Block'!I8/'12ME Dec 2023 Therms by Block'!I$10</f>
        <v>0.42871832109678559</v>
      </c>
      <c r="J8" s="163">
        <f>'12ME Dec 2023 Therms by Block'!J8/'12ME Dec 2023 Therms by Block'!J$10</f>
        <v>0.42515624697892734</v>
      </c>
      <c r="K8" s="163">
        <f>'12ME Dec 2023 Therms by Block'!K8/'12ME Dec 2023 Therms by Block'!K$10</f>
        <v>0.44306848397092763</v>
      </c>
      <c r="L8" s="163">
        <f>'12ME Dec 2023 Therms by Block'!L8/'12ME Dec 2023 Therms by Block'!L$10</f>
        <v>0.44180470908563141</v>
      </c>
      <c r="M8" s="163">
        <f>'12ME Dec 2023 Therms by Block'!M8/'12ME Dec 2023 Therms by Block'!M$10</f>
        <v>0.44550366829616611</v>
      </c>
      <c r="N8" s="163">
        <f>'12ME Dec 2023 Therms by Block'!N8/'12ME Dec 2023 Therms by Block'!N$10</f>
        <v>0.4418641239161189</v>
      </c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2" x14ac:dyDescent="0.2">
      <c r="A9" s="31" t="s">
        <v>86</v>
      </c>
      <c r="B9" s="163">
        <f>'12ME Dec 2023 Therms by Block'!B9/'12ME Dec 2023 Therms by Block'!B$10</f>
        <v>0.35032990699680222</v>
      </c>
      <c r="C9" s="163">
        <f>'12ME Dec 2023 Therms by Block'!C9/'12ME Dec 2023 Therms by Block'!C$10</f>
        <v>0.34946535787917804</v>
      </c>
      <c r="D9" s="163">
        <f>'12ME Dec 2023 Therms by Block'!D9/'12ME Dec 2023 Therms by Block'!D$10</f>
        <v>0.35083017478702533</v>
      </c>
      <c r="E9" s="163">
        <f>'12ME Dec 2023 Therms by Block'!E9/'12ME Dec 2023 Therms by Block'!E$10</f>
        <v>0.36256151552162402</v>
      </c>
      <c r="F9" s="163">
        <f>'12ME Dec 2023 Therms by Block'!F9/'12ME Dec 2023 Therms by Block'!F$10</f>
        <v>0.36765975607177914</v>
      </c>
      <c r="G9" s="163">
        <f>'12ME Dec 2023 Therms by Block'!G9/'12ME Dec 2023 Therms by Block'!G$10</f>
        <v>0.37634211262468548</v>
      </c>
      <c r="H9" s="163">
        <f>'12ME Dec 2023 Therms by Block'!H9/'12ME Dec 2023 Therms by Block'!H$10</f>
        <v>0.37991439448943187</v>
      </c>
      <c r="I9" s="163">
        <f>'12ME Dec 2023 Therms by Block'!I9/'12ME Dec 2023 Therms by Block'!I$10</f>
        <v>0.38324020804679204</v>
      </c>
      <c r="J9" s="163">
        <f>'12ME Dec 2023 Therms by Block'!J9/'12ME Dec 2023 Therms by Block'!J$10</f>
        <v>0.38924636795216316</v>
      </c>
      <c r="K9" s="163">
        <f>'12ME Dec 2023 Therms by Block'!K9/'12ME Dec 2023 Therms by Block'!K$10</f>
        <v>0.35904380728743895</v>
      </c>
      <c r="L9" s="163">
        <f>'12ME Dec 2023 Therms by Block'!L9/'12ME Dec 2023 Therms by Block'!L$10</f>
        <v>0.36117471018118469</v>
      </c>
      <c r="M9" s="163">
        <f>'12ME Dec 2023 Therms by Block'!M9/'12ME Dec 2023 Therms by Block'!M$10</f>
        <v>0.35493774268223932</v>
      </c>
      <c r="N9" s="163">
        <f>'12ME Dec 2023 Therms by Block'!N9/'12ME Dec 2023 Therms by Block'!N$10</f>
        <v>0.36107452838797921</v>
      </c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</row>
    <row r="10" spans="1:42" x14ac:dyDescent="0.2">
      <c r="A10" s="31" t="s">
        <v>6</v>
      </c>
      <c r="B10" s="164">
        <f>SUM(B7:B9)</f>
        <v>1</v>
      </c>
      <c r="C10" s="164">
        <f t="shared" ref="C10:N10" si="1">SUM(C7:C9)</f>
        <v>1</v>
      </c>
      <c r="D10" s="164">
        <f t="shared" si="1"/>
        <v>1</v>
      </c>
      <c r="E10" s="164">
        <f t="shared" si="1"/>
        <v>1</v>
      </c>
      <c r="F10" s="164">
        <f t="shared" si="1"/>
        <v>0.99999999999999989</v>
      </c>
      <c r="G10" s="164">
        <f t="shared" si="1"/>
        <v>1</v>
      </c>
      <c r="H10" s="164">
        <f t="shared" si="1"/>
        <v>1</v>
      </c>
      <c r="I10" s="164">
        <f t="shared" si="1"/>
        <v>1</v>
      </c>
      <c r="J10" s="164">
        <f t="shared" si="1"/>
        <v>0.99999999999999989</v>
      </c>
      <c r="K10" s="164">
        <f t="shared" si="1"/>
        <v>1</v>
      </c>
      <c r="L10" s="164">
        <f t="shared" si="1"/>
        <v>1</v>
      </c>
      <c r="M10" s="164">
        <f t="shared" si="1"/>
        <v>1</v>
      </c>
      <c r="N10" s="164">
        <f t="shared" si="1"/>
        <v>1</v>
      </c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</row>
    <row r="11" spans="1:42" x14ac:dyDescent="0.2">
      <c r="A11" s="31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</row>
    <row r="12" spans="1:42" x14ac:dyDescent="0.2">
      <c r="A12" s="32" t="s">
        <v>35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x14ac:dyDescent="0.2">
      <c r="A13" s="31" t="s">
        <v>84</v>
      </c>
      <c r="B13" s="163">
        <f>'12ME Dec 2023 Therms by Block'!B13/'12ME Dec 2023 Therms by Block'!B$16</f>
        <v>5.5968859101086572E-2</v>
      </c>
      <c r="C13" s="163">
        <f>'12ME Dec 2023 Therms by Block'!C13/'12ME Dec 2023 Therms by Block'!C$16</f>
        <v>5.5239154129875477E-2</v>
      </c>
      <c r="D13" s="163">
        <f>'12ME Dec 2023 Therms by Block'!D13/'12ME Dec 2023 Therms by Block'!D$16</f>
        <v>5.6344046137411348E-2</v>
      </c>
      <c r="E13" s="163">
        <f>'12ME Dec 2023 Therms by Block'!E13/'12ME Dec 2023 Therms by Block'!E$16</f>
        <v>5.6084470326119504E-2</v>
      </c>
      <c r="F13" s="163">
        <f>'12ME Dec 2023 Therms by Block'!F13/'12ME Dec 2023 Therms by Block'!F$16</f>
        <v>5.6080740551912853E-2</v>
      </c>
      <c r="G13" s="163">
        <f>'12ME Dec 2023 Therms by Block'!G13/'12ME Dec 2023 Therms by Block'!G$16</f>
        <v>5.5747151029351148E-2</v>
      </c>
      <c r="H13" s="163">
        <f>'12ME Dec 2023 Therms by Block'!H13/'12ME Dec 2023 Therms by Block'!H$16</f>
        <v>5.5512521441063438E-2</v>
      </c>
      <c r="I13" s="163">
        <f>'12ME Dec 2023 Therms by Block'!I13/'12ME Dec 2023 Therms by Block'!I$16</f>
        <v>5.598007560003411E-2</v>
      </c>
      <c r="J13" s="163">
        <f>'12ME Dec 2023 Therms by Block'!J13/'12ME Dec 2023 Therms by Block'!J$16</f>
        <v>5.6316692237614985E-2</v>
      </c>
      <c r="K13" s="163">
        <f>'12ME Dec 2023 Therms by Block'!K13/'12ME Dec 2023 Therms by Block'!K$16</f>
        <v>5.5918833605190843E-2</v>
      </c>
      <c r="L13" s="163">
        <f>'12ME Dec 2023 Therms by Block'!L13/'12ME Dec 2023 Therms by Block'!L$16</f>
        <v>5.6195299079141031E-2</v>
      </c>
      <c r="M13" s="163">
        <f>'12ME Dec 2023 Therms by Block'!M13/'12ME Dec 2023 Therms by Block'!M$16</f>
        <v>5.660252633904915E-2</v>
      </c>
      <c r="N13" s="163">
        <f>'12ME Dec 2023 Therms by Block'!N13/'12ME Dec 2023 Therms by Block'!N$16</f>
        <v>5.5996237649370922E-2</v>
      </c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</row>
    <row r="14" spans="1:42" x14ac:dyDescent="0.2">
      <c r="A14" s="31" t="s">
        <v>85</v>
      </c>
      <c r="B14" s="163">
        <f>'12ME Dec 2023 Therms by Block'!B14/'12ME Dec 2023 Therms by Block'!B$16</f>
        <v>0.20418907574533451</v>
      </c>
      <c r="C14" s="163">
        <f>'12ME Dec 2023 Therms by Block'!C14/'12ME Dec 2023 Therms by Block'!C$16</f>
        <v>0.20249820781508202</v>
      </c>
      <c r="D14" s="163">
        <f>'12ME Dec 2023 Therms by Block'!D14/'12ME Dec 2023 Therms by Block'!D$16</f>
        <v>0.20505845686866048</v>
      </c>
      <c r="E14" s="163">
        <f>'12ME Dec 2023 Therms by Block'!E14/'12ME Dec 2023 Therms by Block'!E$16</f>
        <v>0.20445696937426366</v>
      </c>
      <c r="F14" s="163">
        <f>'12ME Dec 2023 Therms by Block'!F14/'12ME Dec 2023 Therms by Block'!F$16</f>
        <v>0.20444832676411037</v>
      </c>
      <c r="G14" s="163">
        <f>'12ME Dec 2023 Therms by Block'!G14/'12ME Dec 2023 Therms by Block'!G$16</f>
        <v>0.20367533514719477</v>
      </c>
      <c r="H14" s="163">
        <f>'12ME Dec 2023 Therms by Block'!H14/'12ME Dec 2023 Therms by Block'!H$16</f>
        <v>0.2031316528893288</v>
      </c>
      <c r="I14" s="163">
        <f>'12ME Dec 2023 Therms by Block'!I14/'12ME Dec 2023 Therms by Block'!I$16</f>
        <v>0.20421506654861576</v>
      </c>
      <c r="J14" s="163">
        <f>'12ME Dec 2023 Therms by Block'!J14/'12ME Dec 2023 Therms by Block'!J$16</f>
        <v>0.20499507257808033</v>
      </c>
      <c r="K14" s="163">
        <f>'12ME Dec 2023 Therms by Block'!K14/'12ME Dec 2023 Therms by Block'!K$16</f>
        <v>0.20407315696988104</v>
      </c>
      <c r="L14" s="163">
        <f>'12ME Dec 2023 Therms by Block'!L14/'12ME Dec 2023 Therms by Block'!L$16</f>
        <v>0.20471378108807584</v>
      </c>
      <c r="M14" s="163">
        <f>'12ME Dec 2023 Therms by Block'!M14/'12ME Dec 2023 Therms by Block'!M$16</f>
        <v>0.20565740562301685</v>
      </c>
      <c r="N14" s="163">
        <f>'12ME Dec 2023 Therms by Block'!N14/'12ME Dec 2023 Therms by Block'!N$16</f>
        <v>0.20425251715124138</v>
      </c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</row>
    <row r="15" spans="1:42" x14ac:dyDescent="0.2">
      <c r="A15" s="31" t="s">
        <v>86</v>
      </c>
      <c r="B15" s="163">
        <f>'12ME Dec 2023 Therms by Block'!B15/'12ME Dec 2023 Therms by Block'!B$16</f>
        <v>0.73984206515357875</v>
      </c>
      <c r="C15" s="163">
        <f>'12ME Dec 2023 Therms by Block'!C15/'12ME Dec 2023 Therms by Block'!C$16</f>
        <v>0.74226263805504256</v>
      </c>
      <c r="D15" s="163">
        <f>'12ME Dec 2023 Therms by Block'!D15/'12ME Dec 2023 Therms by Block'!D$16</f>
        <v>0.73859749699392818</v>
      </c>
      <c r="E15" s="163">
        <f>'12ME Dec 2023 Therms by Block'!E15/'12ME Dec 2023 Therms by Block'!E$16</f>
        <v>0.73945856029961687</v>
      </c>
      <c r="F15" s="163">
        <f>'12ME Dec 2023 Therms by Block'!F15/'12ME Dec 2023 Therms by Block'!F$16</f>
        <v>0.73947093268397668</v>
      </c>
      <c r="G15" s="163">
        <f>'12ME Dec 2023 Therms by Block'!G15/'12ME Dec 2023 Therms by Block'!G$16</f>
        <v>0.74057751382345405</v>
      </c>
      <c r="H15" s="163">
        <f>'12ME Dec 2023 Therms by Block'!H15/'12ME Dec 2023 Therms by Block'!H$16</f>
        <v>0.74135582566960778</v>
      </c>
      <c r="I15" s="163">
        <f>'12ME Dec 2023 Therms by Block'!I15/'12ME Dec 2023 Therms by Block'!I$16</f>
        <v>0.73980485785135008</v>
      </c>
      <c r="J15" s="163">
        <f>'12ME Dec 2023 Therms by Block'!J15/'12ME Dec 2023 Therms by Block'!J$16</f>
        <v>0.73868823518430471</v>
      </c>
      <c r="K15" s="163">
        <f>'12ME Dec 2023 Therms by Block'!K15/'12ME Dec 2023 Therms by Block'!K$16</f>
        <v>0.74000800942492806</v>
      </c>
      <c r="L15" s="163">
        <f>'12ME Dec 2023 Therms by Block'!L15/'12ME Dec 2023 Therms by Block'!L$16</f>
        <v>0.73909091983278297</v>
      </c>
      <c r="M15" s="163">
        <f>'12ME Dec 2023 Therms by Block'!M15/'12ME Dec 2023 Therms by Block'!M$16</f>
        <v>0.7377400680379339</v>
      </c>
      <c r="N15" s="163">
        <f>'12ME Dec 2023 Therms by Block'!N15/'12ME Dec 2023 Therms by Block'!N$16</f>
        <v>0.73975124519938762</v>
      </c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</row>
    <row r="16" spans="1:42" x14ac:dyDescent="0.2">
      <c r="A16" s="31" t="s">
        <v>6</v>
      </c>
      <c r="B16" s="167">
        <f>SUM(B13:B15)</f>
        <v>0.99999999999999978</v>
      </c>
      <c r="C16" s="167">
        <f t="shared" ref="C16:N16" si="2">SUM(C13:C15)</f>
        <v>1</v>
      </c>
      <c r="D16" s="167">
        <f t="shared" si="2"/>
        <v>1</v>
      </c>
      <c r="E16" s="167">
        <f t="shared" si="2"/>
        <v>1</v>
      </c>
      <c r="F16" s="167">
        <f t="shared" si="2"/>
        <v>0.99999999999999989</v>
      </c>
      <c r="G16" s="167">
        <f t="shared" si="2"/>
        <v>1</v>
      </c>
      <c r="H16" s="167">
        <f t="shared" si="2"/>
        <v>1</v>
      </c>
      <c r="I16" s="167">
        <f t="shared" si="2"/>
        <v>1</v>
      </c>
      <c r="J16" s="167">
        <f t="shared" si="2"/>
        <v>1</v>
      </c>
      <c r="K16" s="167">
        <f t="shared" si="2"/>
        <v>1</v>
      </c>
      <c r="L16" s="167">
        <f t="shared" si="2"/>
        <v>0.99999999999999978</v>
      </c>
      <c r="M16" s="167">
        <f t="shared" si="2"/>
        <v>0.99999999999999989</v>
      </c>
      <c r="N16" s="167">
        <f t="shared" si="2"/>
        <v>0.99999999999999989</v>
      </c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</row>
    <row r="17" spans="1:42" x14ac:dyDescent="0.2"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</row>
    <row r="18" spans="1:42" x14ac:dyDescent="0.2">
      <c r="A18" s="69" t="s">
        <v>92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</row>
    <row r="19" spans="1:42" x14ac:dyDescent="0.2">
      <c r="A19" s="31" t="s">
        <v>62</v>
      </c>
      <c r="B19" s="163">
        <f>'12ME Dec 2023 Therms by Block'!B19/'12ME Dec 2023 Therms by Block'!B$22</f>
        <v>0.42105412496061773</v>
      </c>
      <c r="C19" s="163">
        <f>'12ME Dec 2023 Therms by Block'!C19/'12ME Dec 2023 Therms by Block'!C$22</f>
        <v>0.42009370837293675</v>
      </c>
      <c r="D19" s="163">
        <f>'12ME Dec 2023 Therms by Block'!D19/'12ME Dec 2023 Therms by Block'!D$22</f>
        <v>0.42006583355044663</v>
      </c>
      <c r="E19" s="163">
        <f>'12ME Dec 2023 Therms by Block'!E19/'12ME Dec 2023 Therms by Block'!E$22</f>
        <v>0.42061960974366186</v>
      </c>
      <c r="F19" s="163">
        <f>'12ME Dec 2023 Therms by Block'!F19/'12ME Dec 2023 Therms by Block'!F$22</f>
        <v>0.42136121154948286</v>
      </c>
      <c r="G19" s="163">
        <f>'12ME Dec 2023 Therms by Block'!G19/'12ME Dec 2023 Therms by Block'!G$22</f>
        <v>0.41949727114666047</v>
      </c>
      <c r="H19" s="163">
        <f>'12ME Dec 2023 Therms by Block'!H19/'12ME Dec 2023 Therms by Block'!H$22</f>
        <v>0.41933302949511753</v>
      </c>
      <c r="I19" s="163">
        <f>'12ME Dec 2023 Therms by Block'!I19/'12ME Dec 2023 Therms by Block'!I$22</f>
        <v>0.41986200402273088</v>
      </c>
      <c r="J19" s="163">
        <f>'12ME Dec 2023 Therms by Block'!J19/'12ME Dec 2023 Therms by Block'!J$22</f>
        <v>0.41704284902222216</v>
      </c>
      <c r="K19" s="163">
        <f>'12ME Dec 2023 Therms by Block'!K19/'12ME Dec 2023 Therms by Block'!K$22</f>
        <v>0.41935999149536646</v>
      </c>
      <c r="L19" s="163">
        <f>'12ME Dec 2023 Therms by Block'!L19/'12ME Dec 2023 Therms by Block'!L$22</f>
        <v>0.42090755548794723</v>
      </c>
      <c r="M19" s="163">
        <f>'12ME Dec 2023 Therms by Block'!M19/'12ME Dec 2023 Therms by Block'!M$22</f>
        <v>0.42137441878209569</v>
      </c>
      <c r="N19" s="163">
        <f>'12ME Dec 2023 Therms by Block'!N19/'12ME Dec 2023 Therms by Block'!N$22</f>
        <v>0.42023172941011622</v>
      </c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</row>
    <row r="20" spans="1:42" x14ac:dyDescent="0.2">
      <c r="A20" s="31" t="s">
        <v>63</v>
      </c>
      <c r="B20" s="163">
        <f>'12ME Dec 2023 Therms by Block'!B20/'12ME Dec 2023 Therms by Block'!B$22</f>
        <v>0.2325618190433125</v>
      </c>
      <c r="C20" s="163">
        <f>'12ME Dec 2023 Therms by Block'!C20/'12ME Dec 2023 Therms by Block'!C$22</f>
        <v>0.23073227796988469</v>
      </c>
      <c r="D20" s="163">
        <f>'12ME Dec 2023 Therms by Block'!D20/'12ME Dec 2023 Therms by Block'!D$22</f>
        <v>0.23067917795754186</v>
      </c>
      <c r="E20" s="163">
        <f>'12ME Dec 2023 Therms by Block'!E20/'12ME Dec 2023 Therms by Block'!E$22</f>
        <v>0.23173409131906569</v>
      </c>
      <c r="F20" s="163">
        <f>'12ME Dec 2023 Therms by Block'!F20/'12ME Dec 2023 Therms by Block'!F$22</f>
        <v>0.2331468022002405</v>
      </c>
      <c r="G20" s="163">
        <f>'12ME Dec 2023 Therms by Block'!G20/'12ME Dec 2023 Therms by Block'!G$22</f>
        <v>0.2295960976735526</v>
      </c>
      <c r="H20" s="163">
        <f>'12ME Dec 2023 Therms by Block'!H20/'12ME Dec 2023 Therms by Block'!H$22</f>
        <v>0.22928322630989673</v>
      </c>
      <c r="I20" s="163">
        <f>'12ME Dec 2023 Therms by Block'!I20/'12ME Dec 2023 Therms by Block'!I$22</f>
        <v>0.23029089385487569</v>
      </c>
      <c r="J20" s="163">
        <f>'12ME Dec 2023 Therms by Block'!J20/'12ME Dec 2023 Therms by Block'!J$22</f>
        <v>0.22492055776119799</v>
      </c>
      <c r="K20" s="163">
        <f>'12ME Dec 2023 Therms by Block'!K20/'12ME Dec 2023 Therms by Block'!K$22</f>
        <v>0.22933458744579335</v>
      </c>
      <c r="L20" s="163">
        <f>'12ME Dec 2023 Therms by Block'!L20/'12ME Dec 2023 Therms by Block'!L$22</f>
        <v>0.23228261221390026</v>
      </c>
      <c r="M20" s="163">
        <f>'12ME Dec 2023 Therms by Block'!M20/'12ME Dec 2023 Therms by Block'!M$22</f>
        <v>0.23317196125605175</v>
      </c>
      <c r="N20" s="163">
        <f>'12ME Dec 2023 Therms by Block'!N20/'12ME Dec 2023 Therms by Block'!N$22</f>
        <v>0.2309952004972087</v>
      </c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</row>
    <row r="21" spans="1:42" x14ac:dyDescent="0.2">
      <c r="A21" s="31" t="s">
        <v>87</v>
      </c>
      <c r="B21" s="163">
        <f>'12ME Dec 2023 Therms by Block'!B21/'12ME Dec 2023 Therms by Block'!B$22</f>
        <v>0.34638405599606975</v>
      </c>
      <c r="C21" s="163">
        <f>'12ME Dec 2023 Therms by Block'!C21/'12ME Dec 2023 Therms by Block'!C$22</f>
        <v>0.34917401365717865</v>
      </c>
      <c r="D21" s="163">
        <f>'12ME Dec 2023 Therms by Block'!D21/'12ME Dec 2023 Therms by Block'!D$22</f>
        <v>0.34925498849201159</v>
      </c>
      <c r="E21" s="163">
        <f>'12ME Dec 2023 Therms by Block'!E21/'12ME Dec 2023 Therms by Block'!E$22</f>
        <v>0.3476462989372725</v>
      </c>
      <c r="F21" s="163">
        <f>'12ME Dec 2023 Therms by Block'!F21/'12ME Dec 2023 Therms by Block'!F$22</f>
        <v>0.34549198625027661</v>
      </c>
      <c r="G21" s="163">
        <f>'12ME Dec 2023 Therms by Block'!G21/'12ME Dec 2023 Therms by Block'!G$22</f>
        <v>0.35090663117978693</v>
      </c>
      <c r="H21" s="163">
        <f>'12ME Dec 2023 Therms by Block'!H21/'12ME Dec 2023 Therms by Block'!H$22</f>
        <v>0.3513837441949858</v>
      </c>
      <c r="I21" s="163">
        <f>'12ME Dec 2023 Therms by Block'!I21/'12ME Dec 2023 Therms by Block'!I$22</f>
        <v>0.34984710212239345</v>
      </c>
      <c r="J21" s="163">
        <f>'12ME Dec 2023 Therms by Block'!J21/'12ME Dec 2023 Therms by Block'!J$22</f>
        <v>0.35803659321657993</v>
      </c>
      <c r="K21" s="163">
        <f>'12ME Dec 2023 Therms by Block'!K21/'12ME Dec 2023 Therms by Block'!K$22</f>
        <v>0.35130542105884022</v>
      </c>
      <c r="L21" s="163">
        <f>'12ME Dec 2023 Therms by Block'!L21/'12ME Dec 2023 Therms by Block'!L$22</f>
        <v>0.3468098322981526</v>
      </c>
      <c r="M21" s="163">
        <f>'12ME Dec 2023 Therms by Block'!M21/'12ME Dec 2023 Therms by Block'!M$22</f>
        <v>0.34545361996185253</v>
      </c>
      <c r="N21" s="163">
        <f>'12ME Dec 2023 Therms by Block'!N21/'12ME Dec 2023 Therms by Block'!N$22</f>
        <v>0.34877307009267516</v>
      </c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2" x14ac:dyDescent="0.2">
      <c r="A22" s="31" t="s">
        <v>6</v>
      </c>
      <c r="B22" s="167">
        <f>SUM(B19:B21)</f>
        <v>1</v>
      </c>
      <c r="C22" s="167">
        <f t="shared" ref="C22:N22" si="3">SUM(C19:C21)</f>
        <v>1</v>
      </c>
      <c r="D22" s="167">
        <f t="shared" si="3"/>
        <v>1</v>
      </c>
      <c r="E22" s="167">
        <f t="shared" si="3"/>
        <v>1</v>
      </c>
      <c r="F22" s="167">
        <f t="shared" si="3"/>
        <v>1</v>
      </c>
      <c r="G22" s="167">
        <f t="shared" si="3"/>
        <v>1</v>
      </c>
      <c r="H22" s="167">
        <f t="shared" si="3"/>
        <v>1</v>
      </c>
      <c r="I22" s="167">
        <f t="shared" si="3"/>
        <v>1</v>
      </c>
      <c r="J22" s="167">
        <f t="shared" si="3"/>
        <v>1</v>
      </c>
      <c r="K22" s="167">
        <f t="shared" si="3"/>
        <v>1</v>
      </c>
      <c r="L22" s="167">
        <f t="shared" si="3"/>
        <v>1</v>
      </c>
      <c r="M22" s="167">
        <f t="shared" si="3"/>
        <v>1</v>
      </c>
      <c r="N22" s="167">
        <f t="shared" si="3"/>
        <v>1</v>
      </c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</row>
    <row r="23" spans="1:42" x14ac:dyDescent="0.2"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</row>
    <row r="24" spans="1:42" x14ac:dyDescent="0.2">
      <c r="A24" s="32" t="s">
        <v>37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</row>
    <row r="25" spans="1:42" x14ac:dyDescent="0.2">
      <c r="A25" s="31" t="s">
        <v>62</v>
      </c>
      <c r="B25" s="163">
        <f>'12ME Dec 2023 Therms by Block'!B25/'12ME Dec 2023 Therms by Block'!B$28</f>
        <v>0.35749288689882597</v>
      </c>
      <c r="C25" s="163">
        <f>'12ME Dec 2023 Therms by Block'!C25/'12ME Dec 2023 Therms by Block'!C$28</f>
        <v>0.35424839566755673</v>
      </c>
      <c r="D25" s="163">
        <f>'12ME Dec 2023 Therms by Block'!D25/'12ME Dec 2023 Therms by Block'!D$28</f>
        <v>0.35804946994578335</v>
      </c>
      <c r="E25" s="163">
        <f>'12ME Dec 2023 Therms by Block'!E25/'12ME Dec 2023 Therms by Block'!E$28</f>
        <v>0.355867816220794</v>
      </c>
      <c r="F25" s="163">
        <f>'12ME Dec 2023 Therms by Block'!F25/'12ME Dec 2023 Therms by Block'!F$28</f>
        <v>0.35543447260407351</v>
      </c>
      <c r="G25" s="163">
        <f>'12ME Dec 2023 Therms by Block'!G25/'12ME Dec 2023 Therms by Block'!G$28</f>
        <v>0.35387616975808833</v>
      </c>
      <c r="H25" s="163">
        <f>'12ME Dec 2023 Therms by Block'!H25/'12ME Dec 2023 Therms by Block'!H$28</f>
        <v>0.35299506198314118</v>
      </c>
      <c r="I25" s="163">
        <f>'12ME Dec 2023 Therms by Block'!I25/'12ME Dec 2023 Therms by Block'!I$28</f>
        <v>0.35346010824225271</v>
      </c>
      <c r="J25" s="163">
        <f>'12ME Dec 2023 Therms by Block'!J25/'12ME Dec 2023 Therms by Block'!J$28</f>
        <v>0.35319921007057886</v>
      </c>
      <c r="K25" s="163">
        <f>'12ME Dec 2023 Therms by Block'!K25/'12ME Dec 2023 Therms by Block'!K$28</f>
        <v>0.35360002120058881</v>
      </c>
      <c r="L25" s="163">
        <f>'12ME Dec 2023 Therms by Block'!L25/'12ME Dec 2023 Therms by Block'!L$28</f>
        <v>0.35569011833568615</v>
      </c>
      <c r="M25" s="163">
        <f>'12ME Dec 2023 Therms by Block'!M25/'12ME Dec 2023 Therms by Block'!M$28</f>
        <v>0.35658843021366515</v>
      </c>
      <c r="N25" s="163">
        <f>'12ME Dec 2023 Therms by Block'!N25/'12ME Dec 2023 Therms by Block'!N$28</f>
        <v>0.35505254746842407</v>
      </c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</row>
    <row r="26" spans="1:42" x14ac:dyDescent="0.2">
      <c r="A26" s="31" t="s">
        <v>63</v>
      </c>
      <c r="B26" s="163">
        <f>'12ME Dec 2023 Therms by Block'!B26/'12ME Dec 2023 Therms by Block'!B$28</f>
        <v>0.25264321766889536</v>
      </c>
      <c r="C26" s="163">
        <f>'12ME Dec 2023 Therms by Block'!C26/'12ME Dec 2023 Therms by Block'!C$28</f>
        <v>0.25175237267836109</v>
      </c>
      <c r="D26" s="163">
        <f>'12ME Dec 2023 Therms by Block'!D26/'12ME Dec 2023 Therms by Block'!D$28</f>
        <v>0.25279603953952318</v>
      </c>
      <c r="E26" s="163">
        <f>'12ME Dec 2023 Therms by Block'!E26/'12ME Dec 2023 Therms by Block'!E$28</f>
        <v>0.25219701949186324</v>
      </c>
      <c r="F26" s="163">
        <f>'12ME Dec 2023 Therms by Block'!F26/'12ME Dec 2023 Therms by Block'!F$28</f>
        <v>0.25207803566277631</v>
      </c>
      <c r="G26" s="163">
        <f>'12ME Dec 2023 Therms by Block'!G26/'12ME Dec 2023 Therms by Block'!G$28</f>
        <v>0.25165017003296597</v>
      </c>
      <c r="H26" s="163">
        <f>'12ME Dec 2023 Therms by Block'!H26/'12ME Dec 2023 Therms by Block'!H$28</f>
        <v>0.25140824290434016</v>
      </c>
      <c r="I26" s="163">
        <f>'12ME Dec 2023 Therms by Block'!I26/'12ME Dec 2023 Therms by Block'!I$28</f>
        <v>0.2515359313771286</v>
      </c>
      <c r="J26" s="163">
        <f>'12ME Dec 2023 Therms by Block'!J26/'12ME Dec 2023 Therms by Block'!J$28</f>
        <v>0.25146429616140198</v>
      </c>
      <c r="K26" s="163">
        <f>'12ME Dec 2023 Therms by Block'!K26/'12ME Dec 2023 Therms by Block'!K$28</f>
        <v>0.25157434749514529</v>
      </c>
      <c r="L26" s="163">
        <f>'12ME Dec 2023 Therms by Block'!L26/'12ME Dec 2023 Therms by Block'!L$28</f>
        <v>0.25214822870788728</v>
      </c>
      <c r="M26" s="163">
        <f>'12ME Dec 2023 Therms by Block'!M26/'12ME Dec 2023 Therms by Block'!M$28</f>
        <v>0.25239487959377116</v>
      </c>
      <c r="N26" s="163">
        <f>'12ME Dec 2023 Therms by Block'!N26/'12ME Dec 2023 Therms by Block'!N$28</f>
        <v>0.25197316988580232</v>
      </c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</row>
    <row r="27" spans="1:42" x14ac:dyDescent="0.2">
      <c r="A27" s="31" t="s">
        <v>87</v>
      </c>
      <c r="B27" s="163">
        <f>'12ME Dec 2023 Therms by Block'!B27/'12ME Dec 2023 Therms by Block'!B$28</f>
        <v>0.38986389543227862</v>
      </c>
      <c r="C27" s="163">
        <f>'12ME Dec 2023 Therms by Block'!C27/'12ME Dec 2023 Therms by Block'!C$28</f>
        <v>0.39399923165408218</v>
      </c>
      <c r="D27" s="163">
        <f>'12ME Dec 2023 Therms by Block'!D27/'12ME Dec 2023 Therms by Block'!D$28</f>
        <v>0.38915449051469342</v>
      </c>
      <c r="E27" s="163">
        <f>'12ME Dec 2023 Therms by Block'!E27/'12ME Dec 2023 Therms by Block'!E$28</f>
        <v>0.39193516428734276</v>
      </c>
      <c r="F27" s="163">
        <f>'12ME Dec 2023 Therms by Block'!F27/'12ME Dec 2023 Therms by Block'!F$28</f>
        <v>0.39248749173315006</v>
      </c>
      <c r="G27" s="163">
        <f>'12ME Dec 2023 Therms by Block'!G27/'12ME Dec 2023 Therms by Block'!G$28</f>
        <v>0.3944736602089457</v>
      </c>
      <c r="H27" s="163">
        <f>'12ME Dec 2023 Therms by Block'!H27/'12ME Dec 2023 Therms by Block'!H$28</f>
        <v>0.39559669511251866</v>
      </c>
      <c r="I27" s="163">
        <f>'12ME Dec 2023 Therms by Block'!I27/'12ME Dec 2023 Therms by Block'!I$28</f>
        <v>0.39500396038061864</v>
      </c>
      <c r="J27" s="163">
        <f>'12ME Dec 2023 Therms by Block'!J27/'12ME Dec 2023 Therms by Block'!J$28</f>
        <v>0.39533649376801921</v>
      </c>
      <c r="K27" s="163">
        <f>'12ME Dec 2023 Therms by Block'!K27/'12ME Dec 2023 Therms by Block'!K$28</f>
        <v>0.39482563130426579</v>
      </c>
      <c r="L27" s="163">
        <f>'12ME Dec 2023 Therms by Block'!L27/'12ME Dec 2023 Therms by Block'!L$28</f>
        <v>0.39216165295642663</v>
      </c>
      <c r="M27" s="163">
        <f>'12ME Dec 2023 Therms by Block'!M27/'12ME Dec 2023 Therms by Block'!M$28</f>
        <v>0.3910166901925638</v>
      </c>
      <c r="N27" s="163">
        <f>'12ME Dec 2023 Therms by Block'!N27/'12ME Dec 2023 Therms by Block'!N$28</f>
        <v>0.39297428264577366</v>
      </c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</row>
    <row r="28" spans="1:42" x14ac:dyDescent="0.2">
      <c r="A28" s="31" t="s">
        <v>6</v>
      </c>
      <c r="B28" s="167">
        <f>SUM(B25:B27)</f>
        <v>1</v>
      </c>
      <c r="C28" s="167">
        <f t="shared" ref="C28:N28" si="4">SUM(C25:C27)</f>
        <v>1</v>
      </c>
      <c r="D28" s="167">
        <f t="shared" si="4"/>
        <v>0.99999999999999989</v>
      </c>
      <c r="E28" s="167">
        <f t="shared" si="4"/>
        <v>1</v>
      </c>
      <c r="F28" s="167">
        <f t="shared" si="4"/>
        <v>0.99999999999999978</v>
      </c>
      <c r="G28" s="167">
        <f t="shared" si="4"/>
        <v>1</v>
      </c>
      <c r="H28" s="167">
        <f t="shared" si="4"/>
        <v>1</v>
      </c>
      <c r="I28" s="167">
        <f t="shared" si="4"/>
        <v>1</v>
      </c>
      <c r="J28" s="167">
        <f t="shared" si="4"/>
        <v>1</v>
      </c>
      <c r="K28" s="167">
        <f t="shared" si="4"/>
        <v>0.99999999999999978</v>
      </c>
      <c r="L28" s="167">
        <f t="shared" si="4"/>
        <v>1</v>
      </c>
      <c r="M28" s="167">
        <f t="shared" si="4"/>
        <v>1</v>
      </c>
      <c r="N28" s="167">
        <f t="shared" si="4"/>
        <v>1</v>
      </c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</row>
    <row r="29" spans="1:42" x14ac:dyDescent="0.2"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</row>
    <row r="30" spans="1:42" x14ac:dyDescent="0.2">
      <c r="A30" s="32" t="s">
        <v>93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</row>
    <row r="31" spans="1:42" x14ac:dyDescent="0.2">
      <c r="A31" s="31" t="s">
        <v>65</v>
      </c>
      <c r="B31" s="163">
        <f>'12ME Dec 2023 Therms by Block'!B31/'12ME Dec 2023 Therms by Block'!B$33</f>
        <v>0.18367535198650514</v>
      </c>
      <c r="C31" s="163">
        <f>'12ME Dec 2023 Therms by Block'!C31/'12ME Dec 2023 Therms by Block'!C$33</f>
        <v>0.18388907898009788</v>
      </c>
      <c r="D31" s="163">
        <f>'12ME Dec 2023 Therms by Block'!D31/'12ME Dec 2023 Therms by Block'!D$33</f>
        <v>0.18399615888968715</v>
      </c>
      <c r="E31" s="163">
        <f>'12ME Dec 2023 Therms by Block'!E31/'12ME Dec 2023 Therms by Block'!E$33</f>
        <v>0.18389464075835349</v>
      </c>
      <c r="F31" s="163">
        <f>'12ME Dec 2023 Therms by Block'!F31/'12ME Dec 2023 Therms by Block'!F$33</f>
        <v>0.18399356542572587</v>
      </c>
      <c r="G31" s="163">
        <f>'12ME Dec 2023 Therms by Block'!G31/'12ME Dec 2023 Therms by Block'!G$33</f>
        <v>0.18413106532186607</v>
      </c>
      <c r="H31" s="163">
        <f>'12ME Dec 2023 Therms by Block'!H31/'12ME Dec 2023 Therms by Block'!H$33</f>
        <v>0.18405663109580814</v>
      </c>
      <c r="I31" s="163">
        <f>'12ME Dec 2023 Therms by Block'!I31/'12ME Dec 2023 Therms by Block'!I$33</f>
        <v>0.1841979109551857</v>
      </c>
      <c r="J31" s="163">
        <f>'12ME Dec 2023 Therms by Block'!J31/'12ME Dec 2023 Therms by Block'!J$33</f>
        <v>0.18432808646079177</v>
      </c>
      <c r="K31" s="163">
        <f>'12ME Dec 2023 Therms by Block'!K31/'12ME Dec 2023 Therms by Block'!K$33</f>
        <v>0.184077456805502</v>
      </c>
      <c r="L31" s="163">
        <f>'12ME Dec 2023 Therms by Block'!L31/'12ME Dec 2023 Therms by Block'!L$33</f>
        <v>0.18380124008887497</v>
      </c>
      <c r="M31" s="163">
        <f>'12ME Dec 2023 Therms by Block'!M31/'12ME Dec 2023 Therms by Block'!M$33</f>
        <v>0.18344434776819421</v>
      </c>
      <c r="N31" s="163">
        <f>'12ME Dec 2023 Therms by Block'!N31/'12ME Dec 2023 Therms by Block'!N$33</f>
        <v>0.18385695491620016</v>
      </c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</row>
    <row r="32" spans="1:42" x14ac:dyDescent="0.2">
      <c r="A32" s="31" t="s">
        <v>88</v>
      </c>
      <c r="B32" s="163">
        <f>'12ME Dec 2023 Therms by Block'!B32/'12ME Dec 2023 Therms by Block'!B$33</f>
        <v>0.81632464801349491</v>
      </c>
      <c r="C32" s="163">
        <f>'12ME Dec 2023 Therms by Block'!C32/'12ME Dec 2023 Therms by Block'!C$33</f>
        <v>0.81611092101990224</v>
      </c>
      <c r="D32" s="163">
        <f>'12ME Dec 2023 Therms by Block'!D32/'12ME Dec 2023 Therms by Block'!D$33</f>
        <v>0.81600384111031277</v>
      </c>
      <c r="E32" s="163">
        <f>'12ME Dec 2023 Therms by Block'!E32/'12ME Dec 2023 Therms by Block'!E$33</f>
        <v>0.81610535924164662</v>
      </c>
      <c r="F32" s="163">
        <f>'12ME Dec 2023 Therms by Block'!F32/'12ME Dec 2023 Therms by Block'!F$33</f>
        <v>0.81600643457427413</v>
      </c>
      <c r="G32" s="163">
        <f>'12ME Dec 2023 Therms by Block'!G32/'12ME Dec 2023 Therms by Block'!G$33</f>
        <v>0.81586893467813393</v>
      </c>
      <c r="H32" s="163">
        <f>'12ME Dec 2023 Therms by Block'!H32/'12ME Dec 2023 Therms by Block'!H$33</f>
        <v>0.81594336890419195</v>
      </c>
      <c r="I32" s="163">
        <f>'12ME Dec 2023 Therms by Block'!I32/'12ME Dec 2023 Therms by Block'!I$33</f>
        <v>0.81580208904481444</v>
      </c>
      <c r="J32" s="163">
        <f>'12ME Dec 2023 Therms by Block'!J32/'12ME Dec 2023 Therms by Block'!J$33</f>
        <v>0.81567191353920832</v>
      </c>
      <c r="K32" s="163">
        <f>'12ME Dec 2023 Therms by Block'!K32/'12ME Dec 2023 Therms by Block'!K$33</f>
        <v>0.81592254319449797</v>
      </c>
      <c r="L32" s="163">
        <f>'12ME Dec 2023 Therms by Block'!L32/'12ME Dec 2023 Therms by Block'!L$33</f>
        <v>0.81619875991112512</v>
      </c>
      <c r="M32" s="163">
        <f>'12ME Dec 2023 Therms by Block'!M32/'12ME Dec 2023 Therms by Block'!M$33</f>
        <v>0.81655565223180582</v>
      </c>
      <c r="N32" s="163">
        <f>'12ME Dec 2023 Therms by Block'!N32/'12ME Dec 2023 Therms by Block'!N$33</f>
        <v>0.81614304508379987</v>
      </c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42" x14ac:dyDescent="0.2">
      <c r="A33" s="31" t="s">
        <v>6</v>
      </c>
      <c r="B33" s="164">
        <f>SUM(B31:B32)</f>
        <v>1</v>
      </c>
      <c r="C33" s="164">
        <f t="shared" ref="C33:N33" si="5">SUM(C31:C32)</f>
        <v>1</v>
      </c>
      <c r="D33" s="164">
        <f t="shared" si="5"/>
        <v>0.99999999999999989</v>
      </c>
      <c r="E33" s="164">
        <f t="shared" si="5"/>
        <v>1</v>
      </c>
      <c r="F33" s="164">
        <f t="shared" si="5"/>
        <v>1</v>
      </c>
      <c r="G33" s="164">
        <f t="shared" si="5"/>
        <v>1</v>
      </c>
      <c r="H33" s="164">
        <f t="shared" si="5"/>
        <v>1</v>
      </c>
      <c r="I33" s="164">
        <f t="shared" si="5"/>
        <v>1.0000000000000002</v>
      </c>
      <c r="J33" s="164">
        <f t="shared" si="5"/>
        <v>1</v>
      </c>
      <c r="K33" s="164">
        <f t="shared" si="5"/>
        <v>1</v>
      </c>
      <c r="L33" s="164">
        <f t="shared" si="5"/>
        <v>1</v>
      </c>
      <c r="M33" s="164">
        <f t="shared" si="5"/>
        <v>1</v>
      </c>
      <c r="N33" s="164">
        <f t="shared" si="5"/>
        <v>1</v>
      </c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x14ac:dyDescent="0.2"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</row>
    <row r="35" spans="1:42" x14ac:dyDescent="0.2">
      <c r="A35" s="32" t="s">
        <v>39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</row>
    <row r="36" spans="1:42" x14ac:dyDescent="0.2">
      <c r="A36" s="31" t="s">
        <v>65</v>
      </c>
      <c r="B36" s="163">
        <f>'12ME Dec 2023 Therms by Block'!B36/'12ME Dec 2023 Therms by Block'!B$38</f>
        <v>9.905870503922716E-2</v>
      </c>
      <c r="C36" s="163">
        <f>'12ME Dec 2023 Therms by Block'!C36/'12ME Dec 2023 Therms by Block'!C$38</f>
        <v>9.905870503922716E-2</v>
      </c>
      <c r="D36" s="163">
        <f>'12ME Dec 2023 Therms by Block'!D36/'12ME Dec 2023 Therms by Block'!D$38</f>
        <v>9.9058705039227146E-2</v>
      </c>
      <c r="E36" s="163">
        <f>'12ME Dec 2023 Therms by Block'!E36/'12ME Dec 2023 Therms by Block'!E$38</f>
        <v>9.9058705039227132E-2</v>
      </c>
      <c r="F36" s="163">
        <f>'12ME Dec 2023 Therms by Block'!F36/'12ME Dec 2023 Therms by Block'!F$38</f>
        <v>9.9058705039227146E-2</v>
      </c>
      <c r="G36" s="163">
        <f>'12ME Dec 2023 Therms by Block'!G36/'12ME Dec 2023 Therms by Block'!G$38</f>
        <v>9.905870503922716E-2</v>
      </c>
      <c r="H36" s="163">
        <f>'12ME Dec 2023 Therms by Block'!H36/'12ME Dec 2023 Therms by Block'!H$38</f>
        <v>9.9058705039227146E-2</v>
      </c>
      <c r="I36" s="163">
        <f>'12ME Dec 2023 Therms by Block'!I36/'12ME Dec 2023 Therms by Block'!I$38</f>
        <v>9.9058705039227132E-2</v>
      </c>
      <c r="J36" s="163">
        <f>'12ME Dec 2023 Therms by Block'!J36/'12ME Dec 2023 Therms by Block'!J$38</f>
        <v>9.905870503922716E-2</v>
      </c>
      <c r="K36" s="163">
        <f>'12ME Dec 2023 Therms by Block'!K36/'12ME Dec 2023 Therms by Block'!K$38</f>
        <v>9.905870503922716E-2</v>
      </c>
      <c r="L36" s="163">
        <f>'12ME Dec 2023 Therms by Block'!L36/'12ME Dec 2023 Therms by Block'!L$38</f>
        <v>9.9058705039227146E-2</v>
      </c>
      <c r="M36" s="163">
        <f>'12ME Dec 2023 Therms by Block'!M36/'12ME Dec 2023 Therms by Block'!M$38</f>
        <v>9.9058705039227146E-2</v>
      </c>
      <c r="N36" s="163">
        <f>'12ME Dec 2023 Therms by Block'!N36/'12ME Dec 2023 Therms by Block'!N$38</f>
        <v>9.9058705039227146E-2</v>
      </c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</row>
    <row r="37" spans="1:42" x14ac:dyDescent="0.2">
      <c r="A37" s="31" t="s">
        <v>88</v>
      </c>
      <c r="B37" s="163">
        <f>'12ME Dec 2023 Therms by Block'!B37/'12ME Dec 2023 Therms by Block'!B$38</f>
        <v>0.9009412949607728</v>
      </c>
      <c r="C37" s="163">
        <f>'12ME Dec 2023 Therms by Block'!C37/'12ME Dec 2023 Therms by Block'!C$38</f>
        <v>0.90094129496077291</v>
      </c>
      <c r="D37" s="163">
        <f>'12ME Dec 2023 Therms by Block'!D37/'12ME Dec 2023 Therms by Block'!D$38</f>
        <v>0.9009412949607728</v>
      </c>
      <c r="E37" s="163">
        <f>'12ME Dec 2023 Therms by Block'!E37/'12ME Dec 2023 Therms by Block'!E$38</f>
        <v>0.9009412949607728</v>
      </c>
      <c r="F37" s="163">
        <f>'12ME Dec 2023 Therms by Block'!F37/'12ME Dec 2023 Therms by Block'!F$38</f>
        <v>0.90094129496077291</v>
      </c>
      <c r="G37" s="163">
        <f>'12ME Dec 2023 Therms by Block'!G37/'12ME Dec 2023 Therms by Block'!G$38</f>
        <v>0.90094129496077291</v>
      </c>
      <c r="H37" s="163">
        <f>'12ME Dec 2023 Therms by Block'!H37/'12ME Dec 2023 Therms by Block'!H$38</f>
        <v>0.90094129496077291</v>
      </c>
      <c r="I37" s="163">
        <f>'12ME Dec 2023 Therms by Block'!I37/'12ME Dec 2023 Therms by Block'!I$38</f>
        <v>0.90094129496077291</v>
      </c>
      <c r="J37" s="163">
        <f>'12ME Dec 2023 Therms by Block'!J37/'12ME Dec 2023 Therms by Block'!J$38</f>
        <v>0.90094129496077291</v>
      </c>
      <c r="K37" s="163">
        <f>'12ME Dec 2023 Therms by Block'!K37/'12ME Dec 2023 Therms by Block'!K$38</f>
        <v>0.90094129496077291</v>
      </c>
      <c r="L37" s="163">
        <f>'12ME Dec 2023 Therms by Block'!L37/'12ME Dec 2023 Therms by Block'!L$38</f>
        <v>0.9009412949607728</v>
      </c>
      <c r="M37" s="163">
        <f>'12ME Dec 2023 Therms by Block'!M37/'12ME Dec 2023 Therms by Block'!M$38</f>
        <v>0.9009412949607728</v>
      </c>
      <c r="N37" s="163">
        <f>'12ME Dec 2023 Therms by Block'!N37/'12ME Dec 2023 Therms by Block'!N$38</f>
        <v>0.9009412949607728</v>
      </c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</row>
    <row r="38" spans="1:42" x14ac:dyDescent="0.2">
      <c r="A38" s="31" t="s">
        <v>6</v>
      </c>
      <c r="B38" s="167">
        <f>SUM(B36:B37)</f>
        <v>1</v>
      </c>
      <c r="C38" s="167">
        <f t="shared" ref="C38:M38" si="6">SUM(C36:C37)</f>
        <v>1</v>
      </c>
      <c r="D38" s="167">
        <f t="shared" si="6"/>
        <v>1</v>
      </c>
      <c r="E38" s="167">
        <f t="shared" si="6"/>
        <v>0.99999999999999989</v>
      </c>
      <c r="F38" s="167">
        <f t="shared" si="6"/>
        <v>1</v>
      </c>
      <c r="G38" s="167">
        <f t="shared" si="6"/>
        <v>1</v>
      </c>
      <c r="H38" s="167">
        <f t="shared" si="6"/>
        <v>1</v>
      </c>
      <c r="I38" s="167">
        <f t="shared" si="6"/>
        <v>1</v>
      </c>
      <c r="J38" s="167">
        <f t="shared" si="6"/>
        <v>1</v>
      </c>
      <c r="K38" s="167">
        <f t="shared" si="6"/>
        <v>1</v>
      </c>
      <c r="L38" s="167">
        <f t="shared" si="6"/>
        <v>1</v>
      </c>
      <c r="M38" s="167">
        <f t="shared" si="6"/>
        <v>1</v>
      </c>
      <c r="N38" s="167">
        <f>SUM(N36:N37)</f>
        <v>1</v>
      </c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</row>
    <row r="39" spans="1:42" x14ac:dyDescent="0.2"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</row>
    <row r="40" spans="1:42" x14ac:dyDescent="0.2">
      <c r="A40" s="69" t="s">
        <v>94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</row>
    <row r="41" spans="1:42" x14ac:dyDescent="0.2">
      <c r="A41" s="31" t="s">
        <v>62</v>
      </c>
      <c r="B41" s="163">
        <f>'12ME Dec 2023 Therms by Block'!B41/'12ME Dec 2023 Therms by Block'!B$47</f>
        <v>2.5011247604944033E-2</v>
      </c>
      <c r="C41" s="163">
        <f>'12ME Dec 2023 Therms by Block'!C41/'12ME Dec 2023 Therms by Block'!C$47</f>
        <v>2.6148817035332502E-2</v>
      </c>
      <c r="D41" s="163">
        <f>'12ME Dec 2023 Therms by Block'!D41/'12ME Dec 2023 Therms by Block'!D$47</f>
        <v>-0.54304556775313839</v>
      </c>
      <c r="E41" s="163">
        <f>'12ME Dec 2023 Therms by Block'!E41/'12ME Dec 2023 Therms by Block'!E$47</f>
        <v>5.509988398846364E-2</v>
      </c>
      <c r="F41" s="163">
        <f>'12ME Dec 2023 Therms by Block'!F41/'12ME Dec 2023 Therms by Block'!F$47</f>
        <v>8.0211789771738679E-2</v>
      </c>
      <c r="G41" s="163">
        <f>'12ME Dec 2023 Therms by Block'!G41/'12ME Dec 2023 Therms by Block'!G$47</f>
        <v>8.0137703141507408E-2</v>
      </c>
      <c r="H41" s="163">
        <f>'12ME Dec 2023 Therms by Block'!H41/'12ME Dec 2023 Therms by Block'!H$47</f>
        <v>-4.9667844336580043</v>
      </c>
      <c r="I41" s="163">
        <f>'12ME Dec 2023 Therms by Block'!I41/'12ME Dec 2023 Therms by Block'!I$47</f>
        <v>0.55805620234903841</v>
      </c>
      <c r="J41" s="163">
        <f>'12ME Dec 2023 Therms by Block'!J41/'12ME Dec 2023 Therms by Block'!J$47</f>
        <v>0.10231499035280275</v>
      </c>
      <c r="K41" s="163">
        <f>'12ME Dec 2023 Therms by Block'!K41/'12ME Dec 2023 Therms by Block'!K$47</f>
        <v>0.11424834346232976</v>
      </c>
      <c r="L41" s="163">
        <f>'12ME Dec 2023 Therms by Block'!L41/'12ME Dec 2023 Therms by Block'!L$47</f>
        <v>3.064252273127014E-2</v>
      </c>
      <c r="M41" s="163">
        <f>'12ME Dec 2023 Therms by Block'!M41/'12ME Dec 2023 Therms by Block'!M$47</f>
        <v>-1.1133405959370513</v>
      </c>
      <c r="N41" s="163">
        <f>'12ME Dec 2023 Therms by Block'!N41/'12ME Dec 2023 Therms by Block'!N$47</f>
        <v>6.9304799187932295E-2</v>
      </c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</row>
    <row r="42" spans="1:42" s="52" customFormat="1" x14ac:dyDescent="0.2">
      <c r="A42" s="31" t="s">
        <v>63</v>
      </c>
      <c r="B42" s="163">
        <f>'12ME Dec 2023 Therms by Block'!B42/'12ME Dec 2023 Therms by Block'!B$47</f>
        <v>2.5011247604944033E-2</v>
      </c>
      <c r="C42" s="163">
        <f>'12ME Dec 2023 Therms by Block'!C42/'12ME Dec 2023 Therms by Block'!C$47</f>
        <v>2.614903343993253E-2</v>
      </c>
      <c r="D42" s="163">
        <f>'12ME Dec 2023 Therms by Block'!D42/'12ME Dec 2023 Therms by Block'!D$47</f>
        <v>-0.5251770660608529</v>
      </c>
      <c r="E42" s="163">
        <f>'12ME Dec 2023 Therms by Block'!E42/'12ME Dec 2023 Therms by Block'!E$47</f>
        <v>4.8829056922878894E-2</v>
      </c>
      <c r="F42" s="163">
        <f>'12ME Dec 2023 Therms by Block'!F42/'12ME Dec 2023 Therms by Block'!F$47</f>
        <v>6.5064339515634187E-2</v>
      </c>
      <c r="G42" s="163">
        <f>'12ME Dec 2023 Therms by Block'!G42/'12ME Dec 2023 Therms by Block'!G$47</f>
        <v>7.3015481057258219E-2</v>
      </c>
      <c r="H42" s="163">
        <f>'12ME Dec 2023 Therms by Block'!H42/'12ME Dec 2023 Therms by Block'!H$47</f>
        <v>0.67516413123482688</v>
      </c>
      <c r="I42" s="163">
        <f>'12ME Dec 2023 Therms by Block'!I42/'12ME Dec 2023 Therms by Block'!I$47</f>
        <v>4.9567993237073157E-2</v>
      </c>
      <c r="J42" s="163">
        <f>'12ME Dec 2023 Therms by Block'!J42/'12ME Dec 2023 Therms by Block'!J$47</f>
        <v>7.8506479511540411E-2</v>
      </c>
      <c r="K42" s="163">
        <f>'12ME Dec 2023 Therms by Block'!K42/'12ME Dec 2023 Therms by Block'!K$47</f>
        <v>0.10133909956341267</v>
      </c>
      <c r="L42" s="163">
        <f>'12ME Dec 2023 Therms by Block'!L42/'12ME Dec 2023 Therms by Block'!L$47</f>
        <v>3.064252273127014E-2</v>
      </c>
      <c r="M42" s="163">
        <f>'12ME Dec 2023 Therms by Block'!M42/'12ME Dec 2023 Therms by Block'!M$47</f>
        <v>-1.1133333742839353</v>
      </c>
      <c r="N42" s="163">
        <f>'12ME Dec 2023 Therms by Block'!N42/'12ME Dec 2023 Therms by Block'!N$47</f>
        <v>6.4071997497388414E-2</v>
      </c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</row>
    <row r="43" spans="1:42" x14ac:dyDescent="0.2">
      <c r="A43" s="31" t="s">
        <v>68</v>
      </c>
      <c r="B43" s="163">
        <f>'12ME Dec 2023 Therms by Block'!B43/'12ME Dec 2023 Therms by Block'!B$47</f>
        <v>5.1402482959633261E-2</v>
      </c>
      <c r="C43" s="163">
        <f>'12ME Dec 2023 Therms by Block'!C43/'12ME Dec 2023 Therms by Block'!C$47</f>
        <v>4.2734801140808541E-2</v>
      </c>
      <c r="D43" s="163">
        <f>'12ME Dec 2023 Therms by Block'!D43/'12ME Dec 2023 Therms by Block'!D$47</f>
        <v>-0.8688729084050214</v>
      </c>
      <c r="E43" s="163">
        <f>'12ME Dec 2023 Therms by Block'!E43/'12ME Dec 2023 Therms by Block'!E$47</f>
        <v>9.1833139980772735E-2</v>
      </c>
      <c r="F43" s="163">
        <f>'12ME Dec 2023 Therms by Block'!F43/'12ME Dec 2023 Therms by Block'!F$47</f>
        <v>0.12031768465760802</v>
      </c>
      <c r="G43" s="163">
        <f>'12ME Dec 2023 Therms by Block'!G43/'12ME Dec 2023 Therms by Block'!G$47</f>
        <v>0.13348926349747492</v>
      </c>
      <c r="H43" s="163">
        <f>'12ME Dec 2023 Therms by Block'!H43/'12ME Dec 2023 Therms by Block'!H$47</f>
        <v>1.0466965975968592</v>
      </c>
      <c r="I43" s="163">
        <f>'12ME Dec 2023 Therms by Block'!I43/'12ME Dec 2023 Therms by Block'!I$47</f>
        <v>7.0434193387234473E-2</v>
      </c>
      <c r="J43" s="163">
        <f>'12ME Dec 2023 Therms by Block'!J43/'12ME Dec 2023 Therms by Block'!J$47</f>
        <v>0.11281646555305758</v>
      </c>
      <c r="K43" s="163">
        <f>'12ME Dec 2023 Therms by Block'!K43/'12ME Dec 2023 Therms by Block'!K$47</f>
        <v>0.14922024258673797</v>
      </c>
      <c r="L43" s="163">
        <f>'12ME Dec 2023 Therms by Block'!L43/'12ME Dec 2023 Therms by Block'!L$47</f>
        <v>5.0333558599596165E-2</v>
      </c>
      <c r="M43" s="163">
        <f>'12ME Dec 2023 Therms by Block'!M43/'12ME Dec 2023 Therms by Block'!M$47</f>
        <v>-1.786284098434012</v>
      </c>
      <c r="N43" s="163">
        <f>'12ME Dec 2023 Therms by Block'!N43/'12ME Dec 2023 Therms by Block'!N$47</f>
        <v>0.106184596042826</v>
      </c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</row>
    <row r="44" spans="1:42" x14ac:dyDescent="0.2">
      <c r="A44" s="31" t="s">
        <v>69</v>
      </c>
      <c r="B44" s="163">
        <f>'12ME Dec 2023 Therms by Block'!B44/'12ME Dec 2023 Therms by Block'!B$47</f>
        <v>0.22861311207848459</v>
      </c>
      <c r="C44" s="163">
        <f>'12ME Dec 2023 Therms by Block'!C44/'12ME Dec 2023 Therms by Block'!C$47</f>
        <v>7.2843215774582151E-2</v>
      </c>
      <c r="D44" s="163">
        <f>'12ME Dec 2023 Therms by Block'!D44/'12ME Dec 2023 Therms by Block'!D$47</f>
        <v>-0.71146628273130508</v>
      </c>
      <c r="E44" s="163">
        <f>'12ME Dec 2023 Therms by Block'!E44/'12ME Dec 2023 Therms by Block'!E$47</f>
        <v>0.24129414240307537</v>
      </c>
      <c r="F44" s="163">
        <f>'12ME Dec 2023 Therms by Block'!F44/'12ME Dec 2023 Therms by Block'!F$47</f>
        <v>-7.9008352236845363E-3</v>
      </c>
      <c r="G44" s="163">
        <f>'12ME Dec 2023 Therms by Block'!G44/'12ME Dec 2023 Therms by Block'!G$47</f>
        <v>9.8595971775245969E-2</v>
      </c>
      <c r="H44" s="163">
        <f>'12ME Dec 2023 Therms by Block'!H44/'12ME Dec 2023 Therms by Block'!H$47</f>
        <v>0.50332246148300186</v>
      </c>
      <c r="I44" s="163">
        <f>'12ME Dec 2023 Therms by Block'!I44/'12ME Dec 2023 Therms by Block'!I$47</f>
        <v>1.3591900904780848E-3</v>
      </c>
      <c r="J44" s="163">
        <f>'12ME Dec 2023 Therms by Block'!J44/'12ME Dec 2023 Therms by Block'!J$47</f>
        <v>1.1661415709777561E-2</v>
      </c>
      <c r="K44" s="163">
        <f>'12ME Dec 2023 Therms by Block'!K44/'12ME Dec 2023 Therms by Block'!K$47</f>
        <v>0.1390343884217933</v>
      </c>
      <c r="L44" s="163">
        <f>'12ME Dec 2023 Therms by Block'!L44/'12ME Dec 2023 Therms by Block'!L$47</f>
        <v>0.18221658595049953</v>
      </c>
      <c r="M44" s="163">
        <f>'12ME Dec 2023 Therms by Block'!M44/'12ME Dec 2023 Therms by Block'!M$47</f>
        <v>1.7573401785416196E-2</v>
      </c>
      <c r="N44" s="163">
        <f>'12ME Dec 2023 Therms by Block'!N44/'12ME Dec 2023 Therms by Block'!N$47</f>
        <v>0.1395661244334947</v>
      </c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</row>
    <row r="45" spans="1:42" x14ac:dyDescent="0.2">
      <c r="A45" s="31" t="s">
        <v>70</v>
      </c>
      <c r="B45" s="163">
        <f>'12ME Dec 2023 Therms by Block'!B45/'12ME Dec 2023 Therms by Block'!B$47</f>
        <v>2.8002187136059221E-2</v>
      </c>
      <c r="C45" s="163">
        <f>'12ME Dec 2023 Therms by Block'!C45/'12ME Dec 2023 Therms by Block'!C$47</f>
        <v>0.31370468267101614</v>
      </c>
      <c r="D45" s="163">
        <f>'12ME Dec 2023 Therms by Block'!D45/'12ME Dec 2023 Therms by Block'!D$47</f>
        <v>3.311755948701689</v>
      </c>
      <c r="E45" s="163">
        <f>'12ME Dec 2023 Therms by Block'!E45/'12ME Dec 2023 Therms by Block'!E$47</f>
        <v>0.12978734456806934</v>
      </c>
      <c r="F45" s="163">
        <f>'12ME Dec 2023 Therms by Block'!F45/'12ME Dec 2023 Therms by Block'!F$47</f>
        <v>0.1978633761111431</v>
      </c>
      <c r="G45" s="163">
        <f>'12ME Dec 2023 Therms by Block'!G45/'12ME Dec 2023 Therms by Block'!G$47</f>
        <v>0.17523715453741973</v>
      </c>
      <c r="H45" s="163">
        <f>'12ME Dec 2023 Therms by Block'!H45/'12ME Dec 2023 Therms by Block'!H$47</f>
        <v>1.464946793413245</v>
      </c>
      <c r="I45" s="163">
        <f>'12ME Dec 2023 Therms by Block'!I45/'12ME Dec 2023 Therms by Block'!I$47</f>
        <v>0.1295669874862895</v>
      </c>
      <c r="J45" s="163">
        <f>'12ME Dec 2023 Therms by Block'!J45/'12ME Dec 2023 Therms by Block'!J$47</f>
        <v>0.31401754424498179</v>
      </c>
      <c r="K45" s="163">
        <f>'12ME Dec 2023 Therms by Block'!K45/'12ME Dec 2023 Therms by Block'!K$47</f>
        <v>0.2251165085212509</v>
      </c>
      <c r="L45" s="163">
        <f>'12ME Dec 2023 Therms by Block'!L45/'12ME Dec 2023 Therms by Block'!L$47</f>
        <v>0.27763703770250475</v>
      </c>
      <c r="M45" s="163">
        <f>'12ME Dec 2023 Therms by Block'!M45/'12ME Dec 2023 Therms by Block'!M$47</f>
        <v>1.5295556011705433</v>
      </c>
      <c r="N45" s="163">
        <f>'12ME Dec 2023 Therms by Block'!N45/'12ME Dec 2023 Therms by Block'!N$47</f>
        <v>0.1737917867567694</v>
      </c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</row>
    <row r="46" spans="1:42" x14ac:dyDescent="0.2">
      <c r="A46" s="31" t="s">
        <v>89</v>
      </c>
      <c r="B46" s="163">
        <f>'12ME Dec 2023 Therms by Block'!B46/'12ME Dec 2023 Therms by Block'!B$47</f>
        <v>0.64195972261593492</v>
      </c>
      <c r="C46" s="163">
        <f>'12ME Dec 2023 Therms by Block'!C46/'12ME Dec 2023 Therms by Block'!C$47</f>
        <v>0.51841944993832811</v>
      </c>
      <c r="D46" s="163">
        <f>'12ME Dec 2023 Therms by Block'!D46/'12ME Dec 2023 Therms by Block'!D$47</f>
        <v>0.33680587624862884</v>
      </c>
      <c r="E46" s="163">
        <f>'12ME Dec 2023 Therms by Block'!E46/'12ME Dec 2023 Therms by Block'!E$47</f>
        <v>0.43315643213673999</v>
      </c>
      <c r="F46" s="163">
        <f>'12ME Dec 2023 Therms by Block'!F46/'12ME Dec 2023 Therms by Block'!F$47</f>
        <v>0.5444436451675605</v>
      </c>
      <c r="G46" s="163">
        <f>'12ME Dec 2023 Therms by Block'!G46/'12ME Dec 2023 Therms by Block'!G$47</f>
        <v>0.4395244259910937</v>
      </c>
      <c r="H46" s="163">
        <f>'12ME Dec 2023 Therms by Block'!H46/'12ME Dec 2023 Therms by Block'!H$47</f>
        <v>2.2766544499300712</v>
      </c>
      <c r="I46" s="163">
        <f>'12ME Dec 2023 Therms by Block'!I46/'12ME Dec 2023 Therms by Block'!I$47</f>
        <v>0.19101543344988639</v>
      </c>
      <c r="J46" s="163">
        <f>'12ME Dec 2023 Therms by Block'!J46/'12ME Dec 2023 Therms by Block'!J$47</f>
        <v>0.38068310462783983</v>
      </c>
      <c r="K46" s="163">
        <f>'12ME Dec 2023 Therms by Block'!K46/'12ME Dec 2023 Therms by Block'!K$47</f>
        <v>0.27104141744447535</v>
      </c>
      <c r="L46" s="163">
        <f>'12ME Dec 2023 Therms by Block'!L46/'12ME Dec 2023 Therms by Block'!L$47</f>
        <v>0.42852777228485933</v>
      </c>
      <c r="M46" s="163">
        <f>'12ME Dec 2023 Therms by Block'!M46/'12ME Dec 2023 Therms by Block'!M$47</f>
        <v>3.4658290656990389</v>
      </c>
      <c r="N46" s="163">
        <f>'12ME Dec 2023 Therms by Block'!N46/'12ME Dec 2023 Therms by Block'!N$47</f>
        <v>0.44708069608158912</v>
      </c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</row>
    <row r="47" spans="1:42" x14ac:dyDescent="0.2">
      <c r="A47" s="31" t="s">
        <v>6</v>
      </c>
      <c r="B47" s="164">
        <f>SUM(B41:B46)</f>
        <v>1</v>
      </c>
      <c r="C47" s="164">
        <f t="shared" ref="C47:N47" si="7">SUM(C41:C46)</f>
        <v>1</v>
      </c>
      <c r="D47" s="164">
        <f t="shared" si="7"/>
        <v>1</v>
      </c>
      <c r="E47" s="164">
        <f t="shared" si="7"/>
        <v>1</v>
      </c>
      <c r="F47" s="164">
        <f t="shared" si="7"/>
        <v>1</v>
      </c>
      <c r="G47" s="164">
        <f t="shared" si="7"/>
        <v>1</v>
      </c>
      <c r="H47" s="164">
        <f t="shared" si="7"/>
        <v>0.99999999999999978</v>
      </c>
      <c r="I47" s="164">
        <f t="shared" si="7"/>
        <v>1</v>
      </c>
      <c r="J47" s="164">
        <f t="shared" si="7"/>
        <v>1</v>
      </c>
      <c r="K47" s="164">
        <f t="shared" si="7"/>
        <v>1</v>
      </c>
      <c r="L47" s="164">
        <f t="shared" si="7"/>
        <v>1</v>
      </c>
      <c r="M47" s="164">
        <f t="shared" si="7"/>
        <v>1</v>
      </c>
      <c r="N47" s="164">
        <f t="shared" si="7"/>
        <v>1</v>
      </c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</row>
    <row r="48" spans="1:42" x14ac:dyDescent="0.2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</row>
    <row r="49" spans="1:42" x14ac:dyDescent="0.2">
      <c r="A49" s="32" t="s">
        <v>41</v>
      </c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</row>
    <row r="50" spans="1:42" x14ac:dyDescent="0.2">
      <c r="A50" s="31" t="s">
        <v>62</v>
      </c>
      <c r="B50" s="163">
        <f>'12ME Dec 2023 Therms by Block'!B50/'12ME Dec 2023 Therms by Block'!B$56</f>
        <v>1.6550687797849992E-2</v>
      </c>
      <c r="C50" s="163">
        <f>'12ME Dec 2023 Therms by Block'!C50/'12ME Dec 2023 Therms by Block'!C$56</f>
        <v>2.201762798224343E-2</v>
      </c>
      <c r="D50" s="163">
        <f>'12ME Dec 2023 Therms by Block'!D50/'12ME Dec 2023 Therms by Block'!D$56</f>
        <v>3.1468202595593395E-2</v>
      </c>
      <c r="E50" s="163">
        <f>'12ME Dec 2023 Therms by Block'!E50/'12ME Dec 2023 Therms by Block'!E$56</f>
        <v>2.3672127630212276E-2</v>
      </c>
      <c r="F50" s="163">
        <f>'12ME Dec 2023 Therms by Block'!F50/'12ME Dec 2023 Therms by Block'!F$56</f>
        <v>2.4345839826949042E-2</v>
      </c>
      <c r="G50" s="163">
        <f>'12ME Dec 2023 Therms by Block'!G50/'12ME Dec 2023 Therms by Block'!G$56</f>
        <v>2.6275467595317029E-2</v>
      </c>
      <c r="H50" s="163">
        <f>'12ME Dec 2023 Therms by Block'!H50/'12ME Dec 2023 Therms by Block'!H$56</f>
        <v>2.6359022905846144E-2</v>
      </c>
      <c r="I50" s="163">
        <f>'12ME Dec 2023 Therms by Block'!I50/'12ME Dec 2023 Therms by Block'!I$56</f>
        <v>2.6353513884298557E-2</v>
      </c>
      <c r="J50" s="163">
        <f>'12ME Dec 2023 Therms by Block'!J50/'12ME Dec 2023 Therms by Block'!J$56</f>
        <v>2.6349004853806587E-2</v>
      </c>
      <c r="K50" s="163">
        <f>'12ME Dec 2023 Therms by Block'!K50/'12ME Dec 2023 Therms by Block'!K$56</f>
        <v>2.3643621275183484E-2</v>
      </c>
      <c r="L50" s="163">
        <f>'12ME Dec 2023 Therms by Block'!L50/'12ME Dec 2023 Therms by Block'!L$56</f>
        <v>1.8977698124658167E-2</v>
      </c>
      <c r="M50" s="163">
        <f>'12ME Dec 2023 Therms by Block'!M50/'12ME Dec 2023 Therms by Block'!M$56</f>
        <v>3.5982849110807812E-2</v>
      </c>
      <c r="N50" s="163">
        <f>'12ME Dec 2023 Therms by Block'!N50/'12ME Dec 2023 Therms by Block'!N$56</f>
        <v>2.5581251417277934E-2</v>
      </c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</row>
    <row r="51" spans="1:42" x14ac:dyDescent="0.2">
      <c r="A51" s="31" t="s">
        <v>63</v>
      </c>
      <c r="B51" s="163">
        <f>'12ME Dec 2023 Therms by Block'!B51/'12ME Dec 2023 Therms by Block'!B$56</f>
        <v>1.6020493465192631E-2</v>
      </c>
      <c r="C51" s="163">
        <f>'12ME Dec 2023 Therms by Block'!C51/'12ME Dec 2023 Therms by Block'!C$56</f>
        <v>2.4467668158883946E-2</v>
      </c>
      <c r="D51" s="163">
        <f>'12ME Dec 2023 Therms by Block'!D51/'12ME Dec 2023 Therms by Block'!D$56</f>
        <v>2.9412284221774974E-2</v>
      </c>
      <c r="E51" s="163">
        <f>'12ME Dec 2023 Therms by Block'!E51/'12ME Dec 2023 Therms by Block'!E$56</f>
        <v>2.3762824943404363E-2</v>
      </c>
      <c r="F51" s="163">
        <f>'12ME Dec 2023 Therms by Block'!F51/'12ME Dec 2023 Therms by Block'!F$56</f>
        <v>2.4430017672570206E-2</v>
      </c>
      <c r="G51" s="163">
        <f>'12ME Dec 2023 Therms by Block'!G51/'12ME Dec 2023 Therms by Block'!G$56</f>
        <v>2.6640291370194892E-2</v>
      </c>
      <c r="H51" s="163">
        <f>'12ME Dec 2023 Therms by Block'!H51/'12ME Dec 2023 Therms by Block'!H$56</f>
        <v>2.6375171896094684E-2</v>
      </c>
      <c r="I51" s="163">
        <f>'12ME Dec 2023 Therms by Block'!I51/'12ME Dec 2023 Therms by Block'!I$56</f>
        <v>2.5743750074439738E-2</v>
      </c>
      <c r="J51" s="163">
        <f>'12ME Dec 2023 Therms by Block'!J51/'12ME Dec 2023 Therms by Block'!J$56</f>
        <v>2.6077064396547278E-2</v>
      </c>
      <c r="K51" s="163">
        <f>'12ME Dec 2023 Therms by Block'!K51/'12ME Dec 2023 Therms by Block'!K$56</f>
        <v>2.4148087077014473E-2</v>
      </c>
      <c r="L51" s="163">
        <f>'12ME Dec 2023 Therms by Block'!L51/'12ME Dec 2023 Therms by Block'!L$56</f>
        <v>2.1322855018917525E-2</v>
      </c>
      <c r="M51" s="163">
        <f>'12ME Dec 2023 Therms by Block'!M51/'12ME Dec 2023 Therms by Block'!M$56</f>
        <v>3.4725408442295692E-2</v>
      </c>
      <c r="N51" s="163">
        <f>'12ME Dec 2023 Therms by Block'!N51/'12ME Dec 2023 Therms by Block'!N$56</f>
        <v>2.559063720998531E-2</v>
      </c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</row>
    <row r="52" spans="1:42" x14ac:dyDescent="0.2">
      <c r="A52" s="31" t="s">
        <v>68</v>
      </c>
      <c r="B52" s="163">
        <f>'12ME Dec 2023 Therms by Block'!B52/'12ME Dec 2023 Therms by Block'!B$56</f>
        <v>2.6291149720991509E-2</v>
      </c>
      <c r="C52" s="163">
        <f>'12ME Dec 2023 Therms by Block'!C52/'12ME Dec 2023 Therms by Block'!C$56</f>
        <v>5.4970463924382533E-2</v>
      </c>
      <c r="D52" s="163">
        <f>'12ME Dec 2023 Therms by Block'!D52/'12ME Dec 2023 Therms by Block'!D$56</f>
        <v>5.8440947677530587E-2</v>
      </c>
      <c r="E52" s="163">
        <f>'12ME Dec 2023 Therms by Block'!E52/'12ME Dec 2023 Therms by Block'!E$56</f>
        <v>4.7897224361383599E-2</v>
      </c>
      <c r="F52" s="163">
        <f>'12ME Dec 2023 Therms by Block'!F52/'12ME Dec 2023 Therms by Block'!F$56</f>
        <v>4.8860035345140412E-2</v>
      </c>
      <c r="G52" s="163">
        <f>'12ME Dec 2023 Therms by Block'!G52/'12ME Dec 2023 Therms by Block'!G$56</f>
        <v>5.3280582740389784E-2</v>
      </c>
      <c r="H52" s="163">
        <f>'12ME Dec 2023 Therms by Block'!H52/'12ME Dec 2023 Therms by Block'!H$56</f>
        <v>5.2750343792189368E-2</v>
      </c>
      <c r="I52" s="163">
        <f>'12ME Dec 2023 Therms by Block'!I52/'12ME Dec 2023 Therms by Block'!I$56</f>
        <v>4.8308976767036084E-2</v>
      </c>
      <c r="J52" s="163">
        <f>'12ME Dec 2023 Therms by Block'!J52/'12ME Dec 2023 Therms by Block'!J$56</f>
        <v>5.2723746564845408E-2</v>
      </c>
      <c r="K52" s="163">
        <f>'12ME Dec 2023 Therms by Block'!K52/'12ME Dec 2023 Therms by Block'!K$56</f>
        <v>5.0859987111671522E-2</v>
      </c>
      <c r="L52" s="163">
        <f>'12ME Dec 2023 Therms by Block'!L52/'12ME Dec 2023 Therms by Block'!L$56</f>
        <v>4.2645710037835051E-2</v>
      </c>
      <c r="M52" s="163">
        <f>'12ME Dec 2023 Therms by Block'!M52/'12ME Dec 2023 Therms by Block'!M$56</f>
        <v>6.9450816884591385E-2</v>
      </c>
      <c r="N52" s="163">
        <f>'12ME Dec 2023 Therms by Block'!N52/'12ME Dec 2023 Therms by Block'!N$56</f>
        <v>5.118127441997062E-2</v>
      </c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</row>
    <row r="53" spans="1:42" x14ac:dyDescent="0.2">
      <c r="A53" s="31" t="s">
        <v>69</v>
      </c>
      <c r="B53" s="163">
        <f>'12ME Dec 2023 Therms by Block'!B53/'12ME Dec 2023 Therms by Block'!B$56</f>
        <v>4.9195401200582523E-2</v>
      </c>
      <c r="C53" s="163">
        <f>'12ME Dec 2023 Therms by Block'!C53/'12ME Dec 2023 Therms by Block'!C$56</f>
        <v>0.11008813991121714</v>
      </c>
      <c r="D53" s="163">
        <f>'12ME Dec 2023 Therms by Block'!D53/'12ME Dec 2023 Therms by Block'!D$56</f>
        <v>0.11218145307060579</v>
      </c>
      <c r="E53" s="163">
        <f>'12ME Dec 2023 Therms by Block'!E53/'12ME Dec 2023 Therms by Block'!E$56</f>
        <v>9.2878191383179376E-2</v>
      </c>
      <c r="F53" s="163">
        <f>'12ME Dec 2023 Therms by Block'!F53/'12ME Dec 2023 Therms by Block'!F$56</f>
        <v>9.4936995081743109E-2</v>
      </c>
      <c r="G53" s="163">
        <f>'12ME Dec 2023 Therms by Block'!G53/'12ME Dec 2023 Therms by Block'!G$56</f>
        <v>0.10023985252076997</v>
      </c>
      <c r="H53" s="163">
        <f>'12ME Dec 2023 Therms by Block'!H53/'12ME Dec 2023 Therms by Block'!H$56</f>
        <v>9.8536925854141047E-2</v>
      </c>
      <c r="I53" s="163">
        <f>'12ME Dec 2023 Therms by Block'!I53/'12ME Dec 2023 Therms by Block'!I$56</f>
        <v>8.9842363944091022E-2</v>
      </c>
      <c r="J53" s="163">
        <f>'12ME Dec 2023 Therms by Block'!J53/'12ME Dec 2023 Therms by Block'!J$56</f>
        <v>9.3715497070984491E-2</v>
      </c>
      <c r="K53" s="163">
        <f>'12ME Dec 2023 Therms by Block'!K53/'12ME Dec 2023 Therms by Block'!K$56</f>
        <v>0.10156107490860942</v>
      </c>
      <c r="L53" s="163">
        <f>'12ME Dec 2023 Therms by Block'!L53/'12ME Dec 2023 Therms by Block'!L$56</f>
        <v>8.5291420075670102E-2</v>
      </c>
      <c r="M53" s="163">
        <f>'12ME Dec 2023 Therms by Block'!M53/'12ME Dec 2023 Therms by Block'!M$56</f>
        <v>0.13483698011627701</v>
      </c>
      <c r="N53" s="163">
        <f>'12ME Dec 2023 Therms by Block'!N53/'12ME Dec 2023 Therms by Block'!N$56</f>
        <v>9.8203612918839042E-2</v>
      </c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</row>
    <row r="54" spans="1:42" x14ac:dyDescent="0.2">
      <c r="A54" s="31" t="s">
        <v>70</v>
      </c>
      <c r="B54" s="163">
        <f>'12ME Dec 2023 Therms by Block'!B54/'12ME Dec 2023 Therms by Block'!B$56</f>
        <v>0.12570900232977483</v>
      </c>
      <c r="C54" s="163">
        <f>'12ME Dec 2023 Therms by Block'!C54/'12ME Dec 2023 Therms by Block'!C$56</f>
        <v>0.25333485068220229</v>
      </c>
      <c r="D54" s="163">
        <f>'12ME Dec 2023 Therms by Block'!D54/'12ME Dec 2023 Therms by Block'!D$56</f>
        <v>0.25434590577708377</v>
      </c>
      <c r="E54" s="163">
        <f>'12ME Dec 2023 Therms by Block'!E54/'12ME Dec 2023 Therms by Block'!E$56</f>
        <v>0.21249803275810489</v>
      </c>
      <c r="F54" s="163">
        <f>'12ME Dec 2023 Therms by Block'!F54/'12ME Dec 2023 Therms by Block'!F$56</f>
        <v>0.21598985495159106</v>
      </c>
      <c r="G54" s="163">
        <f>'12ME Dec 2023 Therms by Block'!G54/'12ME Dec 2023 Therms by Block'!G$56</f>
        <v>0.23311281714186832</v>
      </c>
      <c r="H54" s="163">
        <f>'12ME Dec 2023 Therms by Block'!H54/'12ME Dec 2023 Therms by Block'!H$56</f>
        <v>0.2236970588859083</v>
      </c>
      <c r="I54" s="163">
        <f>'12ME Dec 2023 Therms by Block'!I54/'12ME Dec 2023 Therms by Block'!I$56</f>
        <v>0.21192878631442877</v>
      </c>
      <c r="J54" s="163">
        <f>'12ME Dec 2023 Therms by Block'!J54/'12ME Dec 2023 Therms by Block'!J$56</f>
        <v>0.20130885052031883</v>
      </c>
      <c r="K54" s="163">
        <f>'12ME Dec 2023 Therms by Block'!K54/'12ME Dec 2023 Therms by Block'!K$56</f>
        <v>0.23232299436549067</v>
      </c>
      <c r="L54" s="163">
        <f>'12ME Dec 2023 Therms by Block'!L54/'12ME Dec 2023 Therms by Block'!L$56</f>
        <v>0.23332022462544322</v>
      </c>
      <c r="M54" s="163">
        <f>'12ME Dec 2023 Therms by Block'!M54/'12ME Dec 2023 Therms by Block'!M$56</f>
        <v>0.30527724746998536</v>
      </c>
      <c r="N54" s="163">
        <f>'12ME Dec 2023 Therms by Block'!N54/'12ME Dec 2023 Therms by Block'!N$56</f>
        <v>0.22755971748242576</v>
      </c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</row>
    <row r="55" spans="1:42" x14ac:dyDescent="0.2">
      <c r="A55" s="31" t="s">
        <v>89</v>
      </c>
      <c r="B55" s="163">
        <f>'12ME Dec 2023 Therms by Block'!B55/'12ME Dec 2023 Therms by Block'!B$56</f>
        <v>0.76623326548560844</v>
      </c>
      <c r="C55" s="163">
        <f>'12ME Dec 2023 Therms by Block'!C55/'12ME Dec 2023 Therms by Block'!C$56</f>
        <v>0.53512124934107064</v>
      </c>
      <c r="D55" s="163">
        <f>'12ME Dec 2023 Therms by Block'!D55/'12ME Dec 2023 Therms by Block'!D$56</f>
        <v>0.51415120665741165</v>
      </c>
      <c r="E55" s="163">
        <f>'12ME Dec 2023 Therms by Block'!E55/'12ME Dec 2023 Therms by Block'!E$56</f>
        <v>0.59929159892371542</v>
      </c>
      <c r="F55" s="163">
        <f>'12ME Dec 2023 Therms by Block'!F55/'12ME Dec 2023 Therms by Block'!F$56</f>
        <v>0.59143725712200612</v>
      </c>
      <c r="G55" s="163">
        <f>'12ME Dec 2023 Therms by Block'!G55/'12ME Dec 2023 Therms by Block'!G$56</f>
        <v>0.56045098863145992</v>
      </c>
      <c r="H55" s="163">
        <f>'12ME Dec 2023 Therms by Block'!H55/'12ME Dec 2023 Therms by Block'!H$56</f>
        <v>0.57228147666582052</v>
      </c>
      <c r="I55" s="163">
        <f>'12ME Dec 2023 Therms by Block'!I55/'12ME Dec 2023 Therms by Block'!I$56</f>
        <v>0.59782260901570583</v>
      </c>
      <c r="J55" s="163">
        <f>'12ME Dec 2023 Therms by Block'!J55/'12ME Dec 2023 Therms by Block'!J$56</f>
        <v>0.59982583659349742</v>
      </c>
      <c r="K55" s="163">
        <f>'12ME Dec 2023 Therms by Block'!K55/'12ME Dec 2023 Therms by Block'!K$56</f>
        <v>0.56746423526203027</v>
      </c>
      <c r="L55" s="163">
        <f>'12ME Dec 2023 Therms by Block'!L55/'12ME Dec 2023 Therms by Block'!L$56</f>
        <v>0.5984420921174759</v>
      </c>
      <c r="M55" s="163">
        <f>'12ME Dec 2023 Therms by Block'!M55/'12ME Dec 2023 Therms by Block'!M$56</f>
        <v>0.41972669797604273</v>
      </c>
      <c r="N55" s="163">
        <f>'12ME Dec 2023 Therms by Block'!N55/'12ME Dec 2023 Therms by Block'!N$56</f>
        <v>0.57188350655150133</v>
      </c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</row>
    <row r="56" spans="1:42" x14ac:dyDescent="0.2">
      <c r="A56" s="31" t="s">
        <v>6</v>
      </c>
      <c r="B56" s="167">
        <f>SUM(B50:B55)</f>
        <v>0.99999999999999989</v>
      </c>
      <c r="C56" s="167">
        <f t="shared" ref="C56:N56" si="8">SUM(C50:C55)</f>
        <v>1</v>
      </c>
      <c r="D56" s="167">
        <f t="shared" si="8"/>
        <v>1.0000000000000002</v>
      </c>
      <c r="E56" s="167">
        <f t="shared" si="8"/>
        <v>0.99999999999999989</v>
      </c>
      <c r="F56" s="167">
        <f t="shared" si="8"/>
        <v>1</v>
      </c>
      <c r="G56" s="167">
        <f t="shared" si="8"/>
        <v>0.99999999999999989</v>
      </c>
      <c r="H56" s="167">
        <f t="shared" si="8"/>
        <v>1</v>
      </c>
      <c r="I56" s="167">
        <f t="shared" si="8"/>
        <v>1</v>
      </c>
      <c r="J56" s="167">
        <f t="shared" si="8"/>
        <v>1</v>
      </c>
      <c r="K56" s="167">
        <f t="shared" si="8"/>
        <v>0.99999999999999989</v>
      </c>
      <c r="L56" s="167">
        <f t="shared" si="8"/>
        <v>1</v>
      </c>
      <c r="M56" s="167">
        <f t="shared" si="8"/>
        <v>1</v>
      </c>
      <c r="N56" s="167">
        <f t="shared" si="8"/>
        <v>1</v>
      </c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</row>
    <row r="60" spans="1:42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7" spans="1:14" x14ac:dyDescent="0.2">
      <c r="A67" s="31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</row>
    <row r="74" spans="1:14" x14ac:dyDescent="0.2">
      <c r="A74" s="31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</row>
    <row r="80" spans="1:14" x14ac:dyDescent="0.2">
      <c r="A80" s="31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</sheetData>
  <printOptions horizontalCentered="1"/>
  <pageMargins left="0.5" right="0.5" top="1" bottom="1" header="0.5" footer="0.5"/>
  <pageSetup scale="63" orientation="landscape" horizontalDpi="300" verticalDpi="300" r:id="rId1"/>
  <headerFooter alignWithMargins="0">
    <oddHeader xml:space="preserve">&amp;C
</oddHeader>
    <oddFooter>&amp;L&amp;F 
&amp;A&amp;C&amp;P&amp;R&amp;D</oddFooter>
  </headerFooter>
  <rowBreaks count="1" manualBreakCount="1">
    <brk id="29" max="13" man="1"/>
  </rowBreaks>
  <customProperties>
    <customPr name="_pios_id" r:id="rId2"/>
  </customPropertie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AP80"/>
  <sheetViews>
    <sheetView zoomScale="90" zoomScaleNormal="90" workbookViewId="0">
      <pane ySplit="5" topLeftCell="A21" activePane="bottomLeft" state="frozen"/>
      <selection pane="bottomLeft" activeCell="H61" sqref="H61"/>
    </sheetView>
  </sheetViews>
  <sheetFormatPr defaultColWidth="9.140625" defaultRowHeight="12.75" x14ac:dyDescent="0.2"/>
  <cols>
    <col min="1" max="1" width="32.7109375" style="69" bestFit="1" customWidth="1"/>
    <col min="2" max="13" width="12.140625" style="69" customWidth="1"/>
    <col min="14" max="14" width="13.28515625" style="69" bestFit="1" customWidth="1"/>
    <col min="15" max="16384" width="9.140625" style="69"/>
  </cols>
  <sheetData>
    <row r="1" spans="1:42" x14ac:dyDescent="0.2">
      <c r="A1" s="69" t="s">
        <v>0</v>
      </c>
    </row>
    <row r="2" spans="1:42" x14ac:dyDescent="0.2">
      <c r="A2" s="69" t="s">
        <v>261</v>
      </c>
    </row>
    <row r="3" spans="1:42" x14ac:dyDescent="0.2">
      <c r="A3" s="69" t="s">
        <v>263</v>
      </c>
    </row>
    <row r="5" spans="1:42" x14ac:dyDescent="0.2">
      <c r="A5" s="54" t="s">
        <v>83</v>
      </c>
      <c r="B5" s="159">
        <v>44927</v>
      </c>
      <c r="C5" s="159">
        <f>EDATE(B5,1)</f>
        <v>44958</v>
      </c>
      <c r="D5" s="159">
        <f t="shared" ref="D5:M5" si="0">EDATE(C5,1)</f>
        <v>44986</v>
      </c>
      <c r="E5" s="159">
        <f t="shared" si="0"/>
        <v>45017</v>
      </c>
      <c r="F5" s="159">
        <f t="shared" si="0"/>
        <v>45047</v>
      </c>
      <c r="G5" s="159">
        <f t="shared" si="0"/>
        <v>45078</v>
      </c>
      <c r="H5" s="159">
        <f t="shared" si="0"/>
        <v>45108</v>
      </c>
      <c r="I5" s="159">
        <f t="shared" si="0"/>
        <v>45139</v>
      </c>
      <c r="J5" s="159">
        <f t="shared" si="0"/>
        <v>45170</v>
      </c>
      <c r="K5" s="159">
        <f t="shared" si="0"/>
        <v>45200</v>
      </c>
      <c r="L5" s="159">
        <f t="shared" si="0"/>
        <v>45231</v>
      </c>
      <c r="M5" s="159">
        <f t="shared" si="0"/>
        <v>45261</v>
      </c>
      <c r="N5" s="70" t="s">
        <v>6</v>
      </c>
    </row>
    <row r="6" spans="1:42" x14ac:dyDescent="0.2">
      <c r="A6" s="32" t="s">
        <v>91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42" x14ac:dyDescent="0.2">
      <c r="A7" s="31" t="s">
        <v>90</v>
      </c>
      <c r="B7" s="60">
        <f>'[2](C) RY#1 Therms By Block'!B9+'[2](C) RY#1 Therms By Block'!B16</f>
        <v>1593493.0986811942</v>
      </c>
      <c r="C7" s="60">
        <f>'[2](C) RY#1 Therms By Block'!C9+'[2](C) RY#1 Therms By Block'!C16</f>
        <v>1547900.9490901812</v>
      </c>
      <c r="D7" s="60">
        <f>'[2](C) RY#1 Therms By Block'!D9+'[2](C) RY#1 Therms By Block'!D16</f>
        <v>1449827.9210542033</v>
      </c>
      <c r="E7" s="60">
        <f>'[2](C) RY#1 Therms By Block'!E9+'[2](C) RY#1 Therms By Block'!E16</f>
        <v>1108221.8765822232</v>
      </c>
      <c r="F7" s="60">
        <f>'[2](C) RY#1 Therms By Block'!F9+'[2](C) RY#1 Therms By Block'!F16</f>
        <v>859583.32879280893</v>
      </c>
      <c r="G7" s="60">
        <f>'[2](C) RY#1 Therms By Block'!G9+'[2](C) RY#1 Therms By Block'!G16</f>
        <v>691006.54274286493</v>
      </c>
      <c r="H7" s="60">
        <f>'[2](C) RY#1 Therms By Block'!H9+'[2](C) RY#1 Therms By Block'!H16</f>
        <v>545278.17169867095</v>
      </c>
      <c r="I7" s="60">
        <f>'[2](C) RY#1 Therms By Block'!I9+'[2](C) RY#1 Therms By Block'!I16</f>
        <v>562993.1550805947</v>
      </c>
      <c r="J7" s="60">
        <f>'[2](C) RY#1 Therms By Block'!J9+'[2](C) RY#1 Therms By Block'!J16</f>
        <v>637502.70445425971</v>
      </c>
      <c r="K7" s="60">
        <f>'[2](C) RY#1 Therms By Block'!K9+'[2](C) RY#1 Therms By Block'!K16</f>
        <v>1056360.802713539</v>
      </c>
      <c r="L7" s="60">
        <f>'[2](C) RY#1 Therms By Block'!L9+'[2](C) RY#1 Therms By Block'!L16</f>
        <v>1438616.5006118251</v>
      </c>
      <c r="M7" s="60">
        <f>'[2](C) RY#1 Therms By Block'!M9+'[2](C) RY#1 Therms By Block'!M16</f>
        <v>1697128.8582954954</v>
      </c>
      <c r="N7" s="157">
        <f>SUM(B7:M7)</f>
        <v>13187913.90979786</v>
      </c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2" x14ac:dyDescent="0.2">
      <c r="A8" s="31" t="s">
        <v>85</v>
      </c>
      <c r="B8" s="60">
        <f>'[2](C) RY#1 Therms By Block'!B10+'[2](C) RY#1 Therms By Block'!B17</f>
        <v>3545890.4365746896</v>
      </c>
      <c r="C8" s="60">
        <f>'[2](C) RY#1 Therms By Block'!C10+'[2](C) RY#1 Therms By Block'!C17</f>
        <v>3442365.2529154131</v>
      </c>
      <c r="D8" s="60">
        <f>'[2](C) RY#1 Therms By Block'!D10+'[2](C) RY#1 Therms By Block'!D17</f>
        <v>3227328.3632255173</v>
      </c>
      <c r="E8" s="60">
        <f>'[2](C) RY#1 Therms By Block'!E10+'[2](C) RY#1 Therms By Block'!E17</f>
        <v>2487608.1355463332</v>
      </c>
      <c r="F8" s="60">
        <f>'[2](C) RY#1 Therms By Block'!F10+'[2](C) RY#1 Therms By Block'!F17</f>
        <v>1936715.654512665</v>
      </c>
      <c r="G8" s="60">
        <f>'[2](C) RY#1 Therms By Block'!G10+'[2](C) RY#1 Therms By Block'!G17</f>
        <v>1567075.935682148</v>
      </c>
      <c r="H8" s="60">
        <f>'[2](C) RY#1 Therms By Block'!H10+'[2](C) RY#1 Therms By Block'!H17</f>
        <v>1239982.3912745579</v>
      </c>
      <c r="I8" s="60">
        <f>'[2](C) RY#1 Therms By Block'!I10+'[2](C) RY#1 Therms By Block'!I17</f>
        <v>1283575.7938706386</v>
      </c>
      <c r="J8" s="60">
        <f>'[2](C) RY#1 Therms By Block'!J10+'[2](C) RY#1 Therms By Block'!J17</f>
        <v>1460356.0129042612</v>
      </c>
      <c r="K8" s="60">
        <f>'[2](C) RY#1 Therms By Block'!K10+'[2](C) RY#1 Therms By Block'!K17</f>
        <v>2365180.6489693783</v>
      </c>
      <c r="L8" s="60">
        <f>'[2](C) RY#1 Therms By Block'!L10+'[2](C) RY#1 Therms By Block'!L17</f>
        <v>3225995.6912792996</v>
      </c>
      <c r="M8" s="60">
        <f>'[2](C) RY#1 Therms By Block'!M10+'[2](C) RY#1 Therms By Block'!M17</f>
        <v>3788747.6337092714</v>
      </c>
      <c r="N8" s="157">
        <f t="shared" ref="N8:N9" si="1">SUM(B8:M8)</f>
        <v>29570821.95046417</v>
      </c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2" x14ac:dyDescent="0.2">
      <c r="A9" s="31" t="s">
        <v>86</v>
      </c>
      <c r="B9" s="60">
        <f>'[2](C) RY#1 Therms By Block'!B11+'[2](C) RY#1 Therms By Block'!B18</f>
        <v>2771375.4647441162</v>
      </c>
      <c r="C9" s="60">
        <f>'[2](C) RY#1 Therms By Block'!C11+'[2](C) RY#1 Therms By Block'!C18</f>
        <v>2680756.797994406</v>
      </c>
      <c r="D9" s="60">
        <f>'[2](C) RY#1 Therms By Block'!D11+'[2](C) RY#1 Therms By Block'!D18</f>
        <v>2527670.7157202791</v>
      </c>
      <c r="E9" s="60">
        <f>'[2](C) RY#1 Therms By Block'!E11+'[2](C) RY#1 Therms By Block'!E18</f>
        <v>2045231.9878714434</v>
      </c>
      <c r="F9" s="60">
        <f>'[2](C) RY#1 Therms By Block'!F11+'[2](C) RY#1 Therms By Block'!F18</f>
        <v>1625844.0166945257</v>
      </c>
      <c r="G9" s="60">
        <f>'[2](C) RY#1 Therms By Block'!G11+'[2](C) RY#1 Therms By Block'!G18</f>
        <v>1362624.5215749871</v>
      </c>
      <c r="H9" s="60">
        <f>'[2](C) RY#1 Therms By Block'!H11+'[2](C) RY#1 Therms By Block'!H18</f>
        <v>1093794.4370267713</v>
      </c>
      <c r="I9" s="60">
        <f>'[2](C) RY#1 Therms By Block'!I11+'[2](C) RY#1 Therms By Block'!I18</f>
        <v>1147415.0510487666</v>
      </c>
      <c r="J9" s="60">
        <f>'[2](C) RY#1 Therms By Block'!J11+'[2](C) RY#1 Therms By Block'!J18</f>
        <v>1337010.2826414788</v>
      </c>
      <c r="K9" s="60">
        <f>'[2](C) RY#1 Therms By Block'!K11+'[2](C) RY#1 Therms By Block'!K18</f>
        <v>1916641.5483170827</v>
      </c>
      <c r="L9" s="60">
        <f>'[2](C) RY#1 Therms By Block'!L11+'[2](C) RY#1 Therms By Block'!L18</f>
        <v>2637246.8081088751</v>
      </c>
      <c r="M9" s="60">
        <f>'[2](C) RY#1 Therms By Block'!M11+'[2](C) RY#1 Therms By Block'!M18</f>
        <v>3018537.5079952334</v>
      </c>
      <c r="N9" s="157">
        <f t="shared" si="1"/>
        <v>24164149.139737964</v>
      </c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</row>
    <row r="10" spans="1:42" x14ac:dyDescent="0.2">
      <c r="A10" s="31" t="s">
        <v>6</v>
      </c>
      <c r="B10" s="160">
        <f>SUM(B7:B9)</f>
        <v>7910759</v>
      </c>
      <c r="C10" s="160">
        <f t="shared" ref="C10:N10" si="2">SUM(C7:C9)</f>
        <v>7671023</v>
      </c>
      <c r="D10" s="160">
        <f t="shared" si="2"/>
        <v>7204827</v>
      </c>
      <c r="E10" s="160">
        <f t="shared" si="2"/>
        <v>5641062</v>
      </c>
      <c r="F10" s="160">
        <f t="shared" si="2"/>
        <v>4422143</v>
      </c>
      <c r="G10" s="160">
        <f t="shared" si="2"/>
        <v>3620707</v>
      </c>
      <c r="H10" s="160">
        <f t="shared" si="2"/>
        <v>2879055</v>
      </c>
      <c r="I10" s="160">
        <f t="shared" si="2"/>
        <v>2993984</v>
      </c>
      <c r="J10" s="160">
        <f t="shared" si="2"/>
        <v>3434869</v>
      </c>
      <c r="K10" s="160">
        <f t="shared" si="2"/>
        <v>5338183</v>
      </c>
      <c r="L10" s="160">
        <f t="shared" si="2"/>
        <v>7301859</v>
      </c>
      <c r="M10" s="160">
        <f t="shared" si="2"/>
        <v>8504414</v>
      </c>
      <c r="N10" s="160">
        <f t="shared" si="2"/>
        <v>66922884.999999993</v>
      </c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</row>
    <row r="11" spans="1:42" x14ac:dyDescent="0.2">
      <c r="A11" s="31"/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</row>
    <row r="12" spans="1:42" x14ac:dyDescent="0.2">
      <c r="A12" s="32" t="s">
        <v>35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</row>
    <row r="13" spans="1:42" x14ac:dyDescent="0.2">
      <c r="A13" s="31" t="s">
        <v>84</v>
      </c>
      <c r="B13" s="60">
        <f>'[2](C) RY#1 Therms By Block'!B23+'[2](C) RY#1 Therms By Block'!B30</f>
        <v>118483.61208719983</v>
      </c>
      <c r="C13" s="60">
        <f>'[2](C) RY#1 Therms By Block'!C23+'[2](C) RY#1 Therms By Block'!C30</f>
        <v>128805.61005611517</v>
      </c>
      <c r="D13" s="60">
        <f>'[2](C) RY#1 Therms By Block'!D23+'[2](C) RY#1 Therms By Block'!D30</f>
        <v>111436.97273034148</v>
      </c>
      <c r="E13" s="60">
        <f>'[2](C) RY#1 Therms By Block'!E23+'[2](C) RY#1 Therms By Block'!E30</f>
        <v>124477.07025659822</v>
      </c>
      <c r="F13" s="60">
        <f>'[2](C) RY#1 Therms By Block'!F23+'[2](C) RY#1 Therms By Block'!F30</f>
        <v>116080.79581877725</v>
      </c>
      <c r="G13" s="60">
        <f>'[2](C) RY#1 Therms By Block'!G23+'[2](C) RY#1 Therms By Block'!G30</f>
        <v>121702.99909095223</v>
      </c>
      <c r="H13" s="60">
        <f>'[2](C) RY#1 Therms By Block'!H23+'[2](C) RY#1 Therms By Block'!H30</f>
        <v>110147.72299327231</v>
      </c>
      <c r="I13" s="60">
        <f>'[2](C) RY#1 Therms By Block'!I23+'[2](C) RY#1 Therms By Block'!I30</f>
        <v>113844.94436544576</v>
      </c>
      <c r="J13" s="60">
        <f>'[2](C) RY#1 Therms By Block'!J23+'[2](C) RY#1 Therms By Block'!J30</f>
        <v>111313.54647594923</v>
      </c>
      <c r="K13" s="60">
        <f>'[2](C) RY#1 Therms By Block'!K23+'[2](C) RY#1 Therms By Block'!K30</f>
        <v>112649.27316132742</v>
      </c>
      <c r="L13" s="60">
        <f>'[2](C) RY#1 Therms By Block'!L23+'[2](C) RY#1 Therms By Block'!L30</f>
        <v>129569.95064916811</v>
      </c>
      <c r="M13" s="60">
        <f>'[2](C) RY#1 Therms By Block'!M23+'[2](C) RY#1 Therms By Block'!M30</f>
        <v>127404.87185824921</v>
      </c>
      <c r="N13" s="157">
        <f>SUM(B13:M13)</f>
        <v>1425917.3695433964</v>
      </c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</row>
    <row r="14" spans="1:42" x14ac:dyDescent="0.2">
      <c r="A14" s="31" t="s">
        <v>85</v>
      </c>
      <c r="B14" s="60">
        <f>'[2](C) RY#1 Therms By Block'!B24+'[2](C) RY#1 Therms By Block'!B31</f>
        <v>432259.28903354035</v>
      </c>
      <c r="C14" s="60">
        <f>'[2](C) RY#1 Therms By Block'!C24+'[2](C) RY#1 Therms By Block'!C31</f>
        <v>472181.47351725976</v>
      </c>
      <c r="D14" s="60">
        <f>'[2](C) RY#1 Therms By Block'!D24+'[2](C) RY#1 Therms By Block'!D31</f>
        <v>405563.59070255235</v>
      </c>
      <c r="E14" s="60">
        <f>'[2](C) RY#1 Therms By Block'!E24+'[2](C) RY#1 Therms By Block'!E31</f>
        <v>453783.45187649509</v>
      </c>
      <c r="F14" s="60">
        <f>'[2](C) RY#1 Therms By Block'!F24+'[2](C) RY#1 Therms By Block'!F31</f>
        <v>423184.93374078412</v>
      </c>
      <c r="G14" s="60">
        <f>'[2](C) RY#1 Therms By Block'!G24+'[2](C) RY#1 Therms By Block'!G31</f>
        <v>444648.71604321955</v>
      </c>
      <c r="H14" s="60">
        <f>'[2](C) RY#1 Therms By Block'!H24+'[2](C) RY#1 Therms By Block'!H31</f>
        <v>403053.01313639467</v>
      </c>
      <c r="I14" s="60">
        <f>'[2](C) RY#1 Therms By Block'!I24+'[2](C) RY#1 Therms By Block'!I31</f>
        <v>415305.85017285682</v>
      </c>
      <c r="J14" s="60">
        <f>'[2](C) RY#1 Therms By Block'!J24+'[2](C) RY#1 Therms By Block'!J31</f>
        <v>405185.88063522079</v>
      </c>
      <c r="K14" s="60">
        <f>'[2](C) RY#1 Therms By Block'!K24+'[2](C) RY#1 Therms By Block'!K31</f>
        <v>411108.23174002295</v>
      </c>
      <c r="L14" s="60">
        <f>'[2](C) RY#1 Therms By Block'!L24+'[2](C) RY#1 Therms By Block'!L31</f>
        <v>472010.20276502514</v>
      </c>
      <c r="M14" s="60">
        <f>'[2](C) RY#1 Therms By Block'!M24+'[2](C) RY#1 Therms By Block'!M31</f>
        <v>462907.87893727433</v>
      </c>
      <c r="N14" s="157">
        <f t="shared" ref="N14:N15" si="3">SUM(B14:M14)</f>
        <v>5201192.5123006459</v>
      </c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</row>
    <row r="15" spans="1:42" x14ac:dyDescent="0.2">
      <c r="A15" s="31" t="s">
        <v>86</v>
      </c>
      <c r="B15" s="60">
        <f>'[2](C) RY#1 Therms By Block'!B25+'[2](C) RY#1 Therms By Block'!B32</f>
        <v>1566213.0988792595</v>
      </c>
      <c r="C15" s="60">
        <f>'[2](C) RY#1 Therms By Block'!C25+'[2](C) RY#1 Therms By Block'!C32</f>
        <v>1730793.9164266251</v>
      </c>
      <c r="D15" s="60">
        <f>'[2](C) RY#1 Therms By Block'!D25+'[2](C) RY#1 Therms By Block'!D32</f>
        <v>1460794.4365671063</v>
      </c>
      <c r="E15" s="60">
        <f>'[2](C) RY#1 Therms By Block'!E25+'[2](C) RY#1 Therms By Block'!E32</f>
        <v>1641196.4778669067</v>
      </c>
      <c r="F15" s="60">
        <f>'[2](C) RY#1 Therms By Block'!F25+'[2](C) RY#1 Therms By Block'!F32</f>
        <v>1530621.2704404385</v>
      </c>
      <c r="G15" s="60">
        <f>'[2](C) RY#1 Therms By Block'!G25+'[2](C) RY#1 Therms By Block'!G32</f>
        <v>1616773.2848658282</v>
      </c>
      <c r="H15" s="60">
        <f>'[2](C) RY#1 Therms By Block'!H25+'[2](C) RY#1 Therms By Block'!H32</f>
        <v>1470995.2638703331</v>
      </c>
      <c r="I15" s="60">
        <f>'[2](C) RY#1 Therms By Block'!I25+'[2](C) RY#1 Therms By Block'!I32</f>
        <v>1504518.2054616972</v>
      </c>
      <c r="J15" s="60">
        <f>'[2](C) RY#1 Therms By Block'!J25+'[2](C) RY#1 Therms By Block'!J32</f>
        <v>1460064.57288883</v>
      </c>
      <c r="K15" s="60">
        <f>'[2](C) RY#1 Therms By Block'!K25+'[2](C) RY#1 Therms By Block'!K32</f>
        <v>1490756.4950986495</v>
      </c>
      <c r="L15" s="60">
        <f>'[2](C) RY#1 Therms By Block'!L25+'[2](C) RY#1 Therms By Block'!L32</f>
        <v>1704127.8465858065</v>
      </c>
      <c r="M15" s="60">
        <f>'[2](C) RY#1 Therms By Block'!M25+'[2](C) RY#1 Therms By Block'!M32</f>
        <v>1660556.2492044764</v>
      </c>
      <c r="N15" s="157">
        <f t="shared" si="3"/>
        <v>18837411.118155956</v>
      </c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</row>
    <row r="16" spans="1:42" x14ac:dyDescent="0.2">
      <c r="A16" s="31" t="s">
        <v>6</v>
      </c>
      <c r="B16" s="161">
        <f>SUM(B13:B15)</f>
        <v>2116956</v>
      </c>
      <c r="C16" s="161">
        <f t="shared" ref="C16:N16" si="4">SUM(C13:C15)</f>
        <v>2331781</v>
      </c>
      <c r="D16" s="161">
        <f t="shared" si="4"/>
        <v>1977795</v>
      </c>
      <c r="E16" s="161">
        <f t="shared" si="4"/>
        <v>2219457</v>
      </c>
      <c r="F16" s="161">
        <f t="shared" si="4"/>
        <v>2069887</v>
      </c>
      <c r="G16" s="161">
        <f t="shared" si="4"/>
        <v>2183125</v>
      </c>
      <c r="H16" s="161">
        <f t="shared" si="4"/>
        <v>1984196</v>
      </c>
      <c r="I16" s="161">
        <f t="shared" si="4"/>
        <v>2033668.9999999998</v>
      </c>
      <c r="J16" s="161">
        <f t="shared" si="4"/>
        <v>1976564</v>
      </c>
      <c r="K16" s="161">
        <f t="shared" si="4"/>
        <v>2014514</v>
      </c>
      <c r="L16" s="161">
        <f t="shared" si="4"/>
        <v>2305708</v>
      </c>
      <c r="M16" s="161">
        <f t="shared" si="4"/>
        <v>2250869</v>
      </c>
      <c r="N16" s="161">
        <f t="shared" si="4"/>
        <v>25464521</v>
      </c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</row>
    <row r="17" spans="1:42" x14ac:dyDescent="0.2"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</row>
    <row r="18" spans="1:42" x14ac:dyDescent="0.2">
      <c r="A18" s="69" t="s">
        <v>92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</row>
    <row r="19" spans="1:42" x14ac:dyDescent="0.2">
      <c r="A19" s="31" t="s">
        <v>62</v>
      </c>
      <c r="B19" s="60">
        <f>'[2](C) RY#1 Therms By Block'!B37+'[2](C) RY#1 Therms By Block'!B44</f>
        <v>504477.99979318987</v>
      </c>
      <c r="C19" s="60">
        <f>'[2](C) RY#1 Therms By Block'!C37+'[2](C) RY#1 Therms By Block'!C44</f>
        <v>498021.93146353326</v>
      </c>
      <c r="D19" s="60">
        <f>'[2](C) RY#1 Therms By Block'!D37+'[2](C) RY#1 Therms By Block'!D44</f>
        <v>457032.46703455306</v>
      </c>
      <c r="E19" s="60">
        <f>'[2](C) RY#1 Therms By Block'!E37+'[2](C) RY#1 Therms By Block'!E44</f>
        <v>367218.16471021628</v>
      </c>
      <c r="F19" s="60">
        <f>'[2](C) RY#1 Therms By Block'!F37+'[2](C) RY#1 Therms By Block'!F44</f>
        <v>341372.10595498682</v>
      </c>
      <c r="G19" s="60">
        <f>'[2](C) RY#1 Therms By Block'!G37+'[2](C) RY#1 Therms By Block'!G44</f>
        <v>267173.19752332545</v>
      </c>
      <c r="H19" s="60">
        <f>'[2](C) RY#1 Therms By Block'!H37+'[2](C) RY#1 Therms By Block'!H44</f>
        <v>252220.4305807233</v>
      </c>
      <c r="I19" s="60">
        <f>'[2](C) RY#1 Therms By Block'!I37+'[2](C) RY#1 Therms By Block'!I44</f>
        <v>276625.2416263682</v>
      </c>
      <c r="J19" s="60">
        <f>'[2](C) RY#1 Therms By Block'!J37+'[2](C) RY#1 Therms By Block'!J44</f>
        <v>277790.99060515512</v>
      </c>
      <c r="K19" s="60">
        <f>'[2](C) RY#1 Therms By Block'!K37+'[2](C) RY#1 Therms By Block'!K44</f>
        <v>396920.87707043241</v>
      </c>
      <c r="L19" s="60">
        <f>'[2](C) RY#1 Therms By Block'!L37+'[2](C) RY#1 Therms By Block'!L44</f>
        <v>455128.60247178382</v>
      </c>
      <c r="M19" s="60">
        <f>'[2](C) RY#1 Therms By Block'!M37+'[2](C) RY#1 Therms By Block'!M44</f>
        <v>580944.69743068749</v>
      </c>
      <c r="N19" s="157">
        <f>SUM(B19:M19)</f>
        <v>4674926.706264955</v>
      </c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</row>
    <row r="20" spans="1:42" x14ac:dyDescent="0.2">
      <c r="A20" s="31" t="s">
        <v>63</v>
      </c>
      <c r="B20" s="60">
        <f>'[2](C) RY#1 Therms By Block'!B38+'[2](C) RY#1 Therms By Block'!B45</f>
        <v>278639.52481218305</v>
      </c>
      <c r="C20" s="60">
        <f>'[2](C) RY#1 Therms By Block'!C38+'[2](C) RY#1 Therms By Block'!C45</f>
        <v>273533.57699785422</v>
      </c>
      <c r="D20" s="60">
        <f>'[2](C) RY#1 Therms By Block'!D38+'[2](C) RY#1 Therms By Block'!D45</f>
        <v>250979.40697616147</v>
      </c>
      <c r="E20" s="60">
        <f>'[2](C) RY#1 Therms By Block'!E38+'[2](C) RY#1 Therms By Block'!E45</f>
        <v>202313.36281928842</v>
      </c>
      <c r="F20" s="60">
        <f>'[2](C) RY#1 Therms By Block'!F38+'[2](C) RY#1 Therms By Block'!F45</f>
        <v>188887.37900455788</v>
      </c>
      <c r="G20" s="60">
        <f>'[2](C) RY#1 Therms By Block'!G38+'[2](C) RY#1 Therms By Block'!G45</f>
        <v>146227.22905121124</v>
      </c>
      <c r="H20" s="60">
        <f>'[2](C) RY#1 Therms By Block'!H38+'[2](C) RY#1 Therms By Block'!H45</f>
        <v>137909.27496087668</v>
      </c>
      <c r="I20" s="60">
        <f>'[2](C) RY#1 Therms By Block'!I38+'[2](C) RY#1 Therms By Block'!I45</f>
        <v>151726.69483449715</v>
      </c>
      <c r="J20" s="60">
        <f>'[2](C) RY#1 Therms By Block'!J38+'[2](C) RY#1 Therms By Block'!J45</f>
        <v>149818.9087630607</v>
      </c>
      <c r="K20" s="60">
        <f>'[2](C) RY#1 Therms By Block'!K38+'[2](C) RY#1 Therms By Block'!K45</f>
        <v>217063.35234074385</v>
      </c>
      <c r="L20" s="60">
        <f>'[2](C) RY#1 Therms By Block'!L38+'[2](C) RY#1 Therms By Block'!L45</f>
        <v>251167.88543472698</v>
      </c>
      <c r="M20" s="60">
        <f>'[2](C) RY#1 Therms By Block'!M38+'[2](C) RY#1 Therms By Block'!M45</f>
        <v>321471.85126410599</v>
      </c>
      <c r="N20" s="157">
        <f t="shared" ref="N20:N21" si="5">SUM(B20:M20)</f>
        <v>2569738.4472592678</v>
      </c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</row>
    <row r="21" spans="1:42" x14ac:dyDescent="0.2">
      <c r="A21" s="31" t="s">
        <v>87</v>
      </c>
      <c r="B21" s="60">
        <f>'[2](C) RY#1 Therms By Block'!B39+'[2](C) RY#1 Therms By Block'!B46</f>
        <v>415013.47539462708</v>
      </c>
      <c r="C21" s="60">
        <f>'[2](C) RY#1 Therms By Block'!C39+'[2](C) RY#1 Therms By Block'!C46</f>
        <v>413946.49153861258</v>
      </c>
      <c r="D21" s="60">
        <f>'[2](C) RY#1 Therms By Block'!D39+'[2](C) RY#1 Therms By Block'!D46</f>
        <v>379990.12598928559</v>
      </c>
      <c r="E21" s="60">
        <f>'[2](C) RY#1 Therms By Block'!E39+'[2](C) RY#1 Therms By Block'!E46</f>
        <v>303509.47247049533</v>
      </c>
      <c r="F21" s="60">
        <f>'[2](C) RY#1 Therms By Block'!F39+'[2](C) RY#1 Therms By Block'!F46</f>
        <v>279905.51504045539</v>
      </c>
      <c r="G21" s="60">
        <f>'[2](C) RY#1 Therms By Block'!G39+'[2](C) RY#1 Therms By Block'!G46</f>
        <v>223488.57342546331</v>
      </c>
      <c r="H21" s="60">
        <f>'[2](C) RY#1 Therms By Block'!H39+'[2](C) RY#1 Therms By Block'!H46</f>
        <v>211350.29445840005</v>
      </c>
      <c r="I21" s="60">
        <f>'[2](C) RY#1 Therms By Block'!I39+'[2](C) RY#1 Therms By Block'!I46</f>
        <v>230496.06353913469</v>
      </c>
      <c r="J21" s="60">
        <f>'[2](C) RY#1 Therms By Block'!J39+'[2](C) RY#1 Therms By Block'!J46</f>
        <v>238487.10063178424</v>
      </c>
      <c r="K21" s="60">
        <f>'[2](C) RY#1 Therms By Block'!K39+'[2](C) RY#1 Therms By Block'!K46</f>
        <v>332507.77058882377</v>
      </c>
      <c r="L21" s="60">
        <f>'[2](C) RY#1 Therms By Block'!L39+'[2](C) RY#1 Therms By Block'!L46</f>
        <v>375006.51209348929</v>
      </c>
      <c r="M21" s="60">
        <f>'[2](C) RY#1 Therms By Block'!M39+'[2](C) RY#1 Therms By Block'!M46</f>
        <v>476273.45130520646</v>
      </c>
      <c r="N21" s="157">
        <f t="shared" si="5"/>
        <v>3879974.8464757777</v>
      </c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</row>
    <row r="22" spans="1:42" x14ac:dyDescent="0.2">
      <c r="A22" s="31" t="s">
        <v>6</v>
      </c>
      <c r="B22" s="161">
        <f>SUM(B19:B21)</f>
        <v>1198131</v>
      </c>
      <c r="C22" s="161">
        <f t="shared" ref="C22:N22" si="6">SUM(C19:C21)</f>
        <v>1185502</v>
      </c>
      <c r="D22" s="161">
        <f t="shared" si="6"/>
        <v>1088002</v>
      </c>
      <c r="E22" s="161">
        <f t="shared" si="6"/>
        <v>873041</v>
      </c>
      <c r="F22" s="161">
        <f t="shared" si="6"/>
        <v>810165.00000000012</v>
      </c>
      <c r="G22" s="161">
        <f t="shared" si="6"/>
        <v>636889</v>
      </c>
      <c r="H22" s="161">
        <f t="shared" si="6"/>
        <v>601480</v>
      </c>
      <c r="I22" s="161">
        <f t="shared" si="6"/>
        <v>658848</v>
      </c>
      <c r="J22" s="161">
        <f t="shared" si="6"/>
        <v>666097</v>
      </c>
      <c r="K22" s="161">
        <f t="shared" si="6"/>
        <v>946492</v>
      </c>
      <c r="L22" s="161">
        <f t="shared" si="6"/>
        <v>1081303</v>
      </c>
      <c r="M22" s="161">
        <f t="shared" si="6"/>
        <v>1378690</v>
      </c>
      <c r="N22" s="161">
        <f t="shared" si="6"/>
        <v>11124640</v>
      </c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</row>
    <row r="23" spans="1:42" x14ac:dyDescent="0.2"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</row>
    <row r="24" spans="1:42" x14ac:dyDescent="0.2">
      <c r="A24" s="32" t="s">
        <v>37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</row>
    <row r="25" spans="1:42" x14ac:dyDescent="0.2">
      <c r="A25" s="31" t="s">
        <v>62</v>
      </c>
      <c r="B25" s="60">
        <f>'[2](C) RY#1 Therms By Block'!B51+'[2](C) RY#1 Therms By Block'!B58</f>
        <v>1793341.9750476335</v>
      </c>
      <c r="C25" s="60">
        <f>'[2](C) RY#1 Therms By Block'!C51+'[2](C) RY#1 Therms By Block'!C58</f>
        <v>2196836.0008927863</v>
      </c>
      <c r="D25" s="60">
        <f>'[2](C) RY#1 Therms By Block'!D51+'[2](C) RY#1 Therms By Block'!D58</f>
        <v>1762059.5471579651</v>
      </c>
      <c r="E25" s="60">
        <f>'[2](C) RY#1 Therms By Block'!E51+'[2](C) RY#1 Therms By Block'!E58</f>
        <v>1958706.0689102882</v>
      </c>
      <c r="F25" s="60">
        <f>'[2](C) RY#1 Therms By Block'!F51+'[2](C) RY#1 Therms By Block'!F58</f>
        <v>1743767.2095471465</v>
      </c>
      <c r="G25" s="60">
        <f>'[2](C) RY#1 Therms By Block'!G51+'[2](C) RY#1 Therms By Block'!G58</f>
        <v>1853083.1792233223</v>
      </c>
      <c r="H25" s="60">
        <f>'[2](C) RY#1 Therms By Block'!H51+'[2](C) RY#1 Therms By Block'!H58</f>
        <v>1698928.1688433504</v>
      </c>
      <c r="I25" s="60">
        <f>'[2](C) RY#1 Therms By Block'!I51+'[2](C) RY#1 Therms By Block'!I58</f>
        <v>1698142.8898926927</v>
      </c>
      <c r="J25" s="60">
        <f>'[2](C) RY#1 Therms By Block'!J51+'[2](C) RY#1 Therms By Block'!J58</f>
        <v>1711333.8810047414</v>
      </c>
      <c r="K25" s="60">
        <f>'[2](C) RY#1 Therms By Block'!K51+'[2](C) RY#1 Therms By Block'!K58</f>
        <v>1881488.3864072943</v>
      </c>
      <c r="L25" s="60">
        <f>'[2](C) RY#1 Therms By Block'!L51+'[2](C) RY#1 Therms By Block'!L58</f>
        <v>2048220.9164091852</v>
      </c>
      <c r="M25" s="60">
        <f>'[2](C) RY#1 Therms By Block'!M51+'[2](C) RY#1 Therms By Block'!M58</f>
        <v>1946959.9917831239</v>
      </c>
      <c r="N25" s="157">
        <f>SUM(B25:M25)</f>
        <v>22292868.21511953</v>
      </c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</row>
    <row r="26" spans="1:42" x14ac:dyDescent="0.2">
      <c r="A26" s="31" t="s">
        <v>63</v>
      </c>
      <c r="B26" s="60">
        <f>'[2](C) RY#1 Therms By Block'!B52+'[2](C) RY#1 Therms By Block'!B59</f>
        <v>1267369.795486171</v>
      </c>
      <c r="C26" s="60">
        <f>'[2](C) RY#1 Therms By Block'!C52+'[2](C) RY#1 Therms By Block'!C59</f>
        <v>1561217.1639275884</v>
      </c>
      <c r="D26" s="60">
        <f>'[2](C) RY#1 Therms By Block'!D52+'[2](C) RY#1 Therms By Block'!D59</f>
        <v>1244078.5766888275</v>
      </c>
      <c r="E26" s="60">
        <f>'[2](C) RY#1 Therms By Block'!E52+'[2](C) RY#1 Therms By Block'!E59</f>
        <v>1388099.2046027416</v>
      </c>
      <c r="F26" s="60">
        <f>'[2](C) RY#1 Therms By Block'!F52+'[2](C) RY#1 Therms By Block'!F59</f>
        <v>1236698.8762101512</v>
      </c>
      <c r="G26" s="60">
        <f>'[2](C) RY#1 Therms By Block'!G52+'[2](C) RY#1 Therms By Block'!G59</f>
        <v>1317773.6648827272</v>
      </c>
      <c r="H26" s="60">
        <f>'[2](C) RY#1 Therms By Block'!H52+'[2](C) RY#1 Therms By Block'!H59</f>
        <v>1210001.4752330843</v>
      </c>
      <c r="I26" s="60">
        <f>'[2](C) RY#1 Therms By Block'!I52+'[2](C) RY#1 Therms By Block'!I59</f>
        <v>1208464.3880883255</v>
      </c>
      <c r="J26" s="60">
        <f>'[2](C) RY#1 Therms By Block'!J52+'[2](C) RY#1 Therms By Block'!J59</f>
        <v>1218404.1119401827</v>
      </c>
      <c r="K26" s="60">
        <f>'[2](C) RY#1 Therms By Block'!K52+'[2](C) RY#1 Therms By Block'!K59</f>
        <v>1338614.7758786408</v>
      </c>
      <c r="L26" s="60">
        <f>'[2](C) RY#1 Therms By Block'!L52+'[2](C) RY#1 Therms By Block'!L59</f>
        <v>1451980.9504171037</v>
      </c>
      <c r="M26" s="60">
        <f>'[2](C) RY#1 Therms By Block'!M52+'[2](C) RY#1 Therms By Block'!M59</f>
        <v>1378066.956366325</v>
      </c>
      <c r="N26" s="157">
        <f t="shared" ref="N26:N27" si="7">SUM(B26:M26)</f>
        <v>15820769.939721867</v>
      </c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</row>
    <row r="27" spans="1:42" x14ac:dyDescent="0.2">
      <c r="A27" s="31" t="s">
        <v>87</v>
      </c>
      <c r="B27" s="60">
        <f>'[2](C) RY#1 Therms By Block'!B53+'[2](C) RY#1 Therms By Block'!B60</f>
        <v>1955729.2294661952</v>
      </c>
      <c r="C27" s="60">
        <f>'[2](C) RY#1 Therms By Block'!C53+'[2](C) RY#1 Therms By Block'!C60</f>
        <v>2443346.8351796251</v>
      </c>
      <c r="D27" s="60">
        <f>'[2](C) RY#1 Therms By Block'!D53+'[2](C) RY#1 Therms By Block'!D60</f>
        <v>1915135.8761532074</v>
      </c>
      <c r="E27" s="60">
        <f>'[2](C) RY#1 Therms By Block'!E53+'[2](C) RY#1 Therms By Block'!E60</f>
        <v>2157221.7264869702</v>
      </c>
      <c r="F27" s="60">
        <f>'[2](C) RY#1 Therms By Block'!F53+'[2](C) RY#1 Therms By Block'!F60</f>
        <v>1925549.9142427021</v>
      </c>
      <c r="G27" s="60">
        <f>'[2](C) RY#1 Therms By Block'!G53+'[2](C) RY#1 Therms By Block'!G60</f>
        <v>2065673.1558939505</v>
      </c>
      <c r="H27" s="60">
        <f>'[2](C) RY#1 Therms By Block'!H53+'[2](C) RY#1 Therms By Block'!H60</f>
        <v>1903965.3559235656</v>
      </c>
      <c r="I27" s="60">
        <f>'[2](C) RY#1 Therms By Block'!I53+'[2](C) RY#1 Therms By Block'!I60</f>
        <v>1897733.7220189818</v>
      </c>
      <c r="J27" s="60">
        <f>'[2](C) RY#1 Therms By Block'!J53+'[2](C) RY#1 Therms By Block'!J60</f>
        <v>1915499.0070550761</v>
      </c>
      <c r="K27" s="60">
        <f>'[2](C) RY#1 Therms By Block'!K53+'[2](C) RY#1 Therms By Block'!K60</f>
        <v>2100847.8377140644</v>
      </c>
      <c r="L27" s="60">
        <f>'[2](C) RY#1 Therms By Block'!L53+'[2](C) RY#1 Therms By Block'!L60</f>
        <v>2258240.1331737111</v>
      </c>
      <c r="M27" s="60">
        <f>'[2](C) RY#1 Therms By Block'!M53+'[2](C) RY#1 Therms By Block'!M60</f>
        <v>2134937.0518505513</v>
      </c>
      <c r="N27" s="157">
        <f t="shared" si="7"/>
        <v>24673879.845158599</v>
      </c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</row>
    <row r="28" spans="1:42" x14ac:dyDescent="0.2">
      <c r="A28" s="31" t="s">
        <v>6</v>
      </c>
      <c r="B28" s="161">
        <f>SUM(B25:B27)</f>
        <v>5016441</v>
      </c>
      <c r="C28" s="161">
        <f t="shared" ref="C28:N28" si="8">SUM(C25:C27)</f>
        <v>6201400</v>
      </c>
      <c r="D28" s="161">
        <f t="shared" si="8"/>
        <v>4921274</v>
      </c>
      <c r="E28" s="161">
        <f t="shared" si="8"/>
        <v>5504027</v>
      </c>
      <c r="F28" s="161">
        <f t="shared" si="8"/>
        <v>4906016</v>
      </c>
      <c r="G28" s="161">
        <f t="shared" si="8"/>
        <v>5236530</v>
      </c>
      <c r="H28" s="161">
        <f t="shared" si="8"/>
        <v>4812895</v>
      </c>
      <c r="I28" s="161">
        <f t="shared" si="8"/>
        <v>4804341</v>
      </c>
      <c r="J28" s="161">
        <f t="shared" si="8"/>
        <v>4845237</v>
      </c>
      <c r="K28" s="161">
        <f t="shared" si="8"/>
        <v>5320951</v>
      </c>
      <c r="L28" s="161">
        <f t="shared" si="8"/>
        <v>5758442</v>
      </c>
      <c r="M28" s="161">
        <f t="shared" si="8"/>
        <v>5459964</v>
      </c>
      <c r="N28" s="161">
        <f t="shared" si="8"/>
        <v>62787517.999999993</v>
      </c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</row>
    <row r="29" spans="1:42" x14ac:dyDescent="0.2"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</row>
    <row r="30" spans="1:42" x14ac:dyDescent="0.2">
      <c r="A30" s="32" t="s">
        <v>93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</row>
    <row r="31" spans="1:42" x14ac:dyDescent="0.2">
      <c r="A31" s="31" t="s">
        <v>65</v>
      </c>
      <c r="B31" s="60">
        <f>'[2](C) RY#1 Therms By Block'!B65+'[2](C) RY#1 Therms By Block'!B71</f>
        <v>139412.89831409315</v>
      </c>
      <c r="C31" s="60">
        <f>'[2](C) RY#1 Therms By Block'!C65+'[2](C) RY#1 Therms By Block'!C71</f>
        <v>137449.91486354294</v>
      </c>
      <c r="D31" s="60">
        <f>'[2](C) RY#1 Therms By Block'!D65+'[2](C) RY#1 Therms By Block'!D71</f>
        <v>129028.77839066423</v>
      </c>
      <c r="E31" s="60">
        <f>'[2](C) RY#1 Therms By Block'!E65+'[2](C) RY#1 Therms By Block'!E71</f>
        <v>89829.22190692203</v>
      </c>
      <c r="F31" s="60">
        <f>'[2](C) RY#1 Therms By Block'!F65+'[2](C) RY#1 Therms By Block'!F71</f>
        <v>76883.551248793825</v>
      </c>
      <c r="G31" s="60">
        <f>'[2](C) RY#1 Therms By Block'!G65+'[2](C) RY#1 Therms By Block'!G71</f>
        <v>47499.370265755184</v>
      </c>
      <c r="H31" s="60">
        <f>'[2](C) RY#1 Therms By Block'!H65+'[2](C) RY#1 Therms By Block'!H71</f>
        <v>34401.840861486402</v>
      </c>
      <c r="I31" s="60">
        <f>'[2](C) RY#1 Therms By Block'!I65+'[2](C) RY#1 Therms By Block'!I71</f>
        <v>28067.893473440243</v>
      </c>
      <c r="J31" s="60">
        <f>'[2](C) RY#1 Therms By Block'!J65+'[2](C) RY#1 Therms By Block'!J71</f>
        <v>31336.143354507523</v>
      </c>
      <c r="K31" s="60">
        <f>'[2](C) RY#1 Therms By Block'!K65+'[2](C) RY#1 Therms By Block'!K71</f>
        <v>69993.244020810467</v>
      </c>
      <c r="L31" s="60">
        <f>'[2](C) RY#1 Therms By Block'!L65+'[2](C) RY#1 Therms By Block'!L71</f>
        <v>106497.19552609549</v>
      </c>
      <c r="M31" s="60">
        <f>'[2](C) RY#1 Therms By Block'!M65+'[2](C) RY#1 Therms By Block'!M71</f>
        <v>156019.96810989248</v>
      </c>
      <c r="N31" s="157">
        <f>SUM(B31:M31)</f>
        <v>1046420.020336004</v>
      </c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</row>
    <row r="32" spans="1:42" x14ac:dyDescent="0.2">
      <c r="A32" s="31" t="s">
        <v>88</v>
      </c>
      <c r="B32" s="60">
        <f>'[2](C) RY#1 Therms By Block'!B66+'[2](C) RY#1 Therms By Block'!B72</f>
        <v>619605.10168590688</v>
      </c>
      <c r="C32" s="60">
        <f>'[2](C) RY#1 Therms By Block'!C66+'[2](C) RY#1 Therms By Block'!C72</f>
        <v>610011.08513645711</v>
      </c>
      <c r="D32" s="60">
        <f>'[2](C) RY#1 Therms By Block'!D66+'[2](C) RY#1 Therms By Block'!D72</f>
        <v>572229.22160933574</v>
      </c>
      <c r="E32" s="60">
        <f>'[2](C) RY#1 Therms By Block'!E66+'[2](C) RY#1 Therms By Block'!E72</f>
        <v>398652.778093078</v>
      </c>
      <c r="F32" s="60">
        <f>'[2](C) RY#1 Therms By Block'!F66+'[2](C) RY#1 Therms By Block'!F72</f>
        <v>340976.44875120622</v>
      </c>
      <c r="G32" s="60">
        <f>'[2](C) RY#1 Therms By Block'!G66+'[2](C) RY#1 Therms By Block'!G72</f>
        <v>210465.62973424484</v>
      </c>
      <c r="H32" s="60">
        <f>'[2](C) RY#1 Therms By Block'!H66+'[2](C) RY#1 Therms By Block'!H72</f>
        <v>152507.15913851361</v>
      </c>
      <c r="I32" s="60">
        <f>'[2](C) RY#1 Therms By Block'!I66+'[2](C) RY#1 Therms By Block'!I72</f>
        <v>124311.10652655977</v>
      </c>
      <c r="J32" s="60">
        <f>'[2](C) RY#1 Therms By Block'!J66+'[2](C) RY#1 Therms By Block'!J72</f>
        <v>138665.85664549249</v>
      </c>
      <c r="K32" s="60">
        <f>'[2](C) RY#1 Therms By Block'!K66+'[2](C) RY#1 Therms By Block'!K72</f>
        <v>310244.75597918953</v>
      </c>
      <c r="L32" s="60">
        <f>'[2](C) RY#1 Therms By Block'!L66+'[2](C) RY#1 Therms By Block'!L72</f>
        <v>472917.80447390454</v>
      </c>
      <c r="M32" s="60">
        <f>'[2](C) RY#1 Therms By Block'!M66+'[2](C) RY#1 Therms By Block'!M72</f>
        <v>694483.03189010755</v>
      </c>
      <c r="N32" s="157">
        <f>SUM(B32:M32)</f>
        <v>4645069.979663996</v>
      </c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</row>
    <row r="33" spans="1:42" x14ac:dyDescent="0.2">
      <c r="A33" s="31" t="s">
        <v>6</v>
      </c>
      <c r="B33" s="160">
        <f>SUM(B31:B32)</f>
        <v>759018</v>
      </c>
      <c r="C33" s="160">
        <f t="shared" ref="C33:N33" si="9">SUM(C31:C32)</f>
        <v>747461</v>
      </c>
      <c r="D33" s="160">
        <f t="shared" si="9"/>
        <v>701258</v>
      </c>
      <c r="E33" s="160">
        <f t="shared" si="9"/>
        <v>488482</v>
      </c>
      <c r="F33" s="160">
        <f t="shared" si="9"/>
        <v>417860.00000000006</v>
      </c>
      <c r="G33" s="160">
        <f t="shared" si="9"/>
        <v>257965.00000000003</v>
      </c>
      <c r="H33" s="160">
        <f t="shared" si="9"/>
        <v>186909</v>
      </c>
      <c r="I33" s="160">
        <f t="shared" si="9"/>
        <v>152379</v>
      </c>
      <c r="J33" s="160">
        <f t="shared" si="9"/>
        <v>170002</v>
      </c>
      <c r="K33" s="160">
        <f t="shared" si="9"/>
        <v>380238</v>
      </c>
      <c r="L33" s="160">
        <f t="shared" si="9"/>
        <v>579415</v>
      </c>
      <c r="M33" s="160">
        <f t="shared" si="9"/>
        <v>850503</v>
      </c>
      <c r="N33" s="160">
        <f t="shared" si="9"/>
        <v>5691490</v>
      </c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x14ac:dyDescent="0.2"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</row>
    <row r="35" spans="1:42" x14ac:dyDescent="0.2">
      <c r="A35" s="32" t="s">
        <v>39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</row>
    <row r="36" spans="1:42" x14ac:dyDescent="0.2">
      <c r="A36" s="31" t="s">
        <v>65</v>
      </c>
      <c r="B36" s="60">
        <f>'[2](C) RY#1 Therms By Block'!B77+'[2](C) RY#1 Therms By Block'!B83</f>
        <v>4253.2836182692963</v>
      </c>
      <c r="C36" s="60">
        <f>'[2](C) RY#1 Therms By Block'!C77+'[2](C) RY#1 Therms By Block'!C83</f>
        <v>6019.2031530035983</v>
      </c>
      <c r="D36" s="60">
        <f>'[2](C) RY#1 Therms By Block'!D77+'[2](C) RY#1 Therms By Block'!D83</f>
        <v>3444.5683503290456</v>
      </c>
      <c r="E36" s="60">
        <f>'[2](C) RY#1 Therms By Block'!E77+'[2](C) RY#1 Therms By Block'!E83</f>
        <v>4426.6363520879431</v>
      </c>
      <c r="F36" s="60">
        <f>'[2](C) RY#1 Therms By Block'!F77+'[2](C) RY#1 Therms By Block'!F83</f>
        <v>4021.0900136573478</v>
      </c>
      <c r="G36" s="60">
        <f>'[2](C) RY#1 Therms By Block'!G77+'[2](C) RY#1 Therms By Block'!G83</f>
        <v>4523.317648206229</v>
      </c>
      <c r="H36" s="60">
        <f>'[2](C) RY#1 Therms By Block'!H77+'[2](C) RY#1 Therms By Block'!H83</f>
        <v>4500.7322634572856</v>
      </c>
      <c r="I36" s="60">
        <f>'[2](C) RY#1 Therms By Block'!I77+'[2](C) RY#1 Therms By Block'!I83</f>
        <v>4221.5848326567429</v>
      </c>
      <c r="J36" s="60">
        <f>'[2](C) RY#1 Therms By Block'!J77+'[2](C) RY#1 Therms By Block'!J83</f>
        <v>4302.614853378831</v>
      </c>
      <c r="K36" s="60">
        <f>'[2](C) RY#1 Therms By Block'!K77+'[2](C) RY#1 Therms By Block'!K83</f>
        <v>4173.3432433026401</v>
      </c>
      <c r="L36" s="60">
        <f>'[2](C) RY#1 Therms By Block'!L77+'[2](C) RY#1 Therms By Block'!L83</f>
        <v>4856.5511319581892</v>
      </c>
      <c r="M36" s="60">
        <f>'[2](C) RY#1 Therms By Block'!M77+'[2](C) RY#1 Therms By Block'!M83</f>
        <v>4987.4076813150086</v>
      </c>
      <c r="N36" s="157">
        <f>SUM(B36:M36)</f>
        <v>53730.333141622155</v>
      </c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</row>
    <row r="37" spans="1:42" x14ac:dyDescent="0.2">
      <c r="A37" s="31" t="s">
        <v>88</v>
      </c>
      <c r="B37" s="60">
        <f>'[2](C) RY#1 Therms By Block'!B78+'[2](C) RY#1 Therms By Block'!B84</f>
        <v>38683.716381730701</v>
      </c>
      <c r="C37" s="60">
        <f>'[2](C) RY#1 Therms By Block'!C78+'[2](C) RY#1 Therms By Block'!C84</f>
        <v>54744.796846996396</v>
      </c>
      <c r="D37" s="60">
        <f>'[2](C) RY#1 Therms By Block'!D78+'[2](C) RY#1 Therms By Block'!D84</f>
        <v>31328.431649670951</v>
      </c>
      <c r="E37" s="60">
        <f>'[2](C) RY#1 Therms By Block'!E78+'[2](C) RY#1 Therms By Block'!E84</f>
        <v>40260.363647912054</v>
      </c>
      <c r="F37" s="60">
        <f>'[2](C) RY#1 Therms By Block'!F78+'[2](C) RY#1 Therms By Block'!F84</f>
        <v>36571.909986342653</v>
      </c>
      <c r="G37" s="60">
        <f>'[2](C) RY#1 Therms By Block'!G78+'[2](C) RY#1 Therms By Block'!G84</f>
        <v>41139.682351793766</v>
      </c>
      <c r="H37" s="60">
        <f>'[2](C) RY#1 Therms By Block'!H78+'[2](C) RY#1 Therms By Block'!H84</f>
        <v>40934.267736542715</v>
      </c>
      <c r="I37" s="60">
        <f>'[2](C) RY#1 Therms By Block'!I78+'[2](C) RY#1 Therms By Block'!I84</f>
        <v>38395.415167343257</v>
      </c>
      <c r="J37" s="60">
        <f>'[2](C) RY#1 Therms By Block'!J78+'[2](C) RY#1 Therms By Block'!J84</f>
        <v>39132.385146621164</v>
      </c>
      <c r="K37" s="60">
        <f>'[2](C) RY#1 Therms By Block'!K78+'[2](C) RY#1 Therms By Block'!K84</f>
        <v>37956.656756697361</v>
      </c>
      <c r="L37" s="60">
        <f>'[2](C) RY#1 Therms By Block'!L78+'[2](C) RY#1 Therms By Block'!L84</f>
        <v>44170.448868041807</v>
      </c>
      <c r="M37" s="60">
        <f>'[2](C) RY#1 Therms By Block'!M78+'[2](C) RY#1 Therms By Block'!M84</f>
        <v>45360.59231868499</v>
      </c>
      <c r="N37" s="157">
        <f>SUM(B37:M37)</f>
        <v>488678.66685837781</v>
      </c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</row>
    <row r="38" spans="1:42" x14ac:dyDescent="0.2">
      <c r="A38" s="31" t="s">
        <v>6</v>
      </c>
      <c r="B38" s="161">
        <f>SUM(B36:B37)</f>
        <v>42937</v>
      </c>
      <c r="C38" s="161">
        <f t="shared" ref="C38:M38" si="10">SUM(C36:C37)</f>
        <v>60763.999999999993</v>
      </c>
      <c r="D38" s="161">
        <f t="shared" si="10"/>
        <v>34773</v>
      </c>
      <c r="E38" s="161">
        <f t="shared" si="10"/>
        <v>44687</v>
      </c>
      <c r="F38" s="161">
        <f t="shared" si="10"/>
        <v>40593</v>
      </c>
      <c r="G38" s="161">
        <f t="shared" si="10"/>
        <v>45662.999999999993</v>
      </c>
      <c r="H38" s="161">
        <f t="shared" si="10"/>
        <v>45435</v>
      </c>
      <c r="I38" s="161">
        <f t="shared" si="10"/>
        <v>42617</v>
      </c>
      <c r="J38" s="161">
        <f t="shared" si="10"/>
        <v>43434.999999999993</v>
      </c>
      <c r="K38" s="161">
        <f t="shared" si="10"/>
        <v>42130</v>
      </c>
      <c r="L38" s="161">
        <f t="shared" si="10"/>
        <v>49027</v>
      </c>
      <c r="M38" s="161">
        <f t="shared" si="10"/>
        <v>50348</v>
      </c>
      <c r="N38" s="161">
        <f>SUM(N36:N37)</f>
        <v>542409</v>
      </c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</row>
    <row r="39" spans="1:42" x14ac:dyDescent="0.2"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</row>
    <row r="40" spans="1:42" x14ac:dyDescent="0.2">
      <c r="A40" s="69" t="s">
        <v>94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</row>
    <row r="41" spans="1:42" x14ac:dyDescent="0.2">
      <c r="A41" s="31" t="s">
        <v>62</v>
      </c>
      <c r="B41" s="60">
        <f>'[2](C) RY#1 Therms By Block'!B89+'[2](C) RY#1 Therms By Block'!B99</f>
        <v>75000</v>
      </c>
      <c r="C41" s="60">
        <f>'[2](C) RY#1 Therms By Block'!C89+'[2](C) RY#1 Therms By Block'!C99</f>
        <v>120833</v>
      </c>
      <c r="D41" s="60">
        <f>'[2](C) RY#1 Therms By Block'!D89+'[2](C) RY#1 Therms By Block'!D99</f>
        <v>125000</v>
      </c>
      <c r="E41" s="60">
        <f>'[2](C) RY#1 Therms By Block'!E89+'[2](C) RY#1 Therms By Block'!E99</f>
        <v>150000</v>
      </c>
      <c r="F41" s="60">
        <f>'[2](C) RY#1 Therms By Block'!F89+'[2](C) RY#1 Therms By Block'!F99</f>
        <v>100000</v>
      </c>
      <c r="G41" s="60">
        <f>'[2](C) RY#1 Therms By Block'!G89+'[2](C) RY#1 Therms By Block'!G99</f>
        <v>137193</v>
      </c>
      <c r="H41" s="60">
        <f>'[2](C) RY#1 Therms By Block'!H89+'[2](C) RY#1 Therms By Block'!H99</f>
        <v>-1017125.9029999999</v>
      </c>
      <c r="I41" s="60">
        <f>'[2](C) RY#1 Therms By Block'!I89+'[2](C) RY#1 Therms By Block'!I99</f>
        <v>1292125.9029999999</v>
      </c>
      <c r="J41" s="60">
        <f>'[2](C) RY#1 Therms By Block'!J89+'[2](C) RY#1 Therms By Block'!J99</f>
        <v>97747.714000000007</v>
      </c>
      <c r="K41" s="60">
        <f>'[2](C) RY#1 Therms By Block'!K89+'[2](C) RY#1 Therms By Block'!K99</f>
        <v>152252.28599999999</v>
      </c>
      <c r="L41" s="60">
        <f>'[2](C) RY#1 Therms By Block'!L89+'[2](C) RY#1 Therms By Block'!L99</f>
        <v>125000</v>
      </c>
      <c r="M41" s="60">
        <f>'[2](C) RY#1 Therms By Block'!M89+'[2](C) RY#1 Therms By Block'!M99</f>
        <v>154167</v>
      </c>
      <c r="N41" s="157">
        <f>SUM(B41:M41)</f>
        <v>1512193</v>
      </c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</row>
    <row r="42" spans="1:42" s="52" customFormat="1" x14ac:dyDescent="0.2">
      <c r="A42" s="31" t="s">
        <v>63</v>
      </c>
      <c r="B42" s="60">
        <f>'[2](C) RY#1 Therms By Block'!B90+'[2](C) RY#1 Therms By Block'!B100</f>
        <v>75000</v>
      </c>
      <c r="C42" s="60">
        <f>'[2](C) RY#1 Therms By Block'!C90+'[2](C) RY#1 Therms By Block'!C100</f>
        <v>120834</v>
      </c>
      <c r="D42" s="60">
        <f>'[2](C) RY#1 Therms By Block'!D90+'[2](C) RY#1 Therms By Block'!D100</f>
        <v>120886.97</v>
      </c>
      <c r="E42" s="60">
        <f>'[2](C) RY#1 Therms By Block'!E90+'[2](C) RY#1 Therms By Block'!E100</f>
        <v>132928.747</v>
      </c>
      <c r="F42" s="60">
        <f>'[2](C) RY#1 Therms By Block'!F90+'[2](C) RY#1 Therms By Block'!F100</f>
        <v>81115.681000000011</v>
      </c>
      <c r="G42" s="60">
        <f>'[2](C) RY#1 Therms By Block'!G90+'[2](C) RY#1 Therms By Block'!G100</f>
        <v>125000</v>
      </c>
      <c r="H42" s="60">
        <f>'[2](C) RY#1 Therms By Block'!H90+'[2](C) RY#1 Therms By Block'!H100</f>
        <v>138263.88800000001</v>
      </c>
      <c r="I42" s="60">
        <f>'[2](C) RY#1 Therms By Block'!I90+'[2](C) RY#1 Therms By Block'!I100</f>
        <v>114769.96</v>
      </c>
      <c r="J42" s="60">
        <f>'[2](C) RY#1 Therms By Block'!J90+'[2](C) RY#1 Therms By Block'!J100</f>
        <v>75002</v>
      </c>
      <c r="K42" s="60">
        <f>'[2](C) RY#1 Therms By Block'!K90+'[2](C) RY#1 Therms By Block'!K100</f>
        <v>135048.86900000001</v>
      </c>
      <c r="L42" s="60">
        <f>'[2](C) RY#1 Therms By Block'!L90+'[2](C) RY#1 Therms By Block'!L100</f>
        <v>125000</v>
      </c>
      <c r="M42" s="60">
        <f>'[2](C) RY#1 Therms By Block'!M90+'[2](C) RY#1 Therms By Block'!M100</f>
        <v>154166</v>
      </c>
      <c r="N42" s="157">
        <f t="shared" ref="N42:N46" si="11">SUM(B42:M42)</f>
        <v>1398016.115</v>
      </c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</row>
    <row r="43" spans="1:42" x14ac:dyDescent="0.2">
      <c r="A43" s="31" t="s">
        <v>68</v>
      </c>
      <c r="B43" s="60">
        <f>'[2](C) RY#1 Therms By Block'!B91+'[2](C) RY#1 Therms By Block'!B101</f>
        <v>154138.10149999999</v>
      </c>
      <c r="C43" s="60">
        <f>'[2](C) RY#1 Therms By Block'!C91+'[2](C) RY#1 Therms By Block'!C101</f>
        <v>197476.399</v>
      </c>
      <c r="D43" s="60">
        <f>'[2](C) RY#1 Therms By Block'!D91+'[2](C) RY#1 Therms By Block'!D101</f>
        <v>200000</v>
      </c>
      <c r="E43" s="60">
        <f>'[2](C) RY#1 Therms By Block'!E91+'[2](C) RY#1 Therms By Block'!E101</f>
        <v>250000</v>
      </c>
      <c r="F43" s="60">
        <f>'[2](C) RY#1 Therms By Block'!F91+'[2](C) RY#1 Therms By Block'!F101</f>
        <v>150000</v>
      </c>
      <c r="G43" s="60">
        <f>'[2](C) RY#1 Therms By Block'!G91+'[2](C) RY#1 Therms By Block'!G101</f>
        <v>228529.04199999999</v>
      </c>
      <c r="H43" s="60">
        <f>'[2](C) RY#1 Therms By Block'!H91+'[2](C) RY#1 Therms By Block'!H101</f>
        <v>214348.38500000001</v>
      </c>
      <c r="I43" s="60">
        <f>'[2](C) RY#1 Therms By Block'!I91+'[2](C) RY#1 Therms By Block'!I101</f>
        <v>163083.65599999999</v>
      </c>
      <c r="J43" s="60">
        <f>'[2](C) RY#1 Therms By Block'!J91+'[2](C) RY#1 Therms By Block'!J101</f>
        <v>107780.40999999999</v>
      </c>
      <c r="K43" s="60">
        <f>'[2](C) RY#1 Therms By Block'!K91+'[2](C) RY#1 Therms By Block'!K101</f>
        <v>198857.35200000001</v>
      </c>
      <c r="L43" s="60">
        <f>'[2](C) RY#1 Therms By Block'!L91+'[2](C) RY#1 Therms By Block'!L101</f>
        <v>205325.61499999999</v>
      </c>
      <c r="M43" s="60">
        <f>'[2](C) RY#1 Therms By Block'!M91+'[2](C) RY#1 Therms By Block'!M101</f>
        <v>247351.13550000003</v>
      </c>
      <c r="N43" s="157">
        <f t="shared" si="11"/>
        <v>2316890.0959999999</v>
      </c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</row>
    <row r="44" spans="1:42" x14ac:dyDescent="0.2">
      <c r="A44" s="31" t="s">
        <v>69</v>
      </c>
      <c r="B44" s="60">
        <f>'[2](C) RY#1 Therms By Block'!B92+'[2](C) RY#1 Therms By Block'!B102</f>
        <v>685530.91299999994</v>
      </c>
      <c r="C44" s="60">
        <f>'[2](C) RY#1 Therms By Block'!C92+'[2](C) RY#1 Therms By Block'!C102</f>
        <v>336606.59600000002</v>
      </c>
      <c r="D44" s="60">
        <f>'[2](C) RY#1 Therms By Block'!D92+'[2](C) RY#1 Therms By Block'!D102</f>
        <v>163767.62950000004</v>
      </c>
      <c r="E44" s="60">
        <f>'[2](C) RY#1 Therms By Block'!E92+'[2](C) RY#1 Therms By Block'!E102</f>
        <v>656881.98849999998</v>
      </c>
      <c r="F44" s="60">
        <f>'[2](C) RY#1 Therms By Block'!F92+'[2](C) RY#1 Therms By Block'!F102</f>
        <v>-9849.9674999999406</v>
      </c>
      <c r="G44" s="60">
        <f>'[2](C) RY#1 Therms By Block'!G92+'[2](C) RY#1 Therms By Block'!G102</f>
        <v>168792.92300000001</v>
      </c>
      <c r="H44" s="60">
        <f>'[2](C) RY#1 Therms By Block'!H92+'[2](C) RY#1 Therms By Block'!H102</f>
        <v>103073.18949999986</v>
      </c>
      <c r="I44" s="60">
        <f>'[2](C) RY#1 Therms By Block'!I92+'[2](C) RY#1 Therms By Block'!I102</f>
        <v>3147.0750000000844</v>
      </c>
      <c r="J44" s="60">
        <f>'[2](C) RY#1 Therms By Block'!J92+'[2](C) RY#1 Therms By Block'!J102</f>
        <v>11140.85749999994</v>
      </c>
      <c r="K44" s="60">
        <f>'[2](C) RY#1 Therms By Block'!K92+'[2](C) RY#1 Therms By Block'!K102</f>
        <v>185283.242</v>
      </c>
      <c r="L44" s="60">
        <f>'[2](C) RY#1 Therms By Block'!L92+'[2](C) RY#1 Therms By Block'!L102</f>
        <v>743315.86349999998</v>
      </c>
      <c r="M44" s="60">
        <f>'[2](C) RY#1 Therms By Block'!M92+'[2](C) RY#1 Therms By Block'!M102</f>
        <v>-2433.4319999999716</v>
      </c>
      <c r="N44" s="157">
        <f t="shared" si="11"/>
        <v>3045256.878</v>
      </c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</row>
    <row r="45" spans="1:42" x14ac:dyDescent="0.2">
      <c r="A45" s="31" t="s">
        <v>70</v>
      </c>
      <c r="B45" s="60">
        <f>'[2](C) RY#1 Therms By Block'!B93+'[2](C) RY#1 Therms By Block'!B103</f>
        <v>83968.783500000107</v>
      </c>
      <c r="C45" s="60">
        <f>'[2](C) RY#1 Therms By Block'!C93+'[2](C) RY#1 Therms By Block'!C103</f>
        <v>1449621.1384999999</v>
      </c>
      <c r="D45" s="60">
        <f>'[2](C) RY#1 Therms By Block'!D93+'[2](C) RY#1 Therms By Block'!D103</f>
        <v>-762310.78599999985</v>
      </c>
      <c r="E45" s="60">
        <f>'[2](C) RY#1 Therms By Block'!E93+'[2](C) RY#1 Therms By Block'!E103</f>
        <v>353323.82349999994</v>
      </c>
      <c r="F45" s="60">
        <f>'[2](C) RY#1 Therms By Block'!F93+'[2](C) RY#1 Therms By Block'!F103</f>
        <v>246676.17650000006</v>
      </c>
      <c r="G45" s="60">
        <f>'[2](C) RY#1 Therms By Block'!G93+'[2](C) RY#1 Therms By Block'!G103</f>
        <v>300000</v>
      </c>
      <c r="H45" s="60">
        <f>'[2](C) RY#1 Therms By Block'!H93+'[2](C) RY#1 Therms By Block'!H103</f>
        <v>300000</v>
      </c>
      <c r="I45" s="60">
        <f>'[2](C) RY#1 Therms By Block'!I93+'[2](C) RY#1 Therms By Block'!I103</f>
        <v>300000</v>
      </c>
      <c r="J45" s="60">
        <f>'[2](C) RY#1 Therms By Block'!J93+'[2](C) RY#1 Therms By Block'!J103</f>
        <v>300000</v>
      </c>
      <c r="K45" s="60">
        <f>'[2](C) RY#1 Therms By Block'!K93+'[2](C) RY#1 Therms By Block'!K103</f>
        <v>300000</v>
      </c>
      <c r="L45" s="60">
        <f>'[2](C) RY#1 Therms By Block'!L93+'[2](C) RY#1 Therms By Block'!L103</f>
        <v>1132564.3785000001</v>
      </c>
      <c r="M45" s="60">
        <f>'[2](C) RY#1 Therms By Block'!M93+'[2](C) RY#1 Therms By Block'!M103</f>
        <v>-211801.31150000013</v>
      </c>
      <c r="N45" s="157">
        <f t="shared" si="11"/>
        <v>3792042.2029999997</v>
      </c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</row>
    <row r="46" spans="1:42" x14ac:dyDescent="0.2">
      <c r="A46" s="31" t="s">
        <v>89</v>
      </c>
      <c r="B46" s="60">
        <f>'[2](C) RY#1 Therms By Block'!B94+'[2](C) RY#1 Therms By Block'!B104</f>
        <v>1925013.0963750002</v>
      </c>
      <c r="C46" s="60">
        <f>'[2](C) RY#1 Therms By Block'!C94+'[2](C) RY#1 Therms By Block'!C104</f>
        <v>2395602.7268750002</v>
      </c>
      <c r="D46" s="60">
        <f>'[2](C) RY#1 Therms By Block'!D94+'[2](C) RY#1 Therms By Block'!D104</f>
        <v>-77527.07513159755</v>
      </c>
      <c r="E46" s="60">
        <f>'[2](C) RY#1 Therms By Block'!E94+'[2](C) RY#1 Therms By Block'!E104</f>
        <v>1179194.2217902783</v>
      </c>
      <c r="F46" s="60">
        <f>'[2](C) RY#1 Therms By Block'!F94+'[2](C) RY#1 Therms By Block'!F104</f>
        <v>678757.63240902824</v>
      </c>
      <c r="G46" s="60">
        <f>'[2](C) RY#1 Therms By Block'!G94+'[2](C) RY#1 Therms By Block'!G104</f>
        <v>752450.74679166637</v>
      </c>
      <c r="H46" s="60">
        <f>'[2](C) RY#1 Therms By Block'!H94+'[2](C) RY#1 Therms By Block'!H104</f>
        <v>466226.03499999997</v>
      </c>
      <c r="I46" s="60">
        <f>'[2](C) RY#1 Therms By Block'!I94+'[2](C) RY#1 Therms By Block'!I104</f>
        <v>442278.01499999966</v>
      </c>
      <c r="J46" s="60">
        <f>'[2](C) RY#1 Therms By Block'!J94+'[2](C) RY#1 Therms By Block'!J104</f>
        <v>363689.65199999977</v>
      </c>
      <c r="K46" s="60">
        <f>'[2](C) RY#1 Therms By Block'!K94+'[2](C) RY#1 Therms By Block'!K104</f>
        <v>361201.52079236228</v>
      </c>
      <c r="L46" s="60">
        <f>'[2](C) RY#1 Therms By Block'!L94+'[2](C) RY#1 Therms By Block'!L104</f>
        <v>1748092.7404499995</v>
      </c>
      <c r="M46" s="60">
        <f>'[2](C) RY#1 Therms By Block'!M94+'[2](C) RY#1 Therms By Block'!M104</f>
        <v>-479921.84199652972</v>
      </c>
      <c r="N46" s="157">
        <f t="shared" si="11"/>
        <v>9755057.4703552071</v>
      </c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</row>
    <row r="47" spans="1:42" x14ac:dyDescent="0.2">
      <c r="A47" s="31" t="s">
        <v>6</v>
      </c>
      <c r="B47" s="160">
        <f>SUM(B41:B46)</f>
        <v>2998650.8943750001</v>
      </c>
      <c r="C47" s="160">
        <f t="shared" ref="C47:N47" si="12">SUM(C41:C46)</f>
        <v>4620973.8603750002</v>
      </c>
      <c r="D47" s="160">
        <f t="shared" si="12"/>
        <v>-230183.26163159739</v>
      </c>
      <c r="E47" s="160">
        <f t="shared" si="12"/>
        <v>2722328.7807902782</v>
      </c>
      <c r="F47" s="160">
        <f t="shared" si="12"/>
        <v>1246699.5224090284</v>
      </c>
      <c r="G47" s="160">
        <f t="shared" si="12"/>
        <v>1711965.7117916665</v>
      </c>
      <c r="H47" s="160">
        <f t="shared" si="12"/>
        <v>204785.59449999995</v>
      </c>
      <c r="I47" s="160">
        <f t="shared" si="12"/>
        <v>2315404.6089999997</v>
      </c>
      <c r="J47" s="160">
        <f t="shared" si="12"/>
        <v>955360.63349999976</v>
      </c>
      <c r="K47" s="160">
        <f t="shared" si="12"/>
        <v>1332643.2697923623</v>
      </c>
      <c r="L47" s="160">
        <f t="shared" si="12"/>
        <v>4079298.5974499993</v>
      </c>
      <c r="M47" s="160">
        <f t="shared" si="12"/>
        <v>-138472.44999652979</v>
      </c>
      <c r="N47" s="160">
        <f t="shared" si="12"/>
        <v>21819455.762355208</v>
      </c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</row>
    <row r="48" spans="1:42" x14ac:dyDescent="0.2"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</row>
    <row r="49" spans="1:42" x14ac:dyDescent="0.2">
      <c r="A49" s="69" t="s">
        <v>41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</row>
    <row r="50" spans="1:42" x14ac:dyDescent="0.2">
      <c r="A50" s="31" t="s">
        <v>62</v>
      </c>
      <c r="B50" s="60">
        <f>'[2](C) RY#1 Therms By Block'!B109+'[2](C) RY#1 Therms By Block'!B119</f>
        <v>157799.79</v>
      </c>
      <c r="C50" s="60">
        <f>'[2](C) RY#1 Therms By Block'!C109+'[2](C) RY#1 Therms By Block'!C119</f>
        <v>200000</v>
      </c>
      <c r="D50" s="60">
        <f>'[2](C) RY#1 Therms By Block'!D109+'[2](C) RY#1 Therms By Block'!D119</f>
        <v>350000</v>
      </c>
      <c r="E50" s="60">
        <f>'[2](C) RY#1 Therms By Block'!E109+'[2](C) RY#1 Therms By Block'!E119</f>
        <v>271825.15000000002</v>
      </c>
      <c r="F50" s="60">
        <f>'[2](C) RY#1 Therms By Block'!F109+'[2](C) RY#1 Therms By Block'!F119</f>
        <v>274052.44</v>
      </c>
      <c r="G50" s="60">
        <f>'[2](C) RY#1 Therms By Block'!G109+'[2](C) RY#1 Therms By Block'!G119</f>
        <v>271234.03000000003</v>
      </c>
      <c r="H50" s="60">
        <f>'[2](C) RY#1 Therms By Block'!H109+'[2](C) RY#1 Therms By Block'!H119</f>
        <v>249846.93</v>
      </c>
      <c r="I50" s="60">
        <f>'[2](C) RY#1 Therms By Block'!I109+'[2](C) RY#1 Therms By Block'!I119</f>
        <v>300036.01</v>
      </c>
      <c r="J50" s="60">
        <f>'[2](C) RY#1 Therms By Block'!J109+'[2](C) RY#1 Therms By Block'!J119</f>
        <v>274865.76</v>
      </c>
      <c r="K50" s="60">
        <f>'[2](C) RY#1 Therms By Block'!K109+'[2](C) RY#1 Therms By Block'!K119</f>
        <v>278926</v>
      </c>
      <c r="L50" s="60">
        <f>'[2](C) RY#1 Therms By Block'!L109+'[2](C) RY#1 Therms By Block'!L119</f>
        <v>178003.35</v>
      </c>
      <c r="M50" s="60">
        <f>'[2](C) RY#1 Therms By Block'!M109+'[2](C) RY#1 Therms By Block'!M119</f>
        <v>492200.20999999996</v>
      </c>
      <c r="N50" s="157">
        <f>SUM(B50:M50)</f>
        <v>3298789.6700000004</v>
      </c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</row>
    <row r="51" spans="1:42" x14ac:dyDescent="0.2">
      <c r="A51" s="31" t="s">
        <v>63</v>
      </c>
      <c r="B51" s="60">
        <f>'[2](C) RY#1 Therms By Block'!B110+'[2](C) RY#1 Therms By Block'!B120</f>
        <v>152744.74</v>
      </c>
      <c r="C51" s="60">
        <f>'[2](C) RY#1 Therms By Block'!C110+'[2](C) RY#1 Therms By Block'!C120</f>
        <v>222255.26</v>
      </c>
      <c r="D51" s="60">
        <f>'[2](C) RY#1 Therms By Block'!D110+'[2](C) RY#1 Therms By Block'!D120</f>
        <v>327133.38</v>
      </c>
      <c r="E51" s="60">
        <f>'[2](C) RY#1 Therms By Block'!E110+'[2](C) RY#1 Therms By Block'!E120</f>
        <v>272866.62</v>
      </c>
      <c r="F51" s="60">
        <f>'[2](C) RY#1 Therms By Block'!F110+'[2](C) RY#1 Therms By Block'!F120</f>
        <v>275000</v>
      </c>
      <c r="G51" s="60">
        <f>'[2](C) RY#1 Therms By Block'!G110+'[2](C) RY#1 Therms By Block'!G120</f>
        <v>275000</v>
      </c>
      <c r="H51" s="60">
        <f>'[2](C) RY#1 Therms By Block'!H110+'[2](C) RY#1 Therms By Block'!H120</f>
        <v>250000</v>
      </c>
      <c r="I51" s="60">
        <f>'[2](C) RY#1 Therms By Block'!I110+'[2](C) RY#1 Therms By Block'!I120</f>
        <v>293093.82</v>
      </c>
      <c r="J51" s="60">
        <f>'[2](C) RY#1 Therms By Block'!J110+'[2](C) RY#1 Therms By Block'!J120</f>
        <v>272028.95</v>
      </c>
      <c r="K51" s="60">
        <f>'[2](C) RY#1 Therms By Block'!K110+'[2](C) RY#1 Therms By Block'!K120</f>
        <v>284877.23</v>
      </c>
      <c r="L51" s="60">
        <f>'[2](C) RY#1 Therms By Block'!L110+'[2](C) RY#1 Therms By Block'!L120</f>
        <v>200000</v>
      </c>
      <c r="M51" s="60">
        <f>'[2](C) RY#1 Therms By Block'!M110+'[2](C) RY#1 Therms By Block'!M120</f>
        <v>475000</v>
      </c>
      <c r="N51" s="157">
        <f t="shared" ref="N51:N55" si="13">SUM(B51:M51)</f>
        <v>3300000</v>
      </c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</row>
    <row r="52" spans="1:42" x14ac:dyDescent="0.2">
      <c r="A52" s="31" t="s">
        <v>68</v>
      </c>
      <c r="B52" s="60">
        <f>'[2](C) RY#1 Therms By Block'!B111+'[2](C) RY#1 Therms By Block'!B121</f>
        <v>250668.61</v>
      </c>
      <c r="C52" s="60">
        <f>'[2](C) RY#1 Therms By Block'!C111+'[2](C) RY#1 Therms By Block'!C121</f>
        <v>499331.39</v>
      </c>
      <c r="D52" s="60">
        <f>'[2](C) RY#1 Therms By Block'!D111+'[2](C) RY#1 Therms By Block'!D121</f>
        <v>650000</v>
      </c>
      <c r="E52" s="60">
        <f>'[2](C) RY#1 Therms By Block'!E111+'[2](C) RY#1 Therms By Block'!E121</f>
        <v>550000</v>
      </c>
      <c r="F52" s="60">
        <f>'[2](C) RY#1 Therms By Block'!F111+'[2](C) RY#1 Therms By Block'!F121</f>
        <v>550000</v>
      </c>
      <c r="G52" s="60">
        <f>'[2](C) RY#1 Therms By Block'!G111+'[2](C) RY#1 Therms By Block'!G121</f>
        <v>550000</v>
      </c>
      <c r="H52" s="60">
        <f>'[2](C) RY#1 Therms By Block'!H111+'[2](C) RY#1 Therms By Block'!H121</f>
        <v>500000</v>
      </c>
      <c r="I52" s="60">
        <f>'[2](C) RY#1 Therms By Block'!I111+'[2](C) RY#1 Therms By Block'!I121</f>
        <v>550000</v>
      </c>
      <c r="J52" s="60">
        <f>'[2](C) RY#1 Therms By Block'!J111+'[2](C) RY#1 Therms By Block'!J121</f>
        <v>550000</v>
      </c>
      <c r="K52" s="60">
        <f>'[2](C) RY#1 Therms By Block'!K111+'[2](C) RY#1 Therms By Block'!K121</f>
        <v>600000</v>
      </c>
      <c r="L52" s="60">
        <f>'[2](C) RY#1 Therms By Block'!L111+'[2](C) RY#1 Therms By Block'!L121</f>
        <v>400000</v>
      </c>
      <c r="M52" s="60">
        <f>'[2](C) RY#1 Therms By Block'!M111+'[2](C) RY#1 Therms By Block'!M121</f>
        <v>950000</v>
      </c>
      <c r="N52" s="157">
        <f t="shared" si="13"/>
        <v>6600000</v>
      </c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</row>
    <row r="53" spans="1:42" x14ac:dyDescent="0.2">
      <c r="A53" s="31" t="s">
        <v>69</v>
      </c>
      <c r="B53" s="60">
        <f>'[2](C) RY#1 Therms By Block'!B112+'[2](C) RY#1 Therms By Block'!B122</f>
        <v>469045.4</v>
      </c>
      <c r="C53" s="60">
        <f>'[2](C) RY#1 Therms By Block'!C112+'[2](C) RY#1 Therms By Block'!C122</f>
        <v>1000000</v>
      </c>
      <c r="D53" s="60">
        <f>'[2](C) RY#1 Therms By Block'!D112+'[2](C) RY#1 Therms By Block'!D122</f>
        <v>1247720.0900000001</v>
      </c>
      <c r="E53" s="60">
        <f>'[2](C) RY#1 Therms By Block'!E112+'[2](C) RY#1 Therms By Block'!E122</f>
        <v>1066512.8500000001</v>
      </c>
      <c r="F53" s="60">
        <f>'[2](C) RY#1 Therms By Block'!F112+'[2](C) RY#1 Therms By Block'!F122</f>
        <v>1068671.9099999999</v>
      </c>
      <c r="G53" s="60">
        <f>'[2](C) RY#1 Therms By Block'!G112+'[2](C) RY#1 Therms By Block'!G122</f>
        <v>1034746.9199999999</v>
      </c>
      <c r="H53" s="60">
        <f>'[2](C) RY#1 Therms By Block'!H112+'[2](C) RY#1 Therms By Block'!H122</f>
        <v>933993.21000000008</v>
      </c>
      <c r="I53" s="60">
        <f>'[2](C) RY#1 Therms By Block'!I112+'[2](C) RY#1 Therms By Block'!I122</f>
        <v>1022859.5900000001</v>
      </c>
      <c r="J53" s="60">
        <f>'[2](C) RY#1 Therms By Block'!J112+'[2](C) RY#1 Therms By Block'!J122</f>
        <v>977614.95999999985</v>
      </c>
      <c r="K53" s="60">
        <f>'[2](C) RY#1 Therms By Block'!K112+'[2](C) RY#1 Therms By Block'!K122</f>
        <v>1198125.4500000002</v>
      </c>
      <c r="L53" s="60">
        <f>'[2](C) RY#1 Therms By Block'!L112+'[2](C) RY#1 Therms By Block'!L122</f>
        <v>800000</v>
      </c>
      <c r="M53" s="60">
        <f>'[2](C) RY#1 Therms By Block'!M112+'[2](C) RY#1 Therms By Block'!M122</f>
        <v>1844400.6400000001</v>
      </c>
      <c r="N53" s="157">
        <f t="shared" si="13"/>
        <v>12663691.02</v>
      </c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</row>
    <row r="54" spans="1:42" x14ac:dyDescent="0.2">
      <c r="A54" s="31" t="s">
        <v>70</v>
      </c>
      <c r="B54" s="60">
        <f>'[2](C) RY#1 Therms By Block'!B113+'[2](C) RY#1 Therms By Block'!B123</f>
        <v>1198551.6500000001</v>
      </c>
      <c r="C54" s="60">
        <f>'[2](C) RY#1 Therms By Block'!C113+'[2](C) RY#1 Therms By Block'!C123</f>
        <v>2301200.21</v>
      </c>
      <c r="D54" s="60">
        <f>'[2](C) RY#1 Therms By Block'!D113+'[2](C) RY#1 Therms By Block'!D123</f>
        <v>2828921.25</v>
      </c>
      <c r="E54" s="60">
        <f>'[2](C) RY#1 Therms By Block'!E113+'[2](C) RY#1 Therms By Block'!E123</f>
        <v>2440097.9300000002</v>
      </c>
      <c r="F54" s="60">
        <f>'[2](C) RY#1 Therms By Block'!F113+'[2](C) RY#1 Therms By Block'!F123</f>
        <v>2431320.8000000003</v>
      </c>
      <c r="G54" s="60">
        <f>'[2](C) RY#1 Therms By Block'!G113+'[2](C) RY#1 Therms By Block'!G123</f>
        <v>2406355.9900000002</v>
      </c>
      <c r="H54" s="60">
        <f>'[2](C) RY#1 Therms By Block'!H113+'[2](C) RY#1 Therms By Block'!H123</f>
        <v>2120337.4500000002</v>
      </c>
      <c r="I54" s="60">
        <f>'[2](C) RY#1 Therms By Block'!I113+'[2](C) RY#1 Therms By Block'!I123</f>
        <v>2412819.3200000003</v>
      </c>
      <c r="J54" s="60">
        <f>'[2](C) RY#1 Therms By Block'!J113+'[2](C) RY#1 Therms By Block'!J123</f>
        <v>2100000</v>
      </c>
      <c r="K54" s="60">
        <f>'[2](C) RY#1 Therms By Block'!K113+'[2](C) RY#1 Therms By Block'!K123</f>
        <v>2740735.9799999995</v>
      </c>
      <c r="L54" s="60">
        <f>'[2](C) RY#1 Therms By Block'!L113+'[2](C) RY#1 Therms By Block'!L123</f>
        <v>2188452.0099999998</v>
      </c>
      <c r="M54" s="60">
        <f>'[2](C) RY#1 Therms By Block'!M113+'[2](C) RY#1 Therms By Block'!M123</f>
        <v>4175809.5599999996</v>
      </c>
      <c r="N54" s="157">
        <f t="shared" si="13"/>
        <v>29344602.150000002</v>
      </c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</row>
    <row r="55" spans="1:42" x14ac:dyDescent="0.2">
      <c r="A55" s="31" t="s">
        <v>89</v>
      </c>
      <c r="B55" s="60">
        <f>'[2](C) RY#1 Therms By Block'!B114+'[2](C) RY#1 Therms By Block'!B124</f>
        <v>7305524.0882708319</v>
      </c>
      <c r="C55" s="60">
        <f>'[2](C) RY#1 Therms By Block'!C114+'[2](C) RY#1 Therms By Block'!C124</f>
        <v>4860843.7727500005</v>
      </c>
      <c r="D55" s="60">
        <f>'[2](C) RY#1 Therms By Block'!D114+'[2](C) RY#1 Therms By Block'!D124</f>
        <v>5718563.7401258349</v>
      </c>
      <c r="E55" s="60">
        <f>'[2](C) RY#1 Therms By Block'!E114+'[2](C) RY#1 Therms By Block'!E124</f>
        <v>6881617.5426187497</v>
      </c>
      <c r="F55" s="60">
        <f>'[2](C) RY#1 Therms By Block'!F114+'[2](C) RY#1 Therms By Block'!F124</f>
        <v>6657598.3647841662</v>
      </c>
      <c r="G55" s="60">
        <f>'[2](C) RY#1 Therms By Block'!G114+'[2](C) RY#1 Therms By Block'!G124</f>
        <v>5785372.9800449992</v>
      </c>
      <c r="H55" s="60">
        <f>'[2](C) RY#1 Therms By Block'!H114+'[2](C) RY#1 Therms By Block'!H124</f>
        <v>5424433.6199999992</v>
      </c>
      <c r="I55" s="60">
        <f>'[2](C) RY#1 Therms By Block'!I114+'[2](C) RY#1 Therms By Block'!I124</f>
        <v>6806238.8600000013</v>
      </c>
      <c r="J55" s="60">
        <f>'[2](C) RY#1 Therms By Block'!J114+'[2](C) RY#1 Therms By Block'!J124</f>
        <v>6257222.4399999995</v>
      </c>
      <c r="K55" s="60">
        <f>'[2](C) RY#1 Therms By Block'!K114+'[2](C) RY#1 Therms By Block'!K124</f>
        <v>6694428.3805979183</v>
      </c>
      <c r="L55" s="60">
        <f>'[2](C) RY#1 Therms By Block'!L114+'[2](C) RY#1 Therms By Block'!L124</f>
        <v>5613151.6308349995</v>
      </c>
      <c r="M55" s="60">
        <f>'[2](C) RY#1 Therms By Block'!M114+'[2](C) RY#1 Therms By Block'!M124</f>
        <v>5741334.3854520824</v>
      </c>
      <c r="N55" s="157">
        <f t="shared" si="13"/>
        <v>73746329.805479571</v>
      </c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</row>
    <row r="56" spans="1:42" x14ac:dyDescent="0.2">
      <c r="A56" s="31" t="s">
        <v>6</v>
      </c>
      <c r="B56" s="161">
        <f>SUM(B50:B55)</f>
        <v>9534334.2782708332</v>
      </c>
      <c r="C56" s="161">
        <f t="shared" ref="C56:N56" si="14">SUM(C50:C55)</f>
        <v>9083630.6327500008</v>
      </c>
      <c r="D56" s="161">
        <f t="shared" si="14"/>
        <v>11122338.460125834</v>
      </c>
      <c r="E56" s="161">
        <f t="shared" si="14"/>
        <v>11482920.09261875</v>
      </c>
      <c r="F56" s="161">
        <f t="shared" si="14"/>
        <v>11256643.514784167</v>
      </c>
      <c r="G56" s="161">
        <f t="shared" si="14"/>
        <v>10322709.920045</v>
      </c>
      <c r="H56" s="161">
        <f t="shared" si="14"/>
        <v>9478611.209999999</v>
      </c>
      <c r="I56" s="161">
        <f t="shared" si="14"/>
        <v>11385047.600000001</v>
      </c>
      <c r="J56" s="161">
        <f t="shared" si="14"/>
        <v>10431732.109999999</v>
      </c>
      <c r="K56" s="161">
        <f t="shared" si="14"/>
        <v>11797093.040597919</v>
      </c>
      <c r="L56" s="161">
        <f t="shared" si="14"/>
        <v>9379606.9908349998</v>
      </c>
      <c r="M56" s="161">
        <f t="shared" si="14"/>
        <v>13678744.795452083</v>
      </c>
      <c r="N56" s="161">
        <f t="shared" si="14"/>
        <v>128953412.64547957</v>
      </c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</row>
    <row r="58" spans="1:42" x14ac:dyDescent="0.2">
      <c r="A58" s="69" t="s">
        <v>262</v>
      </c>
      <c r="B58" s="52">
        <f>SUM(B10,B16,B22,B28,B33,B38,B47,B56)</f>
        <v>29577227.172645833</v>
      </c>
      <c r="C58" s="52">
        <f t="shared" ref="C58:N58" si="15">SUM(C10,C16,C22,C28,C33,C38,C47,C56)</f>
        <v>31902535.493125003</v>
      </c>
      <c r="D58" s="52">
        <f t="shared" si="15"/>
        <v>26820084.198494237</v>
      </c>
      <c r="E58" s="52">
        <f t="shared" si="15"/>
        <v>28976004.873409025</v>
      </c>
      <c r="F58" s="52">
        <f t="shared" si="15"/>
        <v>25170007.037193194</v>
      </c>
      <c r="G58" s="52">
        <f t="shared" si="15"/>
        <v>24015554.631836668</v>
      </c>
      <c r="H58" s="52">
        <f t="shared" si="15"/>
        <v>20193366.804499999</v>
      </c>
      <c r="I58" s="52">
        <f t="shared" si="15"/>
        <v>24386290.208999999</v>
      </c>
      <c r="J58" s="52">
        <f t="shared" si="15"/>
        <v>22523296.743500002</v>
      </c>
      <c r="K58" s="52">
        <f t="shared" si="15"/>
        <v>27172244.310390282</v>
      </c>
      <c r="L58" s="52">
        <f t="shared" si="15"/>
        <v>30534659.588284999</v>
      </c>
      <c r="M58" s="52">
        <f t="shared" si="15"/>
        <v>32035060.34545555</v>
      </c>
      <c r="N58" s="52">
        <f t="shared" si="15"/>
        <v>323306331.40783477</v>
      </c>
    </row>
    <row r="59" spans="1:42" x14ac:dyDescent="0.2">
      <c r="A59" s="69" t="s">
        <v>48</v>
      </c>
      <c r="B59" s="162">
        <f>B58-SUM('[2]RY#1 Therms'!B40:B43,'[2]RY#1 Therms'!B45:B48)</f>
        <v>0</v>
      </c>
      <c r="C59" s="162">
        <f>C58-SUM('[2]RY#1 Therms'!C40:C43,'[2]RY#1 Therms'!C45:C48)</f>
        <v>0</v>
      </c>
      <c r="D59" s="162">
        <f>D58-SUM('[2]RY#1 Therms'!D40:D43,'[2]RY#1 Therms'!D45:D48)</f>
        <v>0</v>
      </c>
      <c r="E59" s="162">
        <f>E58-SUM('[2]RY#1 Therms'!E40:E43,'[2]RY#1 Therms'!E45:E48)</f>
        <v>0</v>
      </c>
      <c r="F59" s="162">
        <f>F58-SUM('[2]RY#1 Therms'!F40:F43,'[2]RY#1 Therms'!F45:F48)</f>
        <v>0</v>
      </c>
      <c r="G59" s="162">
        <f>G58-SUM('[2]RY#1 Therms'!G40:G43,'[2]RY#1 Therms'!G45:G48)</f>
        <v>0</v>
      </c>
      <c r="H59" s="162">
        <f>H58-SUM('[2]RY#1 Therms'!H40:H43,'[2]RY#1 Therms'!H45:H48)</f>
        <v>0</v>
      </c>
      <c r="I59" s="162">
        <f>I58-SUM('[2]RY#1 Therms'!I40:I43,'[2]RY#1 Therms'!I45:I48)</f>
        <v>0</v>
      </c>
      <c r="J59" s="162">
        <f>J58-SUM('[2]RY#1 Therms'!J40:J43,'[2]RY#1 Therms'!J45:J48)</f>
        <v>0</v>
      </c>
      <c r="K59" s="162">
        <f>K58-SUM('[2]RY#1 Therms'!K40:K43,'[2]RY#1 Therms'!K45:K48)</f>
        <v>0</v>
      </c>
      <c r="L59" s="162">
        <f>L58-SUM('[2]RY#1 Therms'!L40:L43,'[2]RY#1 Therms'!L45:L48)</f>
        <v>0</v>
      </c>
      <c r="M59" s="162">
        <f>M58-SUM('[2]RY#1 Therms'!M40:M43,'[2]RY#1 Therms'!M45:M48)</f>
        <v>0</v>
      </c>
      <c r="N59" s="162">
        <f>N58-SUM('[2]RY#1 Therms'!N40:N43,'[2]RY#1 Therms'!N45:N48)</f>
        <v>0</v>
      </c>
    </row>
    <row r="60" spans="1:42" x14ac:dyDescent="0.2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7" spans="1:14" x14ac:dyDescent="0.2">
      <c r="A67" s="31"/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</row>
    <row r="74" spans="1:14" x14ac:dyDescent="0.2">
      <c r="A74" s="31"/>
      <c r="B74" s="157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</row>
    <row r="80" spans="1:14" x14ac:dyDescent="0.2">
      <c r="A80" s="31"/>
      <c r="B80" s="157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</row>
  </sheetData>
  <printOptions horizontalCentered="1"/>
  <pageMargins left="0.5" right="0.5" top="1" bottom="1" header="0.5" footer="0.5"/>
  <pageSetup scale="63" orientation="landscape" horizontalDpi="300" verticalDpi="300" r:id="rId1"/>
  <headerFooter alignWithMargins="0">
    <oddHeader xml:space="preserve">&amp;C
</oddHeader>
    <oddFooter>&amp;L&amp;F 
&amp;A&amp;C&amp;P&amp;R&amp;D</oddFooter>
  </headerFooter>
  <rowBreaks count="1" manualBreakCount="1">
    <brk id="29" max="1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N46"/>
  <sheetViews>
    <sheetView zoomScale="90" zoomScaleNormal="90" workbookViewId="0">
      <selection activeCell="Q36" sqref="Q36"/>
    </sheetView>
  </sheetViews>
  <sheetFormatPr defaultRowHeight="15" x14ac:dyDescent="0.25"/>
  <cols>
    <col min="1" max="1" width="40.85546875" customWidth="1"/>
    <col min="2" max="13" width="11.85546875" customWidth="1"/>
    <col min="14" max="14" width="13.5703125" customWidth="1"/>
  </cols>
  <sheetData>
    <row r="1" spans="1:14" x14ac:dyDescent="0.25">
      <c r="A1" t="s">
        <v>0</v>
      </c>
    </row>
    <row r="2" spans="1:14" x14ac:dyDescent="0.25">
      <c r="A2" t="s">
        <v>261</v>
      </c>
    </row>
    <row r="3" spans="1:14" x14ac:dyDescent="0.25">
      <c r="A3" t="s">
        <v>265</v>
      </c>
    </row>
    <row r="5" spans="1:14" x14ac:dyDescent="0.25">
      <c r="A5" s="57" t="s">
        <v>266</v>
      </c>
    </row>
    <row r="6" spans="1:14" x14ac:dyDescent="0.25">
      <c r="A6" s="169" t="s">
        <v>21</v>
      </c>
      <c r="B6" s="58">
        <v>44927</v>
      </c>
      <c r="C6" s="58">
        <f>EDATE(B6,1)</f>
        <v>44958</v>
      </c>
      <c r="D6" s="58">
        <f t="shared" ref="D6:M6" si="0">EDATE(C6,1)</f>
        <v>44986</v>
      </c>
      <c r="E6" s="58">
        <f t="shared" si="0"/>
        <v>45017</v>
      </c>
      <c r="F6" s="58">
        <f t="shared" si="0"/>
        <v>45047</v>
      </c>
      <c r="G6" s="58">
        <f t="shared" si="0"/>
        <v>45078</v>
      </c>
      <c r="H6" s="58">
        <f t="shared" si="0"/>
        <v>45108</v>
      </c>
      <c r="I6" s="58">
        <f t="shared" si="0"/>
        <v>45139</v>
      </c>
      <c r="J6" s="58">
        <f t="shared" si="0"/>
        <v>45170</v>
      </c>
      <c r="K6" s="58">
        <f t="shared" si="0"/>
        <v>45200</v>
      </c>
      <c r="L6" s="58">
        <f t="shared" si="0"/>
        <v>45231</v>
      </c>
      <c r="M6" s="58">
        <f t="shared" si="0"/>
        <v>45261</v>
      </c>
      <c r="N6" s="59" t="s">
        <v>95</v>
      </c>
    </row>
    <row r="7" spans="1:14" x14ac:dyDescent="0.25">
      <c r="A7" s="5" t="s">
        <v>96</v>
      </c>
      <c r="B7" s="131">
        <v>0</v>
      </c>
      <c r="C7" s="131">
        <v>0</v>
      </c>
      <c r="D7" s="131">
        <v>0</v>
      </c>
      <c r="E7" s="131">
        <v>0</v>
      </c>
      <c r="F7" s="131">
        <v>0</v>
      </c>
      <c r="G7" s="131">
        <v>0</v>
      </c>
      <c r="H7" s="131">
        <v>0</v>
      </c>
      <c r="I7" s="131">
        <v>0</v>
      </c>
      <c r="J7" s="131">
        <v>0</v>
      </c>
      <c r="K7" s="131">
        <v>0</v>
      </c>
      <c r="L7" s="131">
        <v>0</v>
      </c>
      <c r="M7" s="131">
        <v>0</v>
      </c>
      <c r="N7" s="35">
        <f>SUM(B7:M7)</f>
        <v>0</v>
      </c>
    </row>
    <row r="8" spans="1:14" x14ac:dyDescent="0.25">
      <c r="A8" s="5" t="s">
        <v>97</v>
      </c>
      <c r="B8" s="131">
        <v>0</v>
      </c>
      <c r="C8" s="131">
        <v>0</v>
      </c>
      <c r="D8" s="131">
        <v>0</v>
      </c>
      <c r="E8" s="131">
        <v>0</v>
      </c>
      <c r="F8" s="131">
        <v>0</v>
      </c>
      <c r="G8" s="131">
        <v>0</v>
      </c>
      <c r="H8" s="131">
        <v>0</v>
      </c>
      <c r="I8" s="131">
        <v>0</v>
      </c>
      <c r="J8" s="131">
        <v>0</v>
      </c>
      <c r="K8" s="131">
        <v>0</v>
      </c>
      <c r="L8" s="131">
        <v>0</v>
      </c>
      <c r="M8" s="131">
        <v>0</v>
      </c>
      <c r="N8" s="35">
        <f t="shared" ref="N8:N19" si="1">SUM(B8:M8)</f>
        <v>0</v>
      </c>
    </row>
    <row r="9" spans="1:14" x14ac:dyDescent="0.25">
      <c r="A9" s="5" t="s">
        <v>98</v>
      </c>
      <c r="B9" s="131">
        <v>0</v>
      </c>
      <c r="C9" s="131">
        <v>0</v>
      </c>
      <c r="D9" s="131">
        <v>0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35">
        <f t="shared" si="1"/>
        <v>0</v>
      </c>
    </row>
    <row r="10" spans="1:14" x14ac:dyDescent="0.25">
      <c r="A10" s="5" t="s">
        <v>99</v>
      </c>
      <c r="B10" s="131">
        <v>0</v>
      </c>
      <c r="C10" s="131">
        <v>0</v>
      </c>
      <c r="D10" s="131">
        <v>0</v>
      </c>
      <c r="E10" s="131">
        <v>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35">
        <f t="shared" si="1"/>
        <v>0</v>
      </c>
    </row>
    <row r="11" spans="1:14" x14ac:dyDescent="0.25">
      <c r="A11" s="5" t="s">
        <v>102</v>
      </c>
      <c r="B11" s="131">
        <v>0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35">
        <f>SUM(B11:M11)</f>
        <v>0</v>
      </c>
    </row>
    <row r="12" spans="1:14" x14ac:dyDescent="0.25">
      <c r="A12" s="5" t="s">
        <v>100</v>
      </c>
      <c r="B12" s="61">
        <f>SUM('[2](C) RY#1 Bills &amp; Demand Data'!C40:C41)</f>
        <v>390237</v>
      </c>
      <c r="C12" s="61">
        <f>SUM('[2](C) RY#1 Bills &amp; Demand Data'!D40:D41)</f>
        <v>390237</v>
      </c>
      <c r="D12" s="61">
        <f>SUM('[2](C) RY#1 Bills &amp; Demand Data'!E40:E41)</f>
        <v>390237</v>
      </c>
      <c r="E12" s="61">
        <f>SUM('[2](C) RY#1 Bills &amp; Demand Data'!F40:F41)</f>
        <v>390237</v>
      </c>
      <c r="F12" s="61">
        <f>SUM('[2](C) RY#1 Bills &amp; Demand Data'!G40:G41)</f>
        <v>390237</v>
      </c>
      <c r="G12" s="61">
        <f>SUM('[2](C) RY#1 Bills &amp; Demand Data'!H40:H41)</f>
        <v>390237</v>
      </c>
      <c r="H12" s="61">
        <f>SUM('[2](C) RY#1 Bills &amp; Demand Data'!I40:I41)</f>
        <v>390237</v>
      </c>
      <c r="I12" s="61">
        <f>SUM('[2](C) RY#1 Bills &amp; Demand Data'!J40:J41)</f>
        <v>390237</v>
      </c>
      <c r="J12" s="61">
        <f>SUM('[2](C) RY#1 Bills &amp; Demand Data'!K40:K41)</f>
        <v>390237</v>
      </c>
      <c r="K12" s="61">
        <f>SUM('[2](C) RY#1 Bills &amp; Demand Data'!L40:L41)</f>
        <v>390237</v>
      </c>
      <c r="L12" s="61">
        <f>SUM('[2](C) RY#1 Bills &amp; Demand Data'!M40:M41)</f>
        <v>390237</v>
      </c>
      <c r="M12" s="61">
        <f>SUM('[2](C) RY#1 Bills &amp; Demand Data'!N40:N41)</f>
        <v>390237</v>
      </c>
      <c r="N12" s="35">
        <f>SUM(B12:M12)</f>
        <v>4682844</v>
      </c>
    </row>
    <row r="13" spans="1:14" x14ac:dyDescent="0.25">
      <c r="A13" s="5" t="s">
        <v>101</v>
      </c>
      <c r="B13" s="61">
        <f>SUM('[2](C) RY#1 Bills &amp; Demand Data'!C42:C43)</f>
        <v>91073</v>
      </c>
      <c r="C13" s="61">
        <f>SUM('[2](C) RY#1 Bills &amp; Demand Data'!D42:D43)</f>
        <v>91073</v>
      </c>
      <c r="D13" s="61">
        <f>SUM('[2](C) RY#1 Bills &amp; Demand Data'!E42:E43)</f>
        <v>91073</v>
      </c>
      <c r="E13" s="61">
        <f>SUM('[2](C) RY#1 Bills &amp; Demand Data'!F42:F43)</f>
        <v>91073</v>
      </c>
      <c r="F13" s="61">
        <f>SUM('[2](C) RY#1 Bills &amp; Demand Data'!G42:G43)</f>
        <v>91073</v>
      </c>
      <c r="G13" s="61">
        <f>SUM('[2](C) RY#1 Bills &amp; Demand Data'!H42:H43)</f>
        <v>91073</v>
      </c>
      <c r="H13" s="61">
        <f>SUM('[2](C) RY#1 Bills &amp; Demand Data'!I42:I43)</f>
        <v>91073</v>
      </c>
      <c r="I13" s="61">
        <f>SUM('[2](C) RY#1 Bills &amp; Demand Data'!J42:J43)</f>
        <v>91073</v>
      </c>
      <c r="J13" s="61">
        <f>SUM('[2](C) RY#1 Bills &amp; Demand Data'!K42:K43)</f>
        <v>91073</v>
      </c>
      <c r="K13" s="61">
        <f>SUM('[2](C) RY#1 Bills &amp; Demand Data'!L42:L43)</f>
        <v>91073</v>
      </c>
      <c r="L13" s="61">
        <f>SUM('[2](C) RY#1 Bills &amp; Demand Data'!M42:M43)</f>
        <v>91073</v>
      </c>
      <c r="M13" s="61">
        <f>SUM('[2](C) RY#1 Bills &amp; Demand Data'!N42:N43)</f>
        <v>91073</v>
      </c>
      <c r="N13" s="35">
        <f>SUM(B13:M13)</f>
        <v>1092876</v>
      </c>
    </row>
    <row r="14" spans="1:14" x14ac:dyDescent="0.25">
      <c r="A14" s="5" t="s">
        <v>103</v>
      </c>
      <c r="B14" s="61">
        <f>SUM('[2](C) RY#1 Bills &amp; Demand Data'!C44:C45)</f>
        <v>7878</v>
      </c>
      <c r="C14" s="61">
        <f>SUM('[2](C) RY#1 Bills &amp; Demand Data'!D44:D45)</f>
        <v>7878</v>
      </c>
      <c r="D14" s="61">
        <f>SUM('[2](C) RY#1 Bills &amp; Demand Data'!E44:E45)</f>
        <v>7878</v>
      </c>
      <c r="E14" s="61">
        <f>SUM('[2](C) RY#1 Bills &amp; Demand Data'!F44:F45)</f>
        <v>7878</v>
      </c>
      <c r="F14" s="61">
        <f>SUM('[2](C) RY#1 Bills &amp; Demand Data'!G44:G45)</f>
        <v>7878</v>
      </c>
      <c r="G14" s="61">
        <f>SUM('[2](C) RY#1 Bills &amp; Demand Data'!H44:H45)</f>
        <v>7878</v>
      </c>
      <c r="H14" s="61">
        <f>SUM('[2](C) RY#1 Bills &amp; Demand Data'!I44:I45)</f>
        <v>7878</v>
      </c>
      <c r="I14" s="61">
        <f>SUM('[2](C) RY#1 Bills &amp; Demand Data'!J44:J45)</f>
        <v>7878</v>
      </c>
      <c r="J14" s="61">
        <f>SUM('[2](C) RY#1 Bills &amp; Demand Data'!K44:K45)</f>
        <v>7878</v>
      </c>
      <c r="K14" s="61">
        <f>SUM('[2](C) RY#1 Bills &amp; Demand Data'!L44:L45)</f>
        <v>7878</v>
      </c>
      <c r="L14" s="61">
        <f>SUM('[2](C) RY#1 Bills &amp; Demand Data'!M44:M45)</f>
        <v>7878</v>
      </c>
      <c r="M14" s="61">
        <f>SUM('[2](C) RY#1 Bills &amp; Demand Data'!N44:N45)</f>
        <v>7878</v>
      </c>
      <c r="N14" s="35">
        <f t="shared" si="1"/>
        <v>94536</v>
      </c>
    </row>
    <row r="15" spans="1:14" x14ac:dyDescent="0.25">
      <c r="A15" s="5" t="s">
        <v>104</v>
      </c>
      <c r="B15" s="61">
        <f>SUM('[2](C) RY#1 Bills &amp; Demand Data'!C46:C47)</f>
        <v>54236</v>
      </c>
      <c r="C15" s="61">
        <f>SUM('[2](C) RY#1 Bills &amp; Demand Data'!D46:D47)</f>
        <v>54236</v>
      </c>
      <c r="D15" s="61">
        <f>SUM('[2](C) RY#1 Bills &amp; Demand Data'!E46:E47)</f>
        <v>54236</v>
      </c>
      <c r="E15" s="61">
        <f>SUM('[2](C) RY#1 Bills &amp; Demand Data'!F46:F47)</f>
        <v>54236</v>
      </c>
      <c r="F15" s="61">
        <f>SUM('[2](C) RY#1 Bills &amp; Demand Data'!G46:G47)</f>
        <v>54236</v>
      </c>
      <c r="G15" s="61">
        <f>SUM('[2](C) RY#1 Bills &amp; Demand Data'!H46:H47)</f>
        <v>54236</v>
      </c>
      <c r="H15" s="61">
        <f>SUM('[2](C) RY#1 Bills &amp; Demand Data'!I46:I47)</f>
        <v>54236</v>
      </c>
      <c r="I15" s="61">
        <f>SUM('[2](C) RY#1 Bills &amp; Demand Data'!J46:J47)</f>
        <v>54236</v>
      </c>
      <c r="J15" s="61">
        <f>SUM('[2](C) RY#1 Bills &amp; Demand Data'!K46:K47)</f>
        <v>54236</v>
      </c>
      <c r="K15" s="61">
        <f>SUM('[2](C) RY#1 Bills &amp; Demand Data'!L46:L47)</f>
        <v>54236</v>
      </c>
      <c r="L15" s="61">
        <f>SUM('[2](C) RY#1 Bills &amp; Demand Data'!M46:M47)</f>
        <v>54236</v>
      </c>
      <c r="M15" s="61">
        <f>SUM('[2](C) RY#1 Bills &amp; Demand Data'!N46:N47)</f>
        <v>54236</v>
      </c>
      <c r="N15" s="35">
        <f t="shared" si="1"/>
        <v>650832</v>
      </c>
    </row>
    <row r="16" spans="1:14" x14ac:dyDescent="0.25">
      <c r="A16" s="5" t="s">
        <v>105</v>
      </c>
      <c r="B16" s="61">
        <f>SUM('[2](C) RY#1 Bills &amp; Demand Data'!C48:C49)</f>
        <v>3182</v>
      </c>
      <c r="C16" s="61">
        <f>SUM('[2](C) RY#1 Bills &amp; Demand Data'!D48:D49)</f>
        <v>3182</v>
      </c>
      <c r="D16" s="61">
        <f>SUM('[2](C) RY#1 Bills &amp; Demand Data'!E48:E49)</f>
        <v>3182</v>
      </c>
      <c r="E16" s="61">
        <f>SUM('[2](C) RY#1 Bills &amp; Demand Data'!F48:F49)</f>
        <v>3182</v>
      </c>
      <c r="F16" s="61">
        <f>SUM('[2](C) RY#1 Bills &amp; Demand Data'!G48:G49)</f>
        <v>3182</v>
      </c>
      <c r="G16" s="61">
        <f>SUM('[2](C) RY#1 Bills &amp; Demand Data'!H48:H49)</f>
        <v>3182</v>
      </c>
      <c r="H16" s="61">
        <f>SUM('[2](C) RY#1 Bills &amp; Demand Data'!I48:I49)</f>
        <v>3182</v>
      </c>
      <c r="I16" s="61">
        <f>SUM('[2](C) RY#1 Bills &amp; Demand Data'!J48:J49)</f>
        <v>3182</v>
      </c>
      <c r="J16" s="61">
        <f>SUM('[2](C) RY#1 Bills &amp; Demand Data'!K48:K49)</f>
        <v>3182</v>
      </c>
      <c r="K16" s="61">
        <f>SUM('[2](C) RY#1 Bills &amp; Demand Data'!L48:L49)</f>
        <v>3182</v>
      </c>
      <c r="L16" s="61">
        <f>SUM('[2](C) RY#1 Bills &amp; Demand Data'!M48:M49)</f>
        <v>3182</v>
      </c>
      <c r="M16" s="61">
        <f>SUM('[2](C) RY#1 Bills &amp; Demand Data'!N48:N49)</f>
        <v>3182</v>
      </c>
      <c r="N16" s="35">
        <f t="shared" si="1"/>
        <v>38184</v>
      </c>
    </row>
    <row r="17" spans="1:14" x14ac:dyDescent="0.25">
      <c r="A17" s="5" t="s">
        <v>106</v>
      </c>
      <c r="B17" s="61">
        <f>SUM('[2](C) RY#1 Bills &amp; Demand Data'!C50:C51)</f>
        <v>1612</v>
      </c>
      <c r="C17" s="61">
        <f>SUM('[2](C) RY#1 Bills &amp; Demand Data'!D50:D51)</f>
        <v>1612</v>
      </c>
      <c r="D17" s="61">
        <f>SUM('[2](C) RY#1 Bills &amp; Demand Data'!E50:E51)</f>
        <v>1612</v>
      </c>
      <c r="E17" s="61">
        <f>SUM('[2](C) RY#1 Bills &amp; Demand Data'!F50:F51)</f>
        <v>1612</v>
      </c>
      <c r="F17" s="61">
        <f>SUM('[2](C) RY#1 Bills &amp; Demand Data'!G50:G51)</f>
        <v>1612</v>
      </c>
      <c r="G17" s="61">
        <f>SUM('[2](C) RY#1 Bills &amp; Demand Data'!H50:H51)</f>
        <v>1612</v>
      </c>
      <c r="H17" s="61">
        <f>SUM('[2](C) RY#1 Bills &amp; Demand Data'!I50:I51)</f>
        <v>1612</v>
      </c>
      <c r="I17" s="61">
        <f>SUM('[2](C) RY#1 Bills &amp; Demand Data'!J50:J51)</f>
        <v>1612</v>
      </c>
      <c r="J17" s="61">
        <f>SUM('[2](C) RY#1 Bills &amp; Demand Data'!K50:K51)</f>
        <v>1612</v>
      </c>
      <c r="K17" s="61">
        <f>SUM('[2](C) RY#1 Bills &amp; Demand Data'!L50:L51)</f>
        <v>1612</v>
      </c>
      <c r="L17" s="61">
        <f>SUM('[2](C) RY#1 Bills &amp; Demand Data'!M50:M51)</f>
        <v>1612</v>
      </c>
      <c r="M17" s="61">
        <f>SUM('[2](C) RY#1 Bills &amp; Demand Data'!N50:N51)</f>
        <v>1612</v>
      </c>
      <c r="N17" s="35">
        <f t="shared" si="1"/>
        <v>19344</v>
      </c>
    </row>
    <row r="18" spans="1:14" x14ac:dyDescent="0.25">
      <c r="A18" s="5" t="s">
        <v>107</v>
      </c>
      <c r="B18" s="61">
        <f>SUM('[2](C) RY#1 Bills &amp; Demand Data'!C52:C53)</f>
        <v>0</v>
      </c>
      <c r="C18" s="61">
        <f>SUM('[2](C) RY#1 Bills &amp; Demand Data'!D52:D53)</f>
        <v>0</v>
      </c>
      <c r="D18" s="61">
        <f>SUM('[2](C) RY#1 Bills &amp; Demand Data'!E52:E53)</f>
        <v>0</v>
      </c>
      <c r="E18" s="61">
        <f>SUM('[2](C) RY#1 Bills &amp; Demand Data'!F52:F53)</f>
        <v>0</v>
      </c>
      <c r="F18" s="61">
        <f>SUM('[2](C) RY#1 Bills &amp; Demand Data'!G52:G53)</f>
        <v>0</v>
      </c>
      <c r="G18" s="61">
        <f>SUM('[2](C) RY#1 Bills &amp; Demand Data'!H52:H53)</f>
        <v>0</v>
      </c>
      <c r="H18" s="61">
        <f>SUM('[2](C) RY#1 Bills &amp; Demand Data'!I52:I53)</f>
        <v>0</v>
      </c>
      <c r="I18" s="61">
        <f>SUM('[2](C) RY#1 Bills &amp; Demand Data'!J52:J53)</f>
        <v>0</v>
      </c>
      <c r="J18" s="61">
        <f>SUM('[2](C) RY#1 Bills &amp; Demand Data'!K52:K53)</f>
        <v>0</v>
      </c>
      <c r="K18" s="61">
        <f>SUM('[2](C) RY#1 Bills &amp; Demand Data'!L52:L53)</f>
        <v>0</v>
      </c>
      <c r="L18" s="61">
        <f>SUM('[2](C) RY#1 Bills &amp; Demand Data'!M52:M53)</f>
        <v>0</v>
      </c>
      <c r="M18" s="61">
        <f>SUM('[2](C) RY#1 Bills &amp; Demand Data'!N52:N53)</f>
        <v>0</v>
      </c>
      <c r="N18" s="35">
        <f t="shared" si="1"/>
        <v>0</v>
      </c>
    </row>
    <row r="19" spans="1:14" x14ac:dyDescent="0.25">
      <c r="A19" s="5" t="s">
        <v>108</v>
      </c>
      <c r="B19" s="158">
        <f>SUM('[2](C) RY#1 Bills &amp; Demand Data'!C54:C55)</f>
        <v>23934</v>
      </c>
      <c r="C19" s="158">
        <f>SUM('[2](C) RY#1 Bills &amp; Demand Data'!D54:D55)</f>
        <v>23934</v>
      </c>
      <c r="D19" s="158">
        <f>SUM('[2](C) RY#1 Bills &amp; Demand Data'!E54:E55)</f>
        <v>23934</v>
      </c>
      <c r="E19" s="158">
        <f>SUM('[2](C) RY#1 Bills &amp; Demand Data'!F54:F55)</f>
        <v>23934</v>
      </c>
      <c r="F19" s="158">
        <f>SUM('[2](C) RY#1 Bills &amp; Demand Data'!G54:G55)</f>
        <v>23934</v>
      </c>
      <c r="G19" s="158">
        <f>SUM('[2](C) RY#1 Bills &amp; Demand Data'!H54:H55)</f>
        <v>23934</v>
      </c>
      <c r="H19" s="158">
        <f>SUM('[2](C) RY#1 Bills &amp; Demand Data'!I54:I55)</f>
        <v>23934</v>
      </c>
      <c r="I19" s="158">
        <f>SUM('[2](C) RY#1 Bills &amp; Demand Data'!J54:J55)</f>
        <v>23934</v>
      </c>
      <c r="J19" s="158">
        <f>SUM('[2](C) RY#1 Bills &amp; Demand Data'!K54:K55)</f>
        <v>23934</v>
      </c>
      <c r="K19" s="158">
        <f>SUM('[2](C) RY#1 Bills &amp; Demand Data'!L54:L55)</f>
        <v>23934</v>
      </c>
      <c r="L19" s="158">
        <f>SUM('[2](C) RY#1 Bills &amp; Demand Data'!M54:M55)</f>
        <v>23934</v>
      </c>
      <c r="M19" s="158">
        <f>SUM('[2](C) RY#1 Bills &amp; Demand Data'!N54:N55)</f>
        <v>23934</v>
      </c>
      <c r="N19" s="68">
        <f t="shared" si="1"/>
        <v>287208</v>
      </c>
    </row>
    <row r="20" spans="1:14" x14ac:dyDescent="0.25">
      <c r="A20" s="5" t="s">
        <v>6</v>
      </c>
      <c r="B20" s="35">
        <f t="shared" ref="B20:N20" si="2">SUM(B7:B19)</f>
        <v>572152</v>
      </c>
      <c r="C20" s="35">
        <f t="shared" si="2"/>
        <v>572152</v>
      </c>
      <c r="D20" s="35">
        <f t="shared" si="2"/>
        <v>572152</v>
      </c>
      <c r="E20" s="35">
        <f t="shared" si="2"/>
        <v>572152</v>
      </c>
      <c r="F20" s="35">
        <f t="shared" si="2"/>
        <v>572152</v>
      </c>
      <c r="G20" s="35">
        <f t="shared" si="2"/>
        <v>572152</v>
      </c>
      <c r="H20" s="35">
        <f t="shared" si="2"/>
        <v>572152</v>
      </c>
      <c r="I20" s="35">
        <f t="shared" si="2"/>
        <v>572152</v>
      </c>
      <c r="J20" s="35">
        <f t="shared" si="2"/>
        <v>572152</v>
      </c>
      <c r="K20" s="35">
        <f t="shared" si="2"/>
        <v>572152</v>
      </c>
      <c r="L20" s="35">
        <f t="shared" si="2"/>
        <v>572152</v>
      </c>
      <c r="M20" s="35">
        <f t="shared" si="2"/>
        <v>572152</v>
      </c>
      <c r="N20" s="35">
        <f t="shared" si="2"/>
        <v>6865824</v>
      </c>
    </row>
    <row r="23" spans="1:14" x14ac:dyDescent="0.25">
      <c r="A23" s="36" t="s">
        <v>267</v>
      </c>
    </row>
    <row r="24" spans="1:14" x14ac:dyDescent="0.25">
      <c r="A24" s="169" t="s">
        <v>21</v>
      </c>
      <c r="B24" s="58">
        <f t="shared" ref="B24:M24" si="3">+B6</f>
        <v>44927</v>
      </c>
      <c r="C24" s="58">
        <f t="shared" si="3"/>
        <v>44958</v>
      </c>
      <c r="D24" s="58">
        <f t="shared" si="3"/>
        <v>44986</v>
      </c>
      <c r="E24" s="58">
        <f t="shared" si="3"/>
        <v>45017</v>
      </c>
      <c r="F24" s="58">
        <f t="shared" si="3"/>
        <v>45047</v>
      </c>
      <c r="G24" s="58">
        <f t="shared" si="3"/>
        <v>45078</v>
      </c>
      <c r="H24" s="58">
        <f t="shared" si="3"/>
        <v>45108</v>
      </c>
      <c r="I24" s="58">
        <f t="shared" si="3"/>
        <v>45139</v>
      </c>
      <c r="J24" s="58">
        <f t="shared" si="3"/>
        <v>45170</v>
      </c>
      <c r="K24" s="58">
        <f t="shared" si="3"/>
        <v>45200</v>
      </c>
      <c r="L24" s="58">
        <f t="shared" si="3"/>
        <v>45231</v>
      </c>
      <c r="M24" s="58">
        <f t="shared" si="3"/>
        <v>45261</v>
      </c>
      <c r="N24" s="59" t="s">
        <v>95</v>
      </c>
    </row>
    <row r="25" spans="1:14" x14ac:dyDescent="0.25">
      <c r="A25" s="5" t="s">
        <v>96</v>
      </c>
      <c r="B25" s="131">
        <v>0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35">
        <f>SUM(B25:M25)</f>
        <v>0</v>
      </c>
    </row>
    <row r="26" spans="1:14" x14ac:dyDescent="0.25">
      <c r="A26" s="5" t="s">
        <v>97</v>
      </c>
      <c r="B26" s="61">
        <f>'[2](C) RY#1 Bills &amp; Demand Data'!C13</f>
        <v>824680</v>
      </c>
      <c r="C26" s="61">
        <f>'[2](C) RY#1 Bills &amp; Demand Data'!D13</f>
        <v>825242</v>
      </c>
      <c r="D26" s="61">
        <f>'[2](C) RY#1 Bills &amp; Demand Data'!E13</f>
        <v>825507</v>
      </c>
      <c r="E26" s="61">
        <f>'[2](C) RY#1 Bills &amp; Demand Data'!F13</f>
        <v>825363</v>
      </c>
      <c r="F26" s="61">
        <f>'[2](C) RY#1 Bills &amp; Demand Data'!G13</f>
        <v>825589</v>
      </c>
      <c r="G26" s="61">
        <f>'[2](C) RY#1 Bills &amp; Demand Data'!H13</f>
        <v>825814</v>
      </c>
      <c r="H26" s="61">
        <f>'[2](C) RY#1 Bills &amp; Demand Data'!I13</f>
        <v>826038</v>
      </c>
      <c r="I26" s="61">
        <f>'[2](C) RY#1 Bills &amp; Demand Data'!J13</f>
        <v>826259</v>
      </c>
      <c r="J26" s="61">
        <f>'[2](C) RY#1 Bills &amp; Demand Data'!K13</f>
        <v>827193</v>
      </c>
      <c r="K26" s="61">
        <f>'[2](C) RY#1 Bills &amp; Demand Data'!L13</f>
        <v>829805</v>
      </c>
      <c r="L26" s="61">
        <f>'[2](C) RY#1 Bills &amp; Demand Data'!M13</f>
        <v>831976</v>
      </c>
      <c r="M26" s="61">
        <f>'[2](C) RY#1 Bills &amp; Demand Data'!N13</f>
        <v>833379</v>
      </c>
      <c r="N26" s="35">
        <f>SUM(B26:M26)</f>
        <v>9926845</v>
      </c>
    </row>
    <row r="27" spans="1:14" x14ac:dyDescent="0.25">
      <c r="A27" s="5" t="s">
        <v>98</v>
      </c>
      <c r="B27" s="61">
        <f>'[2](C) RY#1 Bills &amp; Demand Data'!C22</f>
        <v>0</v>
      </c>
      <c r="C27" s="61">
        <f>'[2](C) RY#1 Bills &amp; Demand Data'!D22</f>
        <v>0</v>
      </c>
      <c r="D27" s="61">
        <f>'[2](C) RY#1 Bills &amp; Demand Data'!E22</f>
        <v>0</v>
      </c>
      <c r="E27" s="61">
        <f>'[2](C) RY#1 Bills &amp; Demand Data'!F22</f>
        <v>0</v>
      </c>
      <c r="F27" s="61">
        <f>'[2](C) RY#1 Bills &amp; Demand Data'!G22</f>
        <v>0</v>
      </c>
      <c r="G27" s="61">
        <f>'[2](C) RY#1 Bills &amp; Demand Data'!H22</f>
        <v>0</v>
      </c>
      <c r="H27" s="61">
        <f>'[2](C) RY#1 Bills &amp; Demand Data'!I22</f>
        <v>0</v>
      </c>
      <c r="I27" s="61">
        <f>'[2](C) RY#1 Bills &amp; Demand Data'!J22</f>
        <v>0</v>
      </c>
      <c r="J27" s="61">
        <f>'[2](C) RY#1 Bills &amp; Demand Data'!K22</f>
        <v>0</v>
      </c>
      <c r="K27" s="61">
        <f>'[2](C) RY#1 Bills &amp; Demand Data'!L22</f>
        <v>0</v>
      </c>
      <c r="L27" s="61">
        <f>'[2](C) RY#1 Bills &amp; Demand Data'!M22</f>
        <v>0</v>
      </c>
      <c r="M27" s="61">
        <f>'[2](C) RY#1 Bills &amp; Demand Data'!N22</f>
        <v>0</v>
      </c>
      <c r="N27" s="35">
        <f t="shared" ref="N27:N37" si="4">SUM(B27:M27)</f>
        <v>0</v>
      </c>
    </row>
    <row r="28" spans="1:14" x14ac:dyDescent="0.25">
      <c r="A28" s="5" t="s">
        <v>99</v>
      </c>
      <c r="B28" s="61">
        <f>SUM('[2](C) RY#1 Bills &amp; Demand Data'!C14:C15)</f>
        <v>59024</v>
      </c>
      <c r="C28" s="61">
        <f>SUM('[2](C) RY#1 Bills &amp; Demand Data'!D14:D15)</f>
        <v>59084</v>
      </c>
      <c r="D28" s="61">
        <f>SUM('[2](C) RY#1 Bills &amp; Demand Data'!E14:E15)</f>
        <v>59137</v>
      </c>
      <c r="E28" s="61">
        <f>SUM('[2](C) RY#1 Bills &amp; Demand Data'!F14:F15)</f>
        <v>59181</v>
      </c>
      <c r="F28" s="61">
        <f>SUM('[2](C) RY#1 Bills &amp; Demand Data'!G14:G15)</f>
        <v>59164</v>
      </c>
      <c r="G28" s="61">
        <f>SUM('[2](C) RY#1 Bills &amp; Demand Data'!H14:H15)</f>
        <v>59142</v>
      </c>
      <c r="H28" s="61">
        <f>SUM('[2](C) RY#1 Bills &amp; Demand Data'!I14:I15)</f>
        <v>59137</v>
      </c>
      <c r="I28" s="61">
        <f>SUM('[2](C) RY#1 Bills &amp; Demand Data'!J14:J15)</f>
        <v>59126</v>
      </c>
      <c r="J28" s="61">
        <f>SUM('[2](C) RY#1 Bills &amp; Demand Data'!K14:K15)</f>
        <v>59167</v>
      </c>
      <c r="K28" s="61">
        <f>SUM('[2](C) RY#1 Bills &amp; Demand Data'!L14:L15)</f>
        <v>59209</v>
      </c>
      <c r="L28" s="61">
        <f>SUM('[2](C) RY#1 Bills &amp; Demand Data'!M14:M15)</f>
        <v>59252</v>
      </c>
      <c r="M28" s="61">
        <f>SUM('[2](C) RY#1 Bills &amp; Demand Data'!N14:N15)</f>
        <v>59302</v>
      </c>
      <c r="N28" s="35">
        <f t="shared" si="4"/>
        <v>709925</v>
      </c>
    </row>
    <row r="29" spans="1:14" x14ac:dyDescent="0.25">
      <c r="A29" s="5" t="s">
        <v>102</v>
      </c>
      <c r="B29" s="61">
        <f>SUM('[2](C) RY#1 Bills &amp; Demand Data'!C16:C17)</f>
        <v>2</v>
      </c>
      <c r="C29" s="61">
        <f>SUM('[2](C) RY#1 Bills &amp; Demand Data'!D16:D17)</f>
        <v>2</v>
      </c>
      <c r="D29" s="61">
        <f>SUM('[2](C) RY#1 Bills &amp; Demand Data'!E16:E17)</f>
        <v>2</v>
      </c>
      <c r="E29" s="61">
        <f>SUM('[2](C) RY#1 Bills &amp; Demand Data'!F16:F17)</f>
        <v>2</v>
      </c>
      <c r="F29" s="61">
        <f>SUM('[2](C) RY#1 Bills &amp; Demand Data'!G16:G17)</f>
        <v>2</v>
      </c>
      <c r="G29" s="61">
        <f>SUM('[2](C) RY#1 Bills &amp; Demand Data'!H16:H17)</f>
        <v>2</v>
      </c>
      <c r="H29" s="61">
        <f>SUM('[2](C) RY#1 Bills &amp; Demand Data'!I16:I17)</f>
        <v>2</v>
      </c>
      <c r="I29" s="61">
        <f>SUM('[2](C) RY#1 Bills &amp; Demand Data'!J16:J17)</f>
        <v>2</v>
      </c>
      <c r="J29" s="61">
        <f>SUM('[2](C) RY#1 Bills &amp; Demand Data'!K16:K17)</f>
        <v>2</v>
      </c>
      <c r="K29" s="61">
        <f>SUM('[2](C) RY#1 Bills &amp; Demand Data'!L16:L17)</f>
        <v>2</v>
      </c>
      <c r="L29" s="61">
        <f>SUM('[2](C) RY#1 Bills &amp; Demand Data'!M16:M17)</f>
        <v>2</v>
      </c>
      <c r="M29" s="61">
        <f>SUM('[2](C) RY#1 Bills &amp; Demand Data'!N16:N17)</f>
        <v>2</v>
      </c>
      <c r="N29" s="35">
        <f>SUM(B29:M29)</f>
        <v>24</v>
      </c>
    </row>
    <row r="30" spans="1:14" x14ac:dyDescent="0.25">
      <c r="A30" s="5" t="s">
        <v>100</v>
      </c>
      <c r="B30" s="61">
        <f>SUM('[2](C) RY#1 Bills &amp; Demand Data'!C18:C19)</f>
        <v>1309</v>
      </c>
      <c r="C30" s="61">
        <f>SUM('[2](C) RY#1 Bills &amp; Demand Data'!D18:D19)</f>
        <v>1308</v>
      </c>
      <c r="D30" s="61">
        <f>SUM('[2](C) RY#1 Bills &amp; Demand Data'!E18:E19)</f>
        <v>1311</v>
      </c>
      <c r="E30" s="61">
        <f>SUM('[2](C) RY#1 Bills &amp; Demand Data'!F18:F19)</f>
        <v>1311</v>
      </c>
      <c r="F30" s="61">
        <f>SUM('[2](C) RY#1 Bills &amp; Demand Data'!G18:G19)</f>
        <v>1308</v>
      </c>
      <c r="G30" s="61">
        <f>SUM('[2](C) RY#1 Bills &amp; Demand Data'!H18:H19)</f>
        <v>1306</v>
      </c>
      <c r="H30" s="61">
        <f>SUM('[2](C) RY#1 Bills &amp; Demand Data'!I18:I19)</f>
        <v>1294</v>
      </c>
      <c r="I30" s="61">
        <f>SUM('[2](C) RY#1 Bills &amp; Demand Data'!J18:J19)</f>
        <v>1290</v>
      </c>
      <c r="J30" s="61">
        <f>SUM('[2](C) RY#1 Bills &amp; Demand Data'!K18:K19)</f>
        <v>1292</v>
      </c>
      <c r="K30" s="61">
        <f>SUM('[2](C) RY#1 Bills &amp; Demand Data'!L18:L19)</f>
        <v>1294</v>
      </c>
      <c r="L30" s="61">
        <f>SUM('[2](C) RY#1 Bills &amp; Demand Data'!M18:M19)</f>
        <v>1294</v>
      </c>
      <c r="M30" s="61">
        <f>SUM('[2](C) RY#1 Bills &amp; Demand Data'!N18:N19)</f>
        <v>1292</v>
      </c>
      <c r="N30" s="35">
        <f>SUM(B30:M30)</f>
        <v>15609</v>
      </c>
    </row>
    <row r="31" spans="1:14" x14ac:dyDescent="0.25">
      <c r="A31" s="5" t="s">
        <v>101</v>
      </c>
      <c r="B31" s="61">
        <f>SUM('[2](C) RY#1 Bills &amp; Demand Data'!C20:C21)</f>
        <v>86</v>
      </c>
      <c r="C31" s="61">
        <f>SUM('[2](C) RY#1 Bills &amp; Demand Data'!D20:D21)</f>
        <v>86</v>
      </c>
      <c r="D31" s="61">
        <f>SUM('[2](C) RY#1 Bills &amp; Demand Data'!E20:E21)</f>
        <v>86</v>
      </c>
      <c r="E31" s="61">
        <f>SUM('[2](C) RY#1 Bills &amp; Demand Data'!F20:F21)</f>
        <v>86</v>
      </c>
      <c r="F31" s="61">
        <f>SUM('[2](C) RY#1 Bills &amp; Demand Data'!G20:G21)</f>
        <v>86</v>
      </c>
      <c r="G31" s="61">
        <f>SUM('[2](C) RY#1 Bills &amp; Demand Data'!H20:H21)</f>
        <v>86</v>
      </c>
      <c r="H31" s="61">
        <f>SUM('[2](C) RY#1 Bills &amp; Demand Data'!I20:I21)</f>
        <v>86</v>
      </c>
      <c r="I31" s="61">
        <f>SUM('[2](C) RY#1 Bills &amp; Demand Data'!J20:J21)</f>
        <v>86</v>
      </c>
      <c r="J31" s="61">
        <f>SUM('[2](C) RY#1 Bills &amp; Demand Data'!K20:K21)</f>
        <v>86</v>
      </c>
      <c r="K31" s="61">
        <f>SUM('[2](C) RY#1 Bills &amp; Demand Data'!L20:L21)</f>
        <v>86</v>
      </c>
      <c r="L31" s="61">
        <f>SUM('[2](C) RY#1 Bills &amp; Demand Data'!M20:M21)</f>
        <v>86</v>
      </c>
      <c r="M31" s="61">
        <f>SUM('[2](C) RY#1 Bills &amp; Demand Data'!N20:N21)</f>
        <v>86</v>
      </c>
      <c r="N31" s="35">
        <f>SUM(B31:M31)</f>
        <v>1032</v>
      </c>
    </row>
    <row r="32" spans="1:14" x14ac:dyDescent="0.25">
      <c r="A32" s="5" t="s">
        <v>103</v>
      </c>
      <c r="B32" s="61">
        <f>SUM('[2](C) RY#1 Bills &amp; Demand Data'!C23:C24)</f>
        <v>33</v>
      </c>
      <c r="C32" s="61">
        <f>SUM('[2](C) RY#1 Bills &amp; Demand Data'!D23:D24)</f>
        <v>33</v>
      </c>
      <c r="D32" s="61">
        <f>SUM('[2](C) RY#1 Bills &amp; Demand Data'!E23:E24)</f>
        <v>33</v>
      </c>
      <c r="E32" s="61">
        <f>SUM('[2](C) RY#1 Bills &amp; Demand Data'!F23:F24)</f>
        <v>33</v>
      </c>
      <c r="F32" s="61">
        <f>SUM('[2](C) RY#1 Bills &amp; Demand Data'!G23:G24)</f>
        <v>33</v>
      </c>
      <c r="G32" s="61">
        <f>SUM('[2](C) RY#1 Bills &amp; Demand Data'!H23:H24)</f>
        <v>33</v>
      </c>
      <c r="H32" s="61">
        <f>SUM('[2](C) RY#1 Bills &amp; Demand Data'!I23:I24)</f>
        <v>33</v>
      </c>
      <c r="I32" s="61">
        <f>SUM('[2](C) RY#1 Bills &amp; Demand Data'!J23:J24)</f>
        <v>33</v>
      </c>
      <c r="J32" s="61">
        <f>SUM('[2](C) RY#1 Bills &amp; Demand Data'!K23:K24)</f>
        <v>33</v>
      </c>
      <c r="K32" s="61">
        <f>SUM('[2](C) RY#1 Bills &amp; Demand Data'!L23:L24)</f>
        <v>33</v>
      </c>
      <c r="L32" s="61">
        <f>SUM('[2](C) RY#1 Bills &amp; Demand Data'!M23:M24)</f>
        <v>33</v>
      </c>
      <c r="M32" s="61">
        <f>SUM('[2](C) RY#1 Bills &amp; Demand Data'!N23:N24)</f>
        <v>33</v>
      </c>
      <c r="N32" s="35">
        <f t="shared" si="4"/>
        <v>396</v>
      </c>
    </row>
    <row r="33" spans="1:14" x14ac:dyDescent="0.25">
      <c r="A33" s="5" t="s">
        <v>104</v>
      </c>
      <c r="B33" s="61">
        <f>SUM('[2](C) RY#1 Bills &amp; Demand Data'!C25:C26)</f>
        <v>73</v>
      </c>
      <c r="C33" s="61">
        <f>SUM('[2](C) RY#1 Bills &amp; Demand Data'!D25:D26)</f>
        <v>73</v>
      </c>
      <c r="D33" s="61">
        <f>SUM('[2](C) RY#1 Bills &amp; Demand Data'!E25:E26)</f>
        <v>73</v>
      </c>
      <c r="E33" s="61">
        <f>SUM('[2](C) RY#1 Bills &amp; Demand Data'!F25:F26)</f>
        <v>73</v>
      </c>
      <c r="F33" s="61">
        <f>SUM('[2](C) RY#1 Bills &amp; Demand Data'!G25:G26)</f>
        <v>73</v>
      </c>
      <c r="G33" s="61">
        <f>SUM('[2](C) RY#1 Bills &amp; Demand Data'!H25:H26)</f>
        <v>73</v>
      </c>
      <c r="H33" s="61">
        <f>SUM('[2](C) RY#1 Bills &amp; Demand Data'!I25:I26)</f>
        <v>73</v>
      </c>
      <c r="I33" s="61">
        <f>SUM('[2](C) RY#1 Bills &amp; Demand Data'!J25:J26)</f>
        <v>73</v>
      </c>
      <c r="J33" s="61">
        <f>SUM('[2](C) RY#1 Bills &amp; Demand Data'!K25:K26)</f>
        <v>73</v>
      </c>
      <c r="K33" s="61">
        <f>SUM('[2](C) RY#1 Bills &amp; Demand Data'!L25:L26)</f>
        <v>73</v>
      </c>
      <c r="L33" s="61">
        <f>SUM('[2](C) RY#1 Bills &amp; Demand Data'!M25:M26)</f>
        <v>73</v>
      </c>
      <c r="M33" s="61">
        <f>SUM('[2](C) RY#1 Bills &amp; Demand Data'!N25:N26)</f>
        <v>73</v>
      </c>
      <c r="N33" s="35">
        <f t="shared" si="4"/>
        <v>876</v>
      </c>
    </row>
    <row r="34" spans="1:14" x14ac:dyDescent="0.25">
      <c r="A34" s="5" t="s">
        <v>105</v>
      </c>
      <c r="B34" s="61">
        <f>SUM('[2](C) RY#1 Bills &amp; Demand Data'!C27:C28)</f>
        <v>102</v>
      </c>
      <c r="C34" s="61">
        <f>SUM('[2](C) RY#1 Bills &amp; Demand Data'!D27:D28)</f>
        <v>102</v>
      </c>
      <c r="D34" s="61">
        <f>SUM('[2](C) RY#1 Bills &amp; Demand Data'!E27:E28)</f>
        <v>101</v>
      </c>
      <c r="E34" s="61">
        <f>SUM('[2](C) RY#1 Bills &amp; Demand Data'!F27:F28)</f>
        <v>101</v>
      </c>
      <c r="F34" s="61">
        <f>SUM('[2](C) RY#1 Bills &amp; Demand Data'!G27:G28)</f>
        <v>100</v>
      </c>
      <c r="G34" s="61">
        <f>SUM('[2](C) RY#1 Bills &amp; Demand Data'!H27:H28)</f>
        <v>100</v>
      </c>
      <c r="H34" s="61">
        <f>SUM('[2](C) RY#1 Bills &amp; Demand Data'!I27:I28)</f>
        <v>99</v>
      </c>
      <c r="I34" s="61">
        <f>SUM('[2](C) RY#1 Bills &amp; Demand Data'!J27:J28)</f>
        <v>99</v>
      </c>
      <c r="J34" s="61">
        <f>SUM('[2](C) RY#1 Bills &amp; Demand Data'!K27:K28)</f>
        <v>98</v>
      </c>
      <c r="K34" s="61">
        <f>SUM('[2](C) RY#1 Bills &amp; Demand Data'!L27:L28)</f>
        <v>98</v>
      </c>
      <c r="L34" s="61">
        <f>SUM('[2](C) RY#1 Bills &amp; Demand Data'!M27:M28)</f>
        <v>97</v>
      </c>
      <c r="M34" s="61">
        <f>SUM('[2](C) RY#1 Bills &amp; Demand Data'!N27:N28)</f>
        <v>97</v>
      </c>
      <c r="N34" s="35">
        <f t="shared" si="4"/>
        <v>1194</v>
      </c>
    </row>
    <row r="35" spans="1:14" x14ac:dyDescent="0.25">
      <c r="A35" s="5" t="s">
        <v>106</v>
      </c>
      <c r="B35" s="61">
        <f>SUM('[2](C) RY#1 Bills &amp; Demand Data'!C29:C30)</f>
        <v>8</v>
      </c>
      <c r="C35" s="61">
        <f>SUM('[2](C) RY#1 Bills &amp; Demand Data'!D29:D30)</f>
        <v>8</v>
      </c>
      <c r="D35" s="61">
        <f>SUM('[2](C) RY#1 Bills &amp; Demand Data'!E29:E30)</f>
        <v>8</v>
      </c>
      <c r="E35" s="61">
        <f>SUM('[2](C) RY#1 Bills &amp; Demand Data'!F29:F30)</f>
        <v>8</v>
      </c>
      <c r="F35" s="61">
        <f>SUM('[2](C) RY#1 Bills &amp; Demand Data'!G29:G30)</f>
        <v>8</v>
      </c>
      <c r="G35" s="61">
        <f>SUM('[2](C) RY#1 Bills &amp; Demand Data'!H29:H30)</f>
        <v>8</v>
      </c>
      <c r="H35" s="61">
        <f>SUM('[2](C) RY#1 Bills &amp; Demand Data'!I29:I30)</f>
        <v>8</v>
      </c>
      <c r="I35" s="61">
        <f>SUM('[2](C) RY#1 Bills &amp; Demand Data'!J29:J30)</f>
        <v>8</v>
      </c>
      <c r="J35" s="61">
        <f>SUM('[2](C) RY#1 Bills &amp; Demand Data'!K29:K30)</f>
        <v>8</v>
      </c>
      <c r="K35" s="61">
        <f>SUM('[2](C) RY#1 Bills &amp; Demand Data'!L29:L30)</f>
        <v>8</v>
      </c>
      <c r="L35" s="61">
        <f>SUM('[2](C) RY#1 Bills &amp; Demand Data'!M29:M30)</f>
        <v>8</v>
      </c>
      <c r="M35" s="61">
        <f>SUM('[2](C) RY#1 Bills &amp; Demand Data'!N29:N30)</f>
        <v>8</v>
      </c>
      <c r="N35" s="35">
        <f t="shared" si="4"/>
        <v>96</v>
      </c>
    </row>
    <row r="36" spans="1:14" x14ac:dyDescent="0.25">
      <c r="A36" s="5" t="s">
        <v>107</v>
      </c>
      <c r="B36" s="61">
        <f>SUM('[2](C) RY#1 Bills &amp; Demand Data'!C31:C32)</f>
        <v>5</v>
      </c>
      <c r="C36" s="61">
        <f>SUM('[2](C) RY#1 Bills &amp; Demand Data'!D31:D32)</f>
        <v>5</v>
      </c>
      <c r="D36" s="61">
        <f>SUM('[2](C) RY#1 Bills &amp; Demand Data'!E31:E32)</f>
        <v>5</v>
      </c>
      <c r="E36" s="61">
        <f>SUM('[2](C) RY#1 Bills &amp; Demand Data'!F31:F32)</f>
        <v>5</v>
      </c>
      <c r="F36" s="61">
        <f>SUM('[2](C) RY#1 Bills &amp; Demand Data'!G31:G32)</f>
        <v>5</v>
      </c>
      <c r="G36" s="61">
        <f>SUM('[2](C) RY#1 Bills &amp; Demand Data'!H31:H32)</f>
        <v>5</v>
      </c>
      <c r="H36" s="61">
        <f>SUM('[2](C) RY#1 Bills &amp; Demand Data'!I31:I32)</f>
        <v>5</v>
      </c>
      <c r="I36" s="61">
        <f>SUM('[2](C) RY#1 Bills &amp; Demand Data'!J31:J32)</f>
        <v>5</v>
      </c>
      <c r="J36" s="61">
        <f>SUM('[2](C) RY#1 Bills &amp; Demand Data'!K31:K32)</f>
        <v>5</v>
      </c>
      <c r="K36" s="61">
        <f>SUM('[2](C) RY#1 Bills &amp; Demand Data'!L31:L32)</f>
        <v>5</v>
      </c>
      <c r="L36" s="61">
        <f>SUM('[2](C) RY#1 Bills &amp; Demand Data'!M31:M32)</f>
        <v>5</v>
      </c>
      <c r="M36" s="61">
        <f>SUM('[2](C) RY#1 Bills &amp; Demand Data'!N31:N32)</f>
        <v>5</v>
      </c>
      <c r="N36" s="35">
        <f t="shared" si="4"/>
        <v>60</v>
      </c>
    </row>
    <row r="37" spans="1:14" x14ac:dyDescent="0.25">
      <c r="A37" s="5" t="s">
        <v>108</v>
      </c>
      <c r="B37" s="158">
        <f>SUM('[2](C) RY#1 Bills &amp; Demand Data'!C33:C34)</f>
        <v>11</v>
      </c>
      <c r="C37" s="158">
        <f>SUM('[2](C) RY#1 Bills &amp; Demand Data'!D33:D34)</f>
        <v>11</v>
      </c>
      <c r="D37" s="158">
        <f>SUM('[2](C) RY#1 Bills &amp; Demand Data'!E33:E34)</f>
        <v>11</v>
      </c>
      <c r="E37" s="158">
        <f>SUM('[2](C) RY#1 Bills &amp; Demand Data'!F33:F34)</f>
        <v>11</v>
      </c>
      <c r="F37" s="158">
        <f>SUM('[2](C) RY#1 Bills &amp; Demand Data'!G33:G34)</f>
        <v>11</v>
      </c>
      <c r="G37" s="158">
        <f>SUM('[2](C) RY#1 Bills &amp; Demand Data'!H33:H34)</f>
        <v>11</v>
      </c>
      <c r="H37" s="158">
        <f>SUM('[2](C) RY#1 Bills &amp; Demand Data'!I33:I34)</f>
        <v>11</v>
      </c>
      <c r="I37" s="158">
        <f>SUM('[2](C) RY#1 Bills &amp; Demand Data'!J33:J34)</f>
        <v>11</v>
      </c>
      <c r="J37" s="158">
        <f>SUM('[2](C) RY#1 Bills &amp; Demand Data'!K33:K34)</f>
        <v>11</v>
      </c>
      <c r="K37" s="158">
        <f>SUM('[2](C) RY#1 Bills &amp; Demand Data'!L33:L34)</f>
        <v>11</v>
      </c>
      <c r="L37" s="158">
        <f>SUM('[2](C) RY#1 Bills &amp; Demand Data'!M33:M34)</f>
        <v>11</v>
      </c>
      <c r="M37" s="158">
        <f>SUM('[2](C) RY#1 Bills &amp; Demand Data'!N33:N34)</f>
        <v>11</v>
      </c>
      <c r="N37" s="68">
        <f t="shared" si="4"/>
        <v>132</v>
      </c>
    </row>
    <row r="38" spans="1:14" x14ac:dyDescent="0.25">
      <c r="A38" s="5" t="s">
        <v>6</v>
      </c>
      <c r="B38" s="35">
        <f t="shared" ref="B38:N38" si="5">SUM(B25:B37)</f>
        <v>885333</v>
      </c>
      <c r="C38" s="35">
        <f t="shared" si="5"/>
        <v>885954</v>
      </c>
      <c r="D38" s="35">
        <f t="shared" si="5"/>
        <v>886274</v>
      </c>
      <c r="E38" s="35">
        <f t="shared" si="5"/>
        <v>886174</v>
      </c>
      <c r="F38" s="35">
        <f t="shared" si="5"/>
        <v>886379</v>
      </c>
      <c r="G38" s="35">
        <f t="shared" si="5"/>
        <v>886580</v>
      </c>
      <c r="H38" s="35">
        <f t="shared" si="5"/>
        <v>886786</v>
      </c>
      <c r="I38" s="35">
        <f t="shared" si="5"/>
        <v>886992</v>
      </c>
      <c r="J38" s="35">
        <f t="shared" si="5"/>
        <v>887968</v>
      </c>
      <c r="K38" s="35">
        <f t="shared" si="5"/>
        <v>890624</v>
      </c>
      <c r="L38" s="35">
        <f t="shared" si="5"/>
        <v>892837</v>
      </c>
      <c r="M38" s="35">
        <f t="shared" si="5"/>
        <v>894288</v>
      </c>
      <c r="N38" s="35">
        <f t="shared" si="5"/>
        <v>10656189</v>
      </c>
    </row>
    <row r="46" spans="1:14" x14ac:dyDescent="0.25">
      <c r="C46" s="14"/>
      <c r="D46" s="35"/>
    </row>
  </sheetData>
  <pageMargins left="0.7" right="0.7" top="0.75" bottom="0.75" header="0.3" footer="0.3"/>
  <pageSetup scale="62" orientation="landscape" r:id="rId1"/>
  <headerFooter>
    <oddFooter>&amp;L&amp;F
&amp;A&amp;C&amp;P&amp;R&amp;D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38"/>
  <sheetViews>
    <sheetView zoomScale="90" zoomScaleNormal="90" workbookViewId="0">
      <pane xSplit="3" ySplit="9" topLeftCell="D10" activePane="bottomRight" state="frozenSplit"/>
      <selection activeCell="C32" sqref="C32"/>
      <selection pane="topRight" activeCell="C32" sqref="C32"/>
      <selection pane="bottomLeft" activeCell="C32" sqref="C32"/>
      <selection pane="bottomRight" activeCell="Q26" sqref="Q26"/>
    </sheetView>
  </sheetViews>
  <sheetFormatPr defaultRowHeight="15" x14ac:dyDescent="0.25"/>
  <cols>
    <col min="1" max="1" width="2.85546875" customWidth="1"/>
    <col min="2" max="2" width="37.5703125" customWidth="1"/>
    <col min="3" max="3" width="9.140625" bestFit="1" customWidth="1"/>
    <col min="4" max="4" width="16.140625" bestFit="1" customWidth="1"/>
    <col min="5" max="5" width="2.28515625" customWidth="1"/>
    <col min="6" max="6" width="16" bestFit="1" customWidth="1"/>
    <col min="7" max="7" width="10.42578125" customWidth="1"/>
    <col min="8" max="8" width="2.28515625" customWidth="1"/>
    <col min="9" max="9" width="16" bestFit="1" customWidth="1"/>
    <col min="10" max="10" width="10.42578125" customWidth="1"/>
    <col min="11" max="11" width="2.28515625" customWidth="1"/>
    <col min="12" max="12" width="16.140625" bestFit="1" customWidth="1"/>
    <col min="13" max="13" width="16" bestFit="1" customWidth="1"/>
    <col min="14" max="14" width="11.5703125" customWidth="1"/>
    <col min="15" max="15" width="7.85546875" customWidth="1"/>
    <col min="16" max="16" width="9.28515625" customWidth="1"/>
  </cols>
  <sheetData>
    <row r="1" spans="2:15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3"/>
    </row>
    <row r="2" spans="2:15" x14ac:dyDescent="0.25">
      <c r="B2" s="42" t="s">
        <v>195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/>
    </row>
    <row r="3" spans="2:15" x14ac:dyDescent="0.25">
      <c r="B3" s="151" t="s">
        <v>218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2:15" x14ac:dyDescent="0.25">
      <c r="B4" s="151" t="s">
        <v>219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</row>
    <row r="5" spans="2:15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5" x14ac:dyDescent="0.25">
      <c r="D6" s="66" t="s">
        <v>252</v>
      </c>
      <c r="E6" s="66"/>
      <c r="H6" s="3"/>
      <c r="L6" s="3" t="str">
        <f>D6</f>
        <v>12ME Dec. 2025</v>
      </c>
    </row>
    <row r="7" spans="2:15" x14ac:dyDescent="0.25">
      <c r="B7" s="3"/>
      <c r="C7" s="3"/>
      <c r="D7" s="3" t="s">
        <v>136</v>
      </c>
      <c r="E7" s="3"/>
      <c r="F7" s="3" t="s">
        <v>200</v>
      </c>
      <c r="G7" s="3" t="str">
        <f>F7</f>
        <v>Sch. 141N</v>
      </c>
      <c r="H7" s="3"/>
      <c r="I7" s="3" t="s">
        <v>198</v>
      </c>
      <c r="J7" s="3" t="str">
        <f>I7</f>
        <v>Sch. 141R</v>
      </c>
      <c r="K7" s="3"/>
      <c r="L7" s="3" t="s">
        <v>136</v>
      </c>
      <c r="M7" s="3"/>
      <c r="N7" s="3"/>
      <c r="O7" s="3"/>
    </row>
    <row r="8" spans="2:15" x14ac:dyDescent="0.25">
      <c r="B8" s="3"/>
      <c r="C8" s="3" t="s">
        <v>17</v>
      </c>
      <c r="D8" s="3" t="s">
        <v>188</v>
      </c>
      <c r="E8" s="3"/>
      <c r="F8" s="3" t="s">
        <v>199</v>
      </c>
      <c r="G8" s="3" t="str">
        <f>F8</f>
        <v>Rate Plan</v>
      </c>
      <c r="H8" s="3"/>
      <c r="I8" s="3" t="s">
        <v>199</v>
      </c>
      <c r="J8" s="3" t="str">
        <f>I8</f>
        <v>Rate Plan</v>
      </c>
      <c r="K8" s="3"/>
      <c r="L8" s="3" t="s">
        <v>189</v>
      </c>
      <c r="M8" s="3" t="s">
        <v>6</v>
      </c>
      <c r="N8" s="3" t="s">
        <v>6</v>
      </c>
      <c r="O8" s="3"/>
    </row>
    <row r="9" spans="2:15" x14ac:dyDescent="0.25">
      <c r="B9" s="80" t="s">
        <v>4</v>
      </c>
      <c r="C9" s="80" t="s">
        <v>21</v>
      </c>
      <c r="D9" s="80" t="s">
        <v>276</v>
      </c>
      <c r="E9" s="3"/>
      <c r="F9" s="80" t="s">
        <v>122</v>
      </c>
      <c r="G9" s="80" t="s">
        <v>190</v>
      </c>
      <c r="H9" s="3"/>
      <c r="I9" s="80" t="s">
        <v>122</v>
      </c>
      <c r="J9" s="80" t="s">
        <v>164</v>
      </c>
      <c r="K9" s="3"/>
      <c r="L9" s="80" t="s">
        <v>131</v>
      </c>
      <c r="M9" s="80" t="s">
        <v>122</v>
      </c>
      <c r="N9" s="80" t="s">
        <v>164</v>
      </c>
      <c r="O9" s="80"/>
    </row>
    <row r="10" spans="2:15" x14ac:dyDescent="0.25">
      <c r="B10" s="3" t="s">
        <v>25</v>
      </c>
      <c r="C10" s="3" t="s">
        <v>26</v>
      </c>
      <c r="D10" s="3" t="s">
        <v>27</v>
      </c>
      <c r="E10" s="3"/>
      <c r="F10" s="74" t="s">
        <v>28</v>
      </c>
      <c r="G10" s="4" t="s">
        <v>165</v>
      </c>
      <c r="H10" s="3"/>
      <c r="I10" s="74" t="s">
        <v>132</v>
      </c>
      <c r="J10" s="4" t="s">
        <v>191</v>
      </c>
      <c r="K10" s="4"/>
      <c r="L10" s="3" t="s">
        <v>215</v>
      </c>
      <c r="M10" s="74" t="s">
        <v>216</v>
      </c>
      <c r="N10" s="4" t="s">
        <v>217</v>
      </c>
      <c r="O10" s="3"/>
    </row>
    <row r="11" spans="2:15" x14ac:dyDescent="0.25">
      <c r="B11" t="s">
        <v>7</v>
      </c>
      <c r="C11" s="5" t="s">
        <v>30</v>
      </c>
      <c r="D11" s="118"/>
      <c r="E11" s="118"/>
      <c r="F11" s="120"/>
      <c r="G11" s="62" t="e">
        <f>F11/$D11</f>
        <v>#DIV/0!</v>
      </c>
      <c r="H11" s="6"/>
      <c r="I11" s="120"/>
      <c r="J11" s="62" t="e">
        <f>I11/$D11</f>
        <v>#DIV/0!</v>
      </c>
      <c r="K11" s="62"/>
      <c r="L11" s="8"/>
      <c r="M11" s="143">
        <f t="shared" ref="M11:M23" si="0">L11-D11</f>
        <v>0</v>
      </c>
      <c r="N11" s="62" t="e">
        <f>M11/$D11</f>
        <v>#DIV/0!</v>
      </c>
      <c r="O11" s="62"/>
    </row>
    <row r="12" spans="2:15" x14ac:dyDescent="0.25">
      <c r="B12" t="s">
        <v>31</v>
      </c>
      <c r="C12" s="5">
        <v>16</v>
      </c>
      <c r="D12" s="118"/>
      <c r="E12" s="118"/>
      <c r="F12" s="120"/>
      <c r="G12" s="62" t="e">
        <f t="shared" ref="G12:G22" si="1">F12/$D12</f>
        <v>#DIV/0!</v>
      </c>
      <c r="H12" s="6"/>
      <c r="I12" s="120"/>
      <c r="J12" s="62" t="e">
        <f t="shared" ref="J12:J22" si="2">I12/$D12</f>
        <v>#DIV/0!</v>
      </c>
      <c r="K12" s="62"/>
      <c r="L12" s="8"/>
      <c r="M12" s="143">
        <f t="shared" si="0"/>
        <v>0</v>
      </c>
      <c r="N12" s="62" t="e">
        <f t="shared" ref="N12:N24" si="3">M12/$D12</f>
        <v>#DIV/0!</v>
      </c>
      <c r="O12" s="62"/>
    </row>
    <row r="13" spans="2:15" x14ac:dyDescent="0.25">
      <c r="B13" t="s">
        <v>8</v>
      </c>
      <c r="C13" s="5">
        <v>31</v>
      </c>
      <c r="D13" s="118"/>
      <c r="E13" s="118"/>
      <c r="F13" s="120"/>
      <c r="G13" s="62" t="e">
        <f t="shared" si="1"/>
        <v>#DIV/0!</v>
      </c>
      <c r="H13" s="6"/>
      <c r="I13" s="120"/>
      <c r="J13" s="62" t="e">
        <f t="shared" si="2"/>
        <v>#DIV/0!</v>
      </c>
      <c r="K13" s="62"/>
      <c r="L13" s="8"/>
      <c r="M13" s="143">
        <f t="shared" si="0"/>
        <v>0</v>
      </c>
      <c r="N13" s="62" t="e">
        <f t="shared" si="3"/>
        <v>#DIV/0!</v>
      </c>
      <c r="O13" s="62"/>
    </row>
    <row r="14" spans="2:15" x14ac:dyDescent="0.25">
      <c r="B14" t="s">
        <v>9</v>
      </c>
      <c r="C14" s="5">
        <v>41</v>
      </c>
      <c r="D14" s="118"/>
      <c r="E14" s="118"/>
      <c r="F14" s="120"/>
      <c r="G14" s="62" t="e">
        <f t="shared" si="1"/>
        <v>#DIV/0!</v>
      </c>
      <c r="H14" s="6"/>
      <c r="I14" s="120"/>
      <c r="J14" s="62" t="e">
        <f t="shared" si="2"/>
        <v>#DIV/0!</v>
      </c>
      <c r="K14" s="62"/>
      <c r="L14" s="8"/>
      <c r="M14" s="143">
        <f t="shared" si="0"/>
        <v>0</v>
      </c>
      <c r="N14" s="62" t="e">
        <f t="shared" si="3"/>
        <v>#DIV/0!</v>
      </c>
      <c r="O14" s="62"/>
    </row>
    <row r="15" spans="2:15" x14ac:dyDescent="0.25">
      <c r="B15" t="s">
        <v>10</v>
      </c>
      <c r="C15" s="5">
        <v>85</v>
      </c>
      <c r="D15" s="118"/>
      <c r="E15" s="118"/>
      <c r="F15" s="120"/>
      <c r="G15" s="62" t="e">
        <f t="shared" si="1"/>
        <v>#DIV/0!</v>
      </c>
      <c r="H15" s="6"/>
      <c r="I15" s="120"/>
      <c r="J15" s="62" t="e">
        <f t="shared" si="2"/>
        <v>#DIV/0!</v>
      </c>
      <c r="K15" s="62"/>
      <c r="L15" s="8"/>
      <c r="M15" s="143">
        <f t="shared" si="0"/>
        <v>0</v>
      </c>
      <c r="N15" s="62" t="e">
        <f t="shared" si="3"/>
        <v>#DIV/0!</v>
      </c>
      <c r="O15" s="62"/>
    </row>
    <row r="16" spans="2:15" x14ac:dyDescent="0.25">
      <c r="B16" t="s">
        <v>11</v>
      </c>
      <c r="C16" s="5">
        <v>86</v>
      </c>
      <c r="D16" s="118"/>
      <c r="E16" s="118"/>
      <c r="F16" s="120"/>
      <c r="G16" s="62" t="e">
        <f t="shared" si="1"/>
        <v>#DIV/0!</v>
      </c>
      <c r="H16" s="6"/>
      <c r="I16" s="120"/>
      <c r="J16" s="62" t="e">
        <f t="shared" si="2"/>
        <v>#DIV/0!</v>
      </c>
      <c r="K16" s="62"/>
      <c r="L16" s="8"/>
      <c r="M16" s="143">
        <f t="shared" si="0"/>
        <v>0</v>
      </c>
      <c r="N16" s="62" t="e">
        <f>M16/$D16</f>
        <v>#DIV/0!</v>
      </c>
      <c r="O16" s="62"/>
    </row>
    <row r="17" spans="2:16" x14ac:dyDescent="0.25">
      <c r="B17" t="s">
        <v>12</v>
      </c>
      <c r="C17" s="5">
        <v>87</v>
      </c>
      <c r="D17" s="118"/>
      <c r="E17" s="118"/>
      <c r="F17" s="120"/>
      <c r="G17" s="62" t="e">
        <f t="shared" si="1"/>
        <v>#DIV/0!</v>
      </c>
      <c r="H17" s="6"/>
      <c r="I17" s="120"/>
      <c r="J17" s="62" t="e">
        <f t="shared" si="2"/>
        <v>#DIV/0!</v>
      </c>
      <c r="K17" s="62"/>
      <c r="L17" s="8"/>
      <c r="M17" s="143">
        <f t="shared" si="0"/>
        <v>0</v>
      </c>
      <c r="N17" s="62" t="e">
        <f t="shared" si="3"/>
        <v>#DIV/0!</v>
      </c>
      <c r="O17" s="62"/>
    </row>
    <row r="18" spans="2:16" x14ac:dyDescent="0.25">
      <c r="B18" t="s">
        <v>32</v>
      </c>
      <c r="C18" s="5" t="s">
        <v>33</v>
      </c>
      <c r="D18" s="118"/>
      <c r="E18" s="118"/>
      <c r="F18" s="120"/>
      <c r="G18" s="62" t="e">
        <f t="shared" si="1"/>
        <v>#DIV/0!</v>
      </c>
      <c r="H18" s="6"/>
      <c r="I18" s="120"/>
      <c r="J18" s="62" t="e">
        <f t="shared" si="2"/>
        <v>#DIV/0!</v>
      </c>
      <c r="K18" s="62"/>
      <c r="L18" s="8"/>
      <c r="M18" s="143">
        <f t="shared" si="0"/>
        <v>0</v>
      </c>
      <c r="N18" s="62" t="e">
        <f t="shared" si="3"/>
        <v>#DIV/0!</v>
      </c>
      <c r="O18" s="62"/>
    </row>
    <row r="19" spans="2:16" x14ac:dyDescent="0.25">
      <c r="B19" t="s">
        <v>34</v>
      </c>
      <c r="C19" t="s">
        <v>35</v>
      </c>
      <c r="D19" s="118"/>
      <c r="E19" s="118"/>
      <c r="F19" s="120"/>
      <c r="G19" s="62" t="e">
        <f t="shared" si="1"/>
        <v>#DIV/0!</v>
      </c>
      <c r="H19" s="6"/>
      <c r="I19" s="120"/>
      <c r="J19" s="62" t="e">
        <f t="shared" si="2"/>
        <v>#DIV/0!</v>
      </c>
      <c r="K19" s="62"/>
      <c r="L19" s="8"/>
      <c r="M19" s="143">
        <f t="shared" si="0"/>
        <v>0</v>
      </c>
      <c r="N19" s="62" t="e">
        <f>M19/$D19</f>
        <v>#DIV/0!</v>
      </c>
      <c r="O19" s="62"/>
    </row>
    <row r="20" spans="2:16" x14ac:dyDescent="0.25">
      <c r="B20" t="s">
        <v>36</v>
      </c>
      <c r="C20" t="s">
        <v>37</v>
      </c>
      <c r="D20" s="118"/>
      <c r="E20" s="118"/>
      <c r="F20" s="120"/>
      <c r="G20" s="62" t="e">
        <f t="shared" si="1"/>
        <v>#DIV/0!</v>
      </c>
      <c r="H20" s="6"/>
      <c r="I20" s="120"/>
      <c r="J20" s="62" t="e">
        <f t="shared" si="2"/>
        <v>#DIV/0!</v>
      </c>
      <c r="K20" s="62"/>
      <c r="L20" s="8"/>
      <c r="M20" s="143">
        <f t="shared" si="0"/>
        <v>0</v>
      </c>
      <c r="N20" s="62" t="e">
        <f t="shared" si="3"/>
        <v>#DIV/0!</v>
      </c>
      <c r="O20" s="62"/>
    </row>
    <row r="21" spans="2:16" x14ac:dyDescent="0.25">
      <c r="B21" t="s">
        <v>38</v>
      </c>
      <c r="C21" t="s">
        <v>39</v>
      </c>
      <c r="D21" s="118"/>
      <c r="E21" s="118"/>
      <c r="F21" s="120"/>
      <c r="G21" s="62" t="e">
        <f t="shared" si="1"/>
        <v>#DIV/0!</v>
      </c>
      <c r="H21" s="6"/>
      <c r="I21" s="120"/>
      <c r="J21" s="62" t="e">
        <f t="shared" si="2"/>
        <v>#DIV/0!</v>
      </c>
      <c r="K21" s="62"/>
      <c r="L21" s="8"/>
      <c r="M21" s="143">
        <f t="shared" si="0"/>
        <v>0</v>
      </c>
      <c r="N21" s="62" t="e">
        <f t="shared" si="3"/>
        <v>#DIV/0!</v>
      </c>
      <c r="O21" s="62"/>
    </row>
    <row r="22" spans="2:16" x14ac:dyDescent="0.25">
      <c r="B22" t="s">
        <v>40</v>
      </c>
      <c r="C22" t="s">
        <v>41</v>
      </c>
      <c r="D22" s="118"/>
      <c r="E22" s="118"/>
      <c r="F22" s="120"/>
      <c r="G22" s="62" t="e">
        <f t="shared" si="1"/>
        <v>#DIV/0!</v>
      </c>
      <c r="H22" s="6"/>
      <c r="I22" s="120"/>
      <c r="J22" s="62" t="e">
        <f t="shared" si="2"/>
        <v>#DIV/0!</v>
      </c>
      <c r="K22" s="62"/>
      <c r="L22" s="8"/>
      <c r="M22" s="143">
        <f t="shared" si="0"/>
        <v>0</v>
      </c>
      <c r="N22" s="62" t="e">
        <f t="shared" si="3"/>
        <v>#DIV/0!</v>
      </c>
      <c r="O22" s="62"/>
    </row>
    <row r="23" spans="2:16" x14ac:dyDescent="0.25">
      <c r="B23" t="s">
        <v>13</v>
      </c>
      <c r="D23" s="118"/>
      <c r="E23" s="118"/>
      <c r="F23" s="120"/>
      <c r="G23" s="62" t="e">
        <f>F23/$D23</f>
        <v>#DIV/0!</v>
      </c>
      <c r="H23" s="6"/>
      <c r="I23" s="120"/>
      <c r="J23" s="62" t="e">
        <f>I23/$D23</f>
        <v>#DIV/0!</v>
      </c>
      <c r="K23" s="62"/>
      <c r="L23" s="8"/>
      <c r="M23" s="143">
        <f t="shared" si="0"/>
        <v>0</v>
      </c>
      <c r="N23" s="62" t="e">
        <f t="shared" si="3"/>
        <v>#DIV/0!</v>
      </c>
      <c r="O23" s="62"/>
    </row>
    <row r="24" spans="2:16" x14ac:dyDescent="0.25">
      <c r="B24" t="s">
        <v>6</v>
      </c>
      <c r="D24" s="11">
        <f>SUM(D11:D23)</f>
        <v>0</v>
      </c>
      <c r="E24" s="8"/>
      <c r="F24" s="79">
        <f>SUM(F11:F23)</f>
        <v>0</v>
      </c>
      <c r="G24" s="63" t="e">
        <f t="shared" ref="G24" si="4">F24/$D24</f>
        <v>#DIV/0!</v>
      </c>
      <c r="H24" s="6"/>
      <c r="I24" s="79">
        <f>SUM(I11:I23)</f>
        <v>0</v>
      </c>
      <c r="J24" s="63" t="e">
        <f t="shared" ref="J24" si="5">I24/$D24</f>
        <v>#DIV/0!</v>
      </c>
      <c r="K24" s="62"/>
      <c r="L24" s="79">
        <f>SUM(L11:L23)</f>
        <v>0</v>
      </c>
      <c r="M24" s="79">
        <f>SUM(M11:M23)</f>
        <v>0</v>
      </c>
      <c r="N24" s="63" t="e">
        <f t="shared" si="3"/>
        <v>#DIV/0!</v>
      </c>
      <c r="O24" s="62"/>
      <c r="P24" s="8"/>
    </row>
    <row r="25" spans="2:16" s="13" customFormat="1" x14ac:dyDescent="0.25">
      <c r="B25" s="12"/>
      <c r="C25" s="144"/>
      <c r="D25" s="144"/>
      <c r="E25" s="144"/>
      <c r="F25" s="16"/>
      <c r="G25" s="145"/>
      <c r="H25" s="146"/>
      <c r="I25" s="16"/>
      <c r="J25" s="145"/>
      <c r="K25" s="145"/>
      <c r="L25" s="146"/>
      <c r="M25" s="16"/>
      <c r="N25" s="145"/>
      <c r="O25" s="147"/>
    </row>
    <row r="26" spans="2:16" x14ac:dyDescent="0.25">
      <c r="F26" s="40"/>
      <c r="G26" s="8"/>
      <c r="I26" s="40"/>
      <c r="J26" s="8"/>
      <c r="K26" s="8"/>
      <c r="M26" s="40"/>
      <c r="N26" s="8"/>
      <c r="O26" s="62"/>
    </row>
    <row r="27" spans="2:16" s="13" customFormat="1" x14ac:dyDescent="0.25">
      <c r="B27" s="102" t="s">
        <v>160</v>
      </c>
      <c r="C27" s="15"/>
      <c r="D27" s="15"/>
      <c r="E27" s="15"/>
      <c r="F27" s="16"/>
      <c r="G27" s="125"/>
      <c r="I27" s="16"/>
      <c r="J27" s="125"/>
      <c r="K27" s="125"/>
      <c r="M27" s="16"/>
      <c r="N27" s="125"/>
      <c r="O27" s="147"/>
    </row>
    <row r="28" spans="2:16" s="13" customFormat="1" x14ac:dyDescent="0.25">
      <c r="B28" s="12" t="s">
        <v>42</v>
      </c>
      <c r="C28" s="12"/>
      <c r="D28" s="16">
        <f>D11+D12</f>
        <v>0</v>
      </c>
      <c r="E28" s="16"/>
      <c r="F28" s="16">
        <f>F11+F12</f>
        <v>0</v>
      </c>
      <c r="G28" s="62" t="e">
        <f t="shared" ref="G28:G35" si="6">F28/$D28</f>
        <v>#DIV/0!</v>
      </c>
      <c r="I28" s="16">
        <f>I11+I12</f>
        <v>0</v>
      </c>
      <c r="J28" s="62" t="e">
        <f t="shared" ref="J28:J35" si="7">I28/$D28</f>
        <v>#DIV/0!</v>
      </c>
      <c r="K28" s="62"/>
      <c r="L28" s="8">
        <f t="shared" ref="L28:L34" si="8">SUM(D28,F28,I28)</f>
        <v>0</v>
      </c>
      <c r="M28" s="16">
        <f>M11+M12</f>
        <v>0</v>
      </c>
      <c r="N28" s="62" t="e">
        <f t="shared" ref="N28:N35" si="9">M28/$D28</f>
        <v>#DIV/0!</v>
      </c>
      <c r="O28" s="62"/>
      <c r="P28" s="17"/>
    </row>
    <row r="29" spans="2:16" s="13" customFormat="1" x14ac:dyDescent="0.25">
      <c r="B29" s="12" t="s">
        <v>43</v>
      </c>
      <c r="C29" s="12"/>
      <c r="D29" s="16">
        <f>D13+D18</f>
        <v>0</v>
      </c>
      <c r="E29" s="16"/>
      <c r="F29" s="16">
        <f>F13+F18</f>
        <v>0</v>
      </c>
      <c r="G29" s="62" t="e">
        <f t="shared" si="6"/>
        <v>#DIV/0!</v>
      </c>
      <c r="I29" s="16">
        <f>I13+I18</f>
        <v>0</v>
      </c>
      <c r="J29" s="62" t="e">
        <f t="shared" si="7"/>
        <v>#DIV/0!</v>
      </c>
      <c r="K29" s="62"/>
      <c r="L29" s="8">
        <f t="shared" si="8"/>
        <v>0</v>
      </c>
      <c r="M29" s="16">
        <f>M13+M18</f>
        <v>0</v>
      </c>
      <c r="N29" s="62" t="e">
        <f t="shared" si="9"/>
        <v>#DIV/0!</v>
      </c>
      <c r="O29" s="62"/>
    </row>
    <row r="30" spans="2:16" s="13" customFormat="1" x14ac:dyDescent="0.25">
      <c r="B30" s="12" t="s">
        <v>44</v>
      </c>
      <c r="C30" s="12"/>
      <c r="D30" s="16">
        <f>D14+D19</f>
        <v>0</v>
      </c>
      <c r="E30" s="16"/>
      <c r="F30" s="16">
        <f>F14+F19</f>
        <v>0</v>
      </c>
      <c r="G30" s="62" t="e">
        <f t="shared" si="6"/>
        <v>#DIV/0!</v>
      </c>
      <c r="I30" s="16">
        <f>I14+I19</f>
        <v>0</v>
      </c>
      <c r="J30" s="62" t="e">
        <f t="shared" si="7"/>
        <v>#DIV/0!</v>
      </c>
      <c r="K30" s="62"/>
      <c r="L30" s="8">
        <f t="shared" si="8"/>
        <v>0</v>
      </c>
      <c r="M30" s="16">
        <f>M14+M19</f>
        <v>0</v>
      </c>
      <c r="N30" s="62" t="e">
        <f t="shared" si="9"/>
        <v>#DIV/0!</v>
      </c>
      <c r="O30" s="62"/>
    </row>
    <row r="31" spans="2:16" s="13" customFormat="1" x14ac:dyDescent="0.25">
      <c r="B31" s="12" t="s">
        <v>45</v>
      </c>
      <c r="C31" s="12"/>
      <c r="D31" s="16">
        <f>D15+D20</f>
        <v>0</v>
      </c>
      <c r="E31" s="16"/>
      <c r="F31" s="16">
        <f>F15+F20</f>
        <v>0</v>
      </c>
      <c r="G31" s="62" t="e">
        <f t="shared" si="6"/>
        <v>#DIV/0!</v>
      </c>
      <c r="I31" s="16">
        <f>I15+I20</f>
        <v>0</v>
      </c>
      <c r="J31" s="62" t="e">
        <f t="shared" si="7"/>
        <v>#DIV/0!</v>
      </c>
      <c r="K31" s="62"/>
      <c r="L31" s="8">
        <f t="shared" si="8"/>
        <v>0</v>
      </c>
      <c r="M31" s="16">
        <f>M15+M20</f>
        <v>0</v>
      </c>
      <c r="N31" s="62" t="e">
        <f t="shared" si="9"/>
        <v>#DIV/0!</v>
      </c>
      <c r="O31" s="62"/>
    </row>
    <row r="32" spans="2:16" s="13" customFormat="1" x14ac:dyDescent="0.25">
      <c r="B32" s="12" t="s">
        <v>46</v>
      </c>
      <c r="C32" s="12"/>
      <c r="D32" s="16">
        <f>D16+D21</f>
        <v>0</v>
      </c>
      <c r="E32" s="16"/>
      <c r="F32" s="16">
        <f>F16+F21</f>
        <v>0</v>
      </c>
      <c r="G32" s="62" t="e">
        <f t="shared" si="6"/>
        <v>#DIV/0!</v>
      </c>
      <c r="I32" s="16">
        <f>I16+I21</f>
        <v>0</v>
      </c>
      <c r="J32" s="62" t="e">
        <f t="shared" si="7"/>
        <v>#DIV/0!</v>
      </c>
      <c r="K32" s="62"/>
      <c r="L32" s="8">
        <f t="shared" si="8"/>
        <v>0</v>
      </c>
      <c r="M32" s="16">
        <f>M16+M21</f>
        <v>0</v>
      </c>
      <c r="N32" s="62" t="e">
        <f t="shared" si="9"/>
        <v>#DIV/0!</v>
      </c>
      <c r="O32" s="62"/>
    </row>
    <row r="33" spans="2:15" s="13" customFormat="1" x14ac:dyDescent="0.25">
      <c r="B33" s="12" t="s">
        <v>47</v>
      </c>
      <c r="C33" s="12"/>
      <c r="D33" s="16">
        <f>D17+D22</f>
        <v>0</v>
      </c>
      <c r="E33" s="16"/>
      <c r="F33" s="16">
        <f>F17+F22</f>
        <v>0</v>
      </c>
      <c r="G33" s="62" t="e">
        <f t="shared" si="6"/>
        <v>#DIV/0!</v>
      </c>
      <c r="I33" s="16">
        <f>I17+I22</f>
        <v>0</v>
      </c>
      <c r="J33" s="62" t="e">
        <f t="shared" si="7"/>
        <v>#DIV/0!</v>
      </c>
      <c r="K33" s="62"/>
      <c r="L33" s="8">
        <f t="shared" si="8"/>
        <v>0</v>
      </c>
      <c r="M33" s="16">
        <f>M17+M22</f>
        <v>0</v>
      </c>
      <c r="N33" s="62" t="e">
        <f t="shared" si="9"/>
        <v>#DIV/0!</v>
      </c>
      <c r="O33" s="62"/>
    </row>
    <row r="34" spans="2:15" s="13" customFormat="1" x14ac:dyDescent="0.25">
      <c r="B34" s="12" t="s">
        <v>13</v>
      </c>
      <c r="C34" s="12"/>
      <c r="D34" s="16">
        <f>D23</f>
        <v>0</v>
      </c>
      <c r="E34" s="16"/>
      <c r="F34" s="16">
        <f>F23</f>
        <v>0</v>
      </c>
      <c r="G34" s="62" t="e">
        <f t="shared" si="6"/>
        <v>#DIV/0!</v>
      </c>
      <c r="I34" s="16">
        <f>I23</f>
        <v>0</v>
      </c>
      <c r="J34" s="62" t="e">
        <f t="shared" si="7"/>
        <v>#DIV/0!</v>
      </c>
      <c r="K34" s="62"/>
      <c r="L34" s="8">
        <f t="shared" si="8"/>
        <v>0</v>
      </c>
      <c r="M34" s="16">
        <f>M23</f>
        <v>0</v>
      </c>
      <c r="N34" s="62" t="e">
        <f t="shared" si="9"/>
        <v>#DIV/0!</v>
      </c>
      <c r="O34" s="62"/>
    </row>
    <row r="35" spans="2:15" s="13" customFormat="1" x14ac:dyDescent="0.25">
      <c r="B35" s="12" t="s">
        <v>14</v>
      </c>
      <c r="C35" s="12"/>
      <c r="D35" s="128">
        <f>SUM(D28:D34)</f>
        <v>0</v>
      </c>
      <c r="E35" s="148"/>
      <c r="F35" s="18">
        <f>SUM(F28:F34)</f>
        <v>0</v>
      </c>
      <c r="G35" s="63" t="e">
        <f t="shared" si="6"/>
        <v>#DIV/0!</v>
      </c>
      <c r="I35" s="18">
        <f>SUM(I28:I34)</f>
        <v>0</v>
      </c>
      <c r="J35" s="63" t="e">
        <f t="shared" si="7"/>
        <v>#DIV/0!</v>
      </c>
      <c r="K35" s="62"/>
      <c r="L35" s="18">
        <f>SUM(L28:L34)</f>
        <v>0</v>
      </c>
      <c r="M35" s="18">
        <f>SUM(M28:M34)</f>
        <v>0</v>
      </c>
      <c r="N35" s="63" t="e">
        <f t="shared" si="9"/>
        <v>#DIV/0!</v>
      </c>
      <c r="O35" s="62"/>
    </row>
    <row r="36" spans="2:15" s="13" customFormat="1" x14ac:dyDescent="0.25">
      <c r="B36" s="12"/>
      <c r="C36" s="12"/>
      <c r="D36" s="12"/>
      <c r="E36" s="12"/>
      <c r="F36" s="16"/>
      <c r="G36" s="149"/>
      <c r="I36" s="16"/>
      <c r="J36" s="149"/>
      <c r="K36" s="149"/>
      <c r="M36" s="16"/>
      <c r="N36" s="149"/>
      <c r="O36" s="62"/>
    </row>
    <row r="37" spans="2:15" x14ac:dyDescent="0.25">
      <c r="B37" s="12" t="s">
        <v>277</v>
      </c>
      <c r="F37" s="14"/>
      <c r="G37" s="14"/>
      <c r="J37" s="40"/>
      <c r="K37" s="40"/>
      <c r="M37" s="14"/>
    </row>
    <row r="38" spans="2:15" x14ac:dyDescent="0.25">
      <c r="B38" s="41"/>
    </row>
  </sheetData>
  <printOptions horizontalCentered="1"/>
  <pageMargins left="0.45" right="0.45" top="0.75" bottom="0.75" header="0.3" footer="0.3"/>
  <pageSetup scale="77" orientation="landscape" blackAndWhite="1" r:id="rId1"/>
  <headerFooter>
    <oddFooter>&amp;R&amp;A
 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"/>
  <sheetViews>
    <sheetView workbookViewId="0">
      <selection activeCell="M32" sqref="M32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53"/>
  <sheetViews>
    <sheetView zoomScale="90" zoomScaleNormal="90" zoomScaleSheetLayoutView="75" workbookViewId="0">
      <selection activeCell="P16" sqref="P16"/>
    </sheetView>
  </sheetViews>
  <sheetFormatPr defaultColWidth="9.42578125" defaultRowHeight="15" x14ac:dyDescent="0.25"/>
  <cols>
    <col min="1" max="1" width="2.85546875" style="43" customWidth="1"/>
    <col min="2" max="2" width="11.28515625" style="43" customWidth="1"/>
    <col min="3" max="3" width="2.5703125" style="43" customWidth="1"/>
    <col min="4" max="4" width="11.28515625" style="43" customWidth="1"/>
    <col min="5" max="5" width="2.5703125" style="43" customWidth="1"/>
    <col min="6" max="9" width="11.28515625" style="43" customWidth="1"/>
    <col min="10" max="10" width="2.5703125" style="43" customWidth="1"/>
    <col min="11" max="13" width="12" style="43" customWidth="1"/>
    <col min="14" max="14" width="2.5703125" style="43" customWidth="1"/>
    <col min="15" max="17" width="12" style="43" customWidth="1"/>
    <col min="18" max="16384" width="9.42578125" style="43"/>
  </cols>
  <sheetData>
    <row r="1" spans="1:17" ht="1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15" customHeight="1" x14ac:dyDescent="0.25">
      <c r="A2" s="42"/>
      <c r="B2" s="42" t="s">
        <v>195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5" customHeight="1" x14ac:dyDescent="0.25">
      <c r="A3" s="42"/>
      <c r="B3" s="42" t="s">
        <v>330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ht="15" customHeight="1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15" customHeight="1" x14ac:dyDescent="0.25">
      <c r="A5" s="42"/>
      <c r="F5" s="133" t="s">
        <v>329</v>
      </c>
      <c r="G5" s="133"/>
      <c r="H5" s="133"/>
      <c r="I5" s="133"/>
      <c r="K5" s="133" t="s">
        <v>324</v>
      </c>
      <c r="L5" s="133"/>
      <c r="M5" s="133"/>
      <c r="O5" s="133" t="s">
        <v>325</v>
      </c>
      <c r="P5" s="133"/>
      <c r="Q5" s="133"/>
    </row>
    <row r="6" spans="1:17" ht="15" customHeight="1" x14ac:dyDescent="0.25">
      <c r="G6" s="48" t="s">
        <v>320</v>
      </c>
      <c r="H6" s="48" t="s">
        <v>320</v>
      </c>
      <c r="I6" s="48" t="s">
        <v>320</v>
      </c>
      <c r="J6" s="48"/>
      <c r="K6" s="48" t="s">
        <v>320</v>
      </c>
      <c r="L6" s="48" t="s">
        <v>320</v>
      </c>
      <c r="M6" s="48" t="s">
        <v>320</v>
      </c>
      <c r="N6" s="48"/>
      <c r="O6" s="48" t="s">
        <v>320</v>
      </c>
      <c r="P6" s="48" t="s">
        <v>320</v>
      </c>
      <c r="Q6" s="48" t="s">
        <v>320</v>
      </c>
    </row>
    <row r="7" spans="1:17" ht="15" customHeight="1" x14ac:dyDescent="0.25">
      <c r="F7" s="178"/>
      <c r="G7" s="48" t="s">
        <v>321</v>
      </c>
      <c r="H7" s="48" t="s">
        <v>322</v>
      </c>
      <c r="I7" s="48" t="s">
        <v>323</v>
      </c>
      <c r="J7" s="48"/>
      <c r="K7" s="48" t="s">
        <v>321</v>
      </c>
      <c r="L7" s="48" t="s">
        <v>322</v>
      </c>
      <c r="M7" s="48" t="s">
        <v>323</v>
      </c>
      <c r="N7" s="48"/>
      <c r="O7" s="48" t="s">
        <v>321</v>
      </c>
      <c r="P7" s="48" t="s">
        <v>322</v>
      </c>
      <c r="Q7" s="48" t="s">
        <v>323</v>
      </c>
    </row>
    <row r="8" spans="1:17" ht="15" customHeight="1" x14ac:dyDescent="0.25">
      <c r="D8" s="48" t="s">
        <v>245</v>
      </c>
      <c r="F8" s="48" t="s">
        <v>5</v>
      </c>
      <c r="G8" s="48" t="s">
        <v>1</v>
      </c>
      <c r="H8" s="48" t="s">
        <v>1</v>
      </c>
      <c r="I8" s="48" t="s">
        <v>1</v>
      </c>
      <c r="J8" s="48"/>
      <c r="K8" s="48" t="s">
        <v>1</v>
      </c>
      <c r="L8" s="48" t="s">
        <v>1</v>
      </c>
      <c r="M8" s="48" t="s">
        <v>1</v>
      </c>
      <c r="N8" s="48"/>
      <c r="O8" s="48" t="s">
        <v>1</v>
      </c>
      <c r="P8" s="48" t="s">
        <v>1</v>
      </c>
      <c r="Q8" s="48" t="s">
        <v>1</v>
      </c>
    </row>
    <row r="9" spans="1:17" ht="15" customHeight="1" x14ac:dyDescent="0.25">
      <c r="B9" s="72" t="s">
        <v>121</v>
      </c>
      <c r="D9" s="153" t="s">
        <v>247</v>
      </c>
      <c r="F9" s="154" t="s">
        <v>250</v>
      </c>
      <c r="G9" s="154" t="s">
        <v>326</v>
      </c>
      <c r="H9" s="154" t="s">
        <v>327</v>
      </c>
      <c r="I9" s="154" t="s">
        <v>327</v>
      </c>
      <c r="J9" s="48"/>
      <c r="K9" s="154" t="s">
        <v>326</v>
      </c>
      <c r="L9" s="154" t="s">
        <v>327</v>
      </c>
      <c r="M9" s="154" t="s">
        <v>327</v>
      </c>
      <c r="N9" s="48"/>
      <c r="O9" s="154" t="s">
        <v>326</v>
      </c>
      <c r="P9" s="154" t="s">
        <v>327</v>
      </c>
      <c r="Q9" s="154" t="s">
        <v>327</v>
      </c>
    </row>
    <row r="10" spans="1:17" ht="15" customHeight="1" x14ac:dyDescent="0.25">
      <c r="B10" s="177">
        <v>0</v>
      </c>
      <c r="D10" s="67">
        <f>'Res Billing Data'!B7</f>
        <v>2.1339277840482448E-2</v>
      </c>
      <c r="F10" s="155">
        <f>ROUND((($B10*'Typical Res Bill_RY#1 '!$D$32+'Typical Res Bill_RY#1 '!$D$12)),2)</f>
        <v>11.52</v>
      </c>
      <c r="G10" s="155">
        <f>ROUND((($B10*'Typical Res Bill_RY#1 '!$Y$32+'Typical Res Bill_RY#1 '!$Y$12)),2)</f>
        <v>12.5</v>
      </c>
      <c r="H10" s="155">
        <f>ROUND((($B10*'Typical Res Bill_RY#2'!$P$32+'Typical Res Bill_RY#2'!$P$12)),2)</f>
        <v>12.5</v>
      </c>
      <c r="I10" s="155"/>
      <c r="J10" s="155"/>
      <c r="K10" s="155">
        <f>G10-F10</f>
        <v>0.98000000000000043</v>
      </c>
      <c r="L10" s="155">
        <f t="shared" ref="L10" si="0">H10-G10</f>
        <v>0</v>
      </c>
      <c r="M10" s="155"/>
      <c r="N10" s="155"/>
      <c r="O10" s="67">
        <f>K10/F10</f>
        <v>8.5069444444444489E-2</v>
      </c>
      <c r="P10" s="67">
        <f t="shared" ref="P10" si="1">L10/G10</f>
        <v>0</v>
      </c>
      <c r="Q10" s="67"/>
    </row>
    <row r="11" spans="1:17" ht="15" customHeight="1" x14ac:dyDescent="0.25">
      <c r="B11" s="177">
        <v>10</v>
      </c>
      <c r="D11" s="67">
        <f>'Res Billing Data'!B8</f>
        <v>8.6434762008379296E-2</v>
      </c>
      <c r="F11" s="155">
        <f>ROUND((($B11*'Typical Res Bill_RY#1 '!$D$32+'Typical Res Bill_RY#1 '!$D$12)),2)</f>
        <v>21.55</v>
      </c>
      <c r="G11" s="155">
        <f>ROUND((($B11*'Typical Res Bill_RY#1 '!$Y$32+'Typical Res Bill_RY#1 '!$Y$12)),2)</f>
        <v>23.14</v>
      </c>
      <c r="H11" s="155">
        <f>ROUND((($B11*'Typical Res Bill_RY#2'!$P$32+'Typical Res Bill_RY#2'!$P$12)),2)</f>
        <v>23.34</v>
      </c>
      <c r="I11" s="155"/>
      <c r="J11" s="155"/>
      <c r="K11" s="155">
        <f t="shared" ref="K11:K35" si="2">G11-F11</f>
        <v>1.5899999999999999</v>
      </c>
      <c r="L11" s="155">
        <f t="shared" ref="L11:L35" si="3">H11-G11</f>
        <v>0.19999999999999929</v>
      </c>
      <c r="M11" s="155"/>
      <c r="N11" s="155"/>
      <c r="O11" s="67">
        <f t="shared" ref="O11:O35" si="4">K11/F11</f>
        <v>7.3781902552204168E-2</v>
      </c>
      <c r="P11" s="67">
        <f t="shared" ref="P11:P35" si="5">L11/G11</f>
        <v>8.6430423509074889E-3</v>
      </c>
      <c r="Q11" s="67"/>
    </row>
    <row r="12" spans="1:17" ht="15" customHeight="1" x14ac:dyDescent="0.25">
      <c r="B12" s="177">
        <v>20</v>
      </c>
      <c r="D12" s="67">
        <f>'Res Billing Data'!B9</f>
        <v>0.14576440820271019</v>
      </c>
      <c r="F12" s="155">
        <f>ROUND((($B12*'Typical Res Bill_RY#1 '!$D$32+'Typical Res Bill_RY#1 '!$D$12)),2)</f>
        <v>31.57</v>
      </c>
      <c r="G12" s="155">
        <f>ROUND((($B12*'Typical Res Bill_RY#1 '!$Y$32+'Typical Res Bill_RY#1 '!$Y$12)),2)</f>
        <v>33.770000000000003</v>
      </c>
      <c r="H12" s="155">
        <f>ROUND((($B12*'Typical Res Bill_RY#2'!$P$32+'Typical Res Bill_RY#2'!$P$12)),2)</f>
        <v>34.19</v>
      </c>
      <c r="I12" s="155"/>
      <c r="J12" s="155"/>
      <c r="K12" s="155">
        <f t="shared" si="2"/>
        <v>2.2000000000000028</v>
      </c>
      <c r="L12" s="155">
        <f t="shared" si="3"/>
        <v>0.4199999999999946</v>
      </c>
      <c r="M12" s="155"/>
      <c r="N12" s="155"/>
      <c r="O12" s="67">
        <f t="shared" si="4"/>
        <v>6.9686411149825878E-2</v>
      </c>
      <c r="P12" s="67">
        <f t="shared" si="5"/>
        <v>1.243707432632498E-2</v>
      </c>
      <c r="Q12" s="67"/>
    </row>
    <row r="13" spans="1:17" ht="15" customHeight="1" x14ac:dyDescent="0.25">
      <c r="B13" s="177">
        <v>30</v>
      </c>
      <c r="D13" s="67">
        <f>'Res Billing Data'!B10</f>
        <v>0.12357926957494582</v>
      </c>
      <c r="F13" s="155">
        <f>ROUND((($B13*'Typical Res Bill_RY#1 '!$D$32+'Typical Res Bill_RY#1 '!$D$12)),2)</f>
        <v>41.6</v>
      </c>
      <c r="G13" s="155">
        <f>ROUND((($B13*'Typical Res Bill_RY#1 '!$Y$32+'Typical Res Bill_RY#1 '!$Y$12)),2)</f>
        <v>44.41</v>
      </c>
      <c r="H13" s="155">
        <f>ROUND((($B13*'Typical Res Bill_RY#2'!$P$32+'Typical Res Bill_RY#2'!$P$12)),2)</f>
        <v>45.03</v>
      </c>
      <c r="I13" s="155"/>
      <c r="J13" s="155"/>
      <c r="K13" s="155">
        <f t="shared" si="2"/>
        <v>2.8099999999999952</v>
      </c>
      <c r="L13" s="155">
        <f t="shared" si="3"/>
        <v>0.62000000000000455</v>
      </c>
      <c r="M13" s="155"/>
      <c r="N13" s="155"/>
      <c r="O13" s="67">
        <f t="shared" si="4"/>
        <v>6.7548076923076808E-2</v>
      </c>
      <c r="P13" s="67">
        <f t="shared" si="5"/>
        <v>1.3960819635217397E-2</v>
      </c>
      <c r="Q13" s="67"/>
    </row>
    <row r="14" spans="1:17" ht="15" customHeight="1" x14ac:dyDescent="0.25">
      <c r="B14" s="177">
        <v>40</v>
      </c>
      <c r="D14" s="67">
        <f>'Res Billing Data'!B11</f>
        <v>8.4035669130151411E-2</v>
      </c>
      <c r="F14" s="155">
        <f>ROUND((($B14*'Typical Res Bill_RY#1 '!$D$32+'Typical Res Bill_RY#1 '!$D$12)),2)</f>
        <v>51.63</v>
      </c>
      <c r="G14" s="155">
        <f>ROUND((($B14*'Typical Res Bill_RY#1 '!$Y$32+'Typical Res Bill_RY#1 '!$Y$12)),2)</f>
        <v>55.05</v>
      </c>
      <c r="H14" s="155">
        <f>ROUND((($B14*'Typical Res Bill_RY#2'!$P$32+'Typical Res Bill_RY#2'!$P$12)),2)</f>
        <v>55.88</v>
      </c>
      <c r="I14" s="155"/>
      <c r="J14" s="155"/>
      <c r="K14" s="155">
        <f t="shared" si="2"/>
        <v>3.4199999999999946</v>
      </c>
      <c r="L14" s="155">
        <f t="shared" si="3"/>
        <v>0.8300000000000054</v>
      </c>
      <c r="M14" s="155"/>
      <c r="N14" s="155"/>
      <c r="O14" s="67">
        <f t="shared" si="4"/>
        <v>6.6240557815223602E-2</v>
      </c>
      <c r="P14" s="67">
        <f t="shared" si="5"/>
        <v>1.5077202543142697E-2</v>
      </c>
      <c r="Q14" s="67"/>
    </row>
    <row r="15" spans="1:17" ht="15" customHeight="1" x14ac:dyDescent="0.25">
      <c r="B15" s="177">
        <v>50</v>
      </c>
      <c r="D15" s="67">
        <f>'Res Billing Data'!B12</f>
        <v>6.5732828008480529E-2</v>
      </c>
      <c r="F15" s="155">
        <f>ROUND((($B15*'Typical Res Bill_RY#1 '!$D$32+'Typical Res Bill_RY#1 '!$D$12)),2)</f>
        <v>61.65</v>
      </c>
      <c r="G15" s="155">
        <f>ROUND((($B15*'Typical Res Bill_RY#1 '!$Y$32+'Typical Res Bill_RY#1 '!$Y$12)),2)</f>
        <v>65.680000000000007</v>
      </c>
      <c r="H15" s="155">
        <f>ROUND((($B15*'Typical Res Bill_RY#2'!$P$32+'Typical Res Bill_RY#2'!$P$12)),2)</f>
        <v>66.72</v>
      </c>
      <c r="I15" s="155"/>
      <c r="J15" s="155"/>
      <c r="K15" s="155">
        <f t="shared" si="2"/>
        <v>4.0300000000000082</v>
      </c>
      <c r="L15" s="155">
        <f t="shared" si="3"/>
        <v>1.039999999999992</v>
      </c>
      <c r="M15" s="155"/>
      <c r="N15" s="155"/>
      <c r="O15" s="67">
        <f t="shared" si="4"/>
        <v>6.5369018653690325E-2</v>
      </c>
      <c r="P15" s="67">
        <f t="shared" si="5"/>
        <v>1.5834348355663701E-2</v>
      </c>
      <c r="Q15" s="67"/>
    </row>
    <row r="16" spans="1:17" ht="15" customHeight="1" x14ac:dyDescent="0.25">
      <c r="B16" s="177">
        <v>60</v>
      </c>
      <c r="C16" s="43" t="s">
        <v>248</v>
      </c>
      <c r="D16" s="67">
        <f>'Res Billing Data'!B13</f>
        <v>5.7745522703874105E-2</v>
      </c>
      <c r="F16" s="155">
        <f>ROUND((($B16*'Typical Res Bill_RY#1 '!$D$32+'Typical Res Bill_RY#1 '!$D$12)),2)</f>
        <v>71.680000000000007</v>
      </c>
      <c r="G16" s="155">
        <f>ROUND((($B16*'Typical Res Bill_RY#1 '!$Y$32+'Typical Res Bill_RY#1 '!$Y$12)),2)</f>
        <v>76.319999999999993</v>
      </c>
      <c r="H16" s="155">
        <f>ROUND((($B16*'Typical Res Bill_RY#2'!$P$32+'Typical Res Bill_RY#2'!$P$12)),2)</f>
        <v>77.569999999999993</v>
      </c>
      <c r="I16" s="155"/>
      <c r="J16" s="155"/>
      <c r="K16" s="155">
        <f t="shared" si="2"/>
        <v>4.6399999999999864</v>
      </c>
      <c r="L16" s="155">
        <f t="shared" si="3"/>
        <v>1.25</v>
      </c>
      <c r="M16" s="155"/>
      <c r="N16" s="155"/>
      <c r="O16" s="67">
        <f t="shared" si="4"/>
        <v>6.4732142857142655E-2</v>
      </c>
      <c r="P16" s="67">
        <f t="shared" si="5"/>
        <v>1.6378406708595389E-2</v>
      </c>
      <c r="Q16" s="67"/>
    </row>
    <row r="17" spans="2:17" ht="15" customHeight="1" x14ac:dyDescent="0.25">
      <c r="B17" s="177">
        <v>70</v>
      </c>
      <c r="D17" s="67">
        <f>'Res Billing Data'!B14</f>
        <v>5.3409873037391642E-2</v>
      </c>
      <c r="F17" s="155">
        <f>ROUND((($B17*'Typical Res Bill_RY#1 '!$D$32+'Typical Res Bill_RY#1 '!$D$12)),2)</f>
        <v>81.709999999999994</v>
      </c>
      <c r="G17" s="155">
        <f>ROUND((($B17*'Typical Res Bill_RY#1 '!$Y$32+'Typical Res Bill_RY#1 '!$Y$12)),2)</f>
        <v>86.96</v>
      </c>
      <c r="H17" s="155">
        <f>ROUND((($B17*'Typical Res Bill_RY#2'!$P$32+'Typical Res Bill_RY#2'!$P$12)),2)</f>
        <v>88.41</v>
      </c>
      <c r="I17" s="155"/>
      <c r="J17" s="155"/>
      <c r="K17" s="155">
        <f t="shared" si="2"/>
        <v>5.25</v>
      </c>
      <c r="L17" s="155">
        <f t="shared" si="3"/>
        <v>1.4500000000000028</v>
      </c>
      <c r="M17" s="155"/>
      <c r="N17" s="155"/>
      <c r="O17" s="67">
        <f t="shared" si="4"/>
        <v>6.425162158854486E-2</v>
      </c>
      <c r="P17" s="67">
        <f t="shared" si="5"/>
        <v>1.6674333026678968E-2</v>
      </c>
      <c r="Q17" s="67"/>
    </row>
    <row r="18" spans="2:17" ht="15" customHeight="1" x14ac:dyDescent="0.25">
      <c r="B18" s="177">
        <v>80</v>
      </c>
      <c r="D18" s="67">
        <f>'Res Billing Data'!B15</f>
        <v>5.0728374324446317E-2</v>
      </c>
      <c r="F18" s="155">
        <f>ROUND((($B18*'Typical Res Bill_RY#1 '!$D$32+'Typical Res Bill_RY#1 '!$D$12)),2)</f>
        <v>91.73</v>
      </c>
      <c r="G18" s="155">
        <f>ROUND((($B18*'Typical Res Bill_RY#1 '!$Y$32+'Typical Res Bill_RY#1 '!$Y$12)),2)</f>
        <v>97.59</v>
      </c>
      <c r="H18" s="155">
        <f>ROUND((($B18*'Typical Res Bill_RY#2'!$P$32+'Typical Res Bill_RY#2'!$P$12)),2)</f>
        <v>99.26</v>
      </c>
      <c r="I18" s="155"/>
      <c r="J18" s="155"/>
      <c r="K18" s="155">
        <f t="shared" si="2"/>
        <v>5.8599999999999994</v>
      </c>
      <c r="L18" s="155">
        <f t="shared" si="3"/>
        <v>1.6700000000000017</v>
      </c>
      <c r="M18" s="155"/>
      <c r="N18" s="155"/>
      <c r="O18" s="67">
        <f t="shared" si="4"/>
        <v>6.3883135288346229E-2</v>
      </c>
      <c r="P18" s="67">
        <f t="shared" si="5"/>
        <v>1.7112409058305172E-2</v>
      </c>
      <c r="Q18" s="67"/>
    </row>
    <row r="19" spans="2:17" ht="15" customHeight="1" x14ac:dyDescent="0.25">
      <c r="B19" s="177">
        <v>90</v>
      </c>
      <c r="D19" s="67">
        <f>'Res Billing Data'!B16</f>
        <v>4.8666477769933172E-2</v>
      </c>
      <c r="F19" s="155">
        <f>ROUND((($B19*'Typical Res Bill_RY#1 '!$D$32+'Typical Res Bill_RY#1 '!$D$12)),2)</f>
        <v>101.76</v>
      </c>
      <c r="G19" s="155">
        <f>ROUND((($B19*'Typical Res Bill_RY#1 '!$Y$32+'Typical Res Bill_RY#1 '!$Y$12)),2)</f>
        <v>108.23</v>
      </c>
      <c r="H19" s="155">
        <f>ROUND((($B19*'Typical Res Bill_RY#2'!$P$32+'Typical Res Bill_RY#2'!$P$12)),2)</f>
        <v>110.1</v>
      </c>
      <c r="I19" s="155"/>
      <c r="J19" s="155"/>
      <c r="K19" s="155">
        <f t="shared" si="2"/>
        <v>6.4699999999999989</v>
      </c>
      <c r="L19" s="155">
        <f t="shared" si="3"/>
        <v>1.8699999999999903</v>
      </c>
      <c r="M19" s="155"/>
      <c r="N19" s="155"/>
      <c r="O19" s="67">
        <f t="shared" si="4"/>
        <v>6.3580974842767285E-2</v>
      </c>
      <c r="P19" s="67">
        <f t="shared" si="5"/>
        <v>1.7278019033539593E-2</v>
      </c>
      <c r="Q19" s="67"/>
    </row>
    <row r="20" spans="2:17" ht="15" customHeight="1" x14ac:dyDescent="0.25">
      <c r="B20" s="177">
        <v>100</v>
      </c>
      <c r="D20" s="67">
        <f>'Res Billing Data'!B17</f>
        <v>4.5571910951366396E-2</v>
      </c>
      <c r="F20" s="155">
        <f>ROUND((($B20*'Typical Res Bill_RY#1 '!$D$32+'Typical Res Bill_RY#1 '!$D$12)),2)</f>
        <v>111.79</v>
      </c>
      <c r="G20" s="155">
        <f>ROUND((($B20*'Typical Res Bill_RY#1 '!$Y$32+'Typical Res Bill_RY#1 '!$Y$12)),2)</f>
        <v>118.87</v>
      </c>
      <c r="H20" s="155">
        <f>ROUND((($B20*'Typical Res Bill_RY#2'!$P$32+'Typical Res Bill_RY#2'!$P$12)),2)</f>
        <v>120.95</v>
      </c>
      <c r="I20" s="155"/>
      <c r="J20" s="155"/>
      <c r="K20" s="155">
        <f t="shared" si="2"/>
        <v>7.0799999999999983</v>
      </c>
      <c r="L20" s="155">
        <f t="shared" si="3"/>
        <v>2.0799999999999983</v>
      </c>
      <c r="M20" s="155"/>
      <c r="N20" s="155"/>
      <c r="O20" s="67">
        <f t="shared" si="4"/>
        <v>6.3333035155201695E-2</v>
      </c>
      <c r="P20" s="67">
        <f t="shared" si="5"/>
        <v>1.7498107175906438E-2</v>
      </c>
      <c r="Q20" s="67"/>
    </row>
    <row r="21" spans="2:17" ht="15" customHeight="1" x14ac:dyDescent="0.25">
      <c r="B21" s="177">
        <v>110</v>
      </c>
      <c r="D21" s="67">
        <f>'Res Billing Data'!B18</f>
        <v>4.1214240726448831E-2</v>
      </c>
      <c r="F21" s="155">
        <f>ROUND((($B21*'Typical Res Bill_RY#1 '!$D$32+'Typical Res Bill_RY#1 '!$D$12)),2)</f>
        <v>121.81</v>
      </c>
      <c r="G21" s="155">
        <f>ROUND((($B21*'Typical Res Bill_RY#1 '!$Y$32+'Typical Res Bill_RY#1 '!$Y$12)),2)</f>
        <v>129.5</v>
      </c>
      <c r="H21" s="155">
        <f>ROUND((($B21*'Typical Res Bill_RY#2'!$P$32+'Typical Res Bill_RY#2'!$P$12)),2)</f>
        <v>131.79</v>
      </c>
      <c r="I21" s="155"/>
      <c r="J21" s="155"/>
      <c r="K21" s="155">
        <f t="shared" si="2"/>
        <v>7.6899999999999977</v>
      </c>
      <c r="L21" s="155">
        <f t="shared" si="3"/>
        <v>2.289999999999992</v>
      </c>
      <c r="M21" s="155"/>
      <c r="N21" s="155"/>
      <c r="O21" s="67">
        <f t="shared" si="4"/>
        <v>6.313110582054017E-2</v>
      </c>
      <c r="P21" s="67">
        <f t="shared" si="5"/>
        <v>1.7683397683397623E-2</v>
      </c>
      <c r="Q21" s="67"/>
    </row>
    <row r="22" spans="2:17" ht="15" customHeight="1" x14ac:dyDescent="0.25">
      <c r="B22" s="177">
        <v>120</v>
      </c>
      <c r="D22" s="67">
        <f>'Res Billing Data'!B19</f>
        <v>3.5529283950926506E-2</v>
      </c>
      <c r="F22" s="155">
        <f>ROUND((($B22*'Typical Res Bill_RY#1 '!$D$32+'Typical Res Bill_RY#1 '!$D$12)),2)</f>
        <v>131.84</v>
      </c>
      <c r="G22" s="155">
        <f>ROUND((($B22*'Typical Res Bill_RY#1 '!$Y$32+'Typical Res Bill_RY#1 '!$Y$12)),2)</f>
        <v>140.13999999999999</v>
      </c>
      <c r="H22" s="155">
        <f>ROUND((($B22*'Typical Res Bill_RY#2'!$P$32+'Typical Res Bill_RY#2'!$P$12)),2)</f>
        <v>142.63999999999999</v>
      </c>
      <c r="I22" s="155"/>
      <c r="J22" s="155"/>
      <c r="K22" s="155">
        <f t="shared" si="2"/>
        <v>8.2999999999999829</v>
      </c>
      <c r="L22" s="155">
        <f t="shared" si="3"/>
        <v>2.5</v>
      </c>
      <c r="M22" s="155"/>
      <c r="N22" s="155"/>
      <c r="O22" s="67">
        <f t="shared" si="4"/>
        <v>6.2955097087378509E-2</v>
      </c>
      <c r="P22" s="67">
        <f t="shared" si="5"/>
        <v>1.7839303553589269E-2</v>
      </c>
      <c r="Q22" s="67"/>
    </row>
    <row r="23" spans="2:17" ht="15" customHeight="1" x14ac:dyDescent="0.25">
      <c r="B23" s="177">
        <v>130</v>
      </c>
      <c r="D23" s="67">
        <f>'Res Billing Data'!B20</f>
        <v>2.9627252476138743E-2</v>
      </c>
      <c r="F23" s="155">
        <f>ROUND((($B23*'Typical Res Bill_RY#1 '!$D$32+'Typical Res Bill_RY#1 '!$D$12)),2)</f>
        <v>141.87</v>
      </c>
      <c r="G23" s="155">
        <f>ROUND((($B23*'Typical Res Bill_RY#1 '!$Y$32+'Typical Res Bill_RY#1 '!$Y$12)),2)</f>
        <v>150.78</v>
      </c>
      <c r="H23" s="155">
        <f>ROUND((($B23*'Typical Res Bill_RY#2'!$P$32+'Typical Res Bill_RY#2'!$P$12)),2)</f>
        <v>153.47999999999999</v>
      </c>
      <c r="I23" s="155"/>
      <c r="J23" s="155"/>
      <c r="K23" s="155">
        <f t="shared" si="2"/>
        <v>8.9099999999999966</v>
      </c>
      <c r="L23" s="155">
        <f t="shared" si="3"/>
        <v>2.6999999999999886</v>
      </c>
      <c r="M23" s="155"/>
      <c r="N23" s="155"/>
      <c r="O23" s="67">
        <f t="shared" si="4"/>
        <v>6.2803975470501136E-2</v>
      </c>
      <c r="P23" s="67">
        <f t="shared" si="5"/>
        <v>1.7906884202148751E-2</v>
      </c>
      <c r="Q23" s="67"/>
    </row>
    <row r="24" spans="2:17" ht="15" customHeight="1" x14ac:dyDescent="0.25">
      <c r="B24" s="177">
        <v>140</v>
      </c>
      <c r="D24" s="67">
        <f>'Res Billing Data'!B21</f>
        <v>2.4005539579344717E-2</v>
      </c>
      <c r="F24" s="155">
        <f>ROUND((($B24*'Typical Res Bill_RY#1 '!$D$32+'Typical Res Bill_RY#1 '!$D$12)),2)</f>
        <v>151.9</v>
      </c>
      <c r="G24" s="155">
        <f>ROUND((($B24*'Typical Res Bill_RY#1 '!$Y$32+'Typical Res Bill_RY#1 '!$Y$12)),2)</f>
        <v>161.41</v>
      </c>
      <c r="H24" s="155">
        <f>ROUND((($B24*'Typical Res Bill_RY#2'!$P$32+'Typical Res Bill_RY#2'!$P$12)),2)</f>
        <v>164.33</v>
      </c>
      <c r="I24" s="155"/>
      <c r="J24" s="155"/>
      <c r="K24" s="155">
        <f t="shared" si="2"/>
        <v>9.5099999999999909</v>
      </c>
      <c r="L24" s="155">
        <f t="shared" si="3"/>
        <v>2.9200000000000159</v>
      </c>
      <c r="M24" s="155"/>
      <c r="N24" s="155"/>
      <c r="O24" s="67">
        <f t="shared" si="4"/>
        <v>6.2606978275180983E-2</v>
      </c>
      <c r="P24" s="67">
        <f t="shared" si="5"/>
        <v>1.8090576792020419E-2</v>
      </c>
      <c r="Q24" s="67"/>
    </row>
    <row r="25" spans="2:17" ht="15" customHeight="1" x14ac:dyDescent="0.25">
      <c r="B25" s="177">
        <v>150</v>
      </c>
      <c r="D25" s="67">
        <f>'Res Billing Data'!B22</f>
        <v>1.9050392117266259E-2</v>
      </c>
      <c r="F25" s="155">
        <f>ROUND((($B25*'Typical Res Bill_RY#1 '!$D$32+'Typical Res Bill_RY#1 '!$D$12)),2)</f>
        <v>161.91999999999999</v>
      </c>
      <c r="G25" s="155">
        <f>ROUND((($B25*'Typical Res Bill_RY#1 '!$Y$32+'Typical Res Bill_RY#1 '!$Y$12)),2)</f>
        <v>172.05</v>
      </c>
      <c r="H25" s="155">
        <f>ROUND((($B25*'Typical Res Bill_RY#2'!$P$32+'Typical Res Bill_RY#2'!$P$12)),2)</f>
        <v>175.17</v>
      </c>
      <c r="I25" s="155"/>
      <c r="J25" s="155"/>
      <c r="K25" s="155">
        <f t="shared" si="2"/>
        <v>10.130000000000024</v>
      </c>
      <c r="L25" s="155">
        <f t="shared" si="3"/>
        <v>3.1199999999999761</v>
      </c>
      <c r="M25" s="155"/>
      <c r="N25" s="155"/>
      <c r="O25" s="67">
        <f t="shared" si="4"/>
        <v>6.2561758893280778E-2</v>
      </c>
      <c r="P25" s="67">
        <f t="shared" si="5"/>
        <v>1.8134263295553479E-2</v>
      </c>
      <c r="Q25" s="67"/>
    </row>
    <row r="26" spans="2:17" ht="15" customHeight="1" x14ac:dyDescent="0.25">
      <c r="B26" s="177">
        <v>160</v>
      </c>
      <c r="D26" s="67">
        <f>'Res Billing Data'!B23</f>
        <v>1.4726952902617472E-2</v>
      </c>
      <c r="F26" s="155">
        <f>ROUND((($B26*'Typical Res Bill_RY#1 '!$D$32+'Typical Res Bill_RY#1 '!$D$12)),2)</f>
        <v>171.95</v>
      </c>
      <c r="G26" s="155">
        <f>ROUND((($B26*'Typical Res Bill_RY#1 '!$Y$32+'Typical Res Bill_RY#1 '!$Y$12)),2)</f>
        <v>182.69</v>
      </c>
      <c r="H26" s="155">
        <f>ROUND((($B26*'Typical Res Bill_RY#2'!$P$32+'Typical Res Bill_RY#2'!$P$12)),2)</f>
        <v>186.02</v>
      </c>
      <c r="I26" s="155"/>
      <c r="J26" s="155"/>
      <c r="K26" s="155">
        <f t="shared" si="2"/>
        <v>10.740000000000009</v>
      </c>
      <c r="L26" s="155">
        <f t="shared" si="3"/>
        <v>3.3300000000000125</v>
      </c>
      <c r="M26" s="155"/>
      <c r="N26" s="155"/>
      <c r="O26" s="67">
        <f t="shared" si="4"/>
        <v>6.2460017446932303E-2</v>
      </c>
      <c r="P26" s="67">
        <f t="shared" si="5"/>
        <v>1.8227598664404251E-2</v>
      </c>
      <c r="Q26" s="67"/>
    </row>
    <row r="27" spans="2:17" ht="15" customHeight="1" x14ac:dyDescent="0.25">
      <c r="B27" s="177">
        <v>170</v>
      </c>
      <c r="D27" s="67">
        <f>'Res Billing Data'!B24</f>
        <v>1.1404144561313428E-2</v>
      </c>
      <c r="F27" s="155">
        <f>ROUND((($B27*'Typical Res Bill_RY#1 '!$D$32+'Typical Res Bill_RY#1 '!$D$12)),2)</f>
        <v>181.98</v>
      </c>
      <c r="G27" s="155">
        <f>ROUND((($B27*'Typical Res Bill_RY#1 '!$Y$32+'Typical Res Bill_RY#1 '!$Y$12)),2)</f>
        <v>193.32</v>
      </c>
      <c r="H27" s="155">
        <f>ROUND((($B27*'Typical Res Bill_RY#2'!$P$32+'Typical Res Bill_RY#2'!$P$12)),2)</f>
        <v>196.86</v>
      </c>
      <c r="I27" s="155"/>
      <c r="J27" s="155"/>
      <c r="K27" s="155">
        <f t="shared" si="2"/>
        <v>11.340000000000003</v>
      </c>
      <c r="L27" s="155">
        <f t="shared" si="3"/>
        <v>3.5400000000000205</v>
      </c>
      <c r="M27" s="155"/>
      <c r="N27" s="155"/>
      <c r="O27" s="67">
        <f t="shared" si="4"/>
        <v>6.2314540059347202E-2</v>
      </c>
      <c r="P27" s="67">
        <f t="shared" si="5"/>
        <v>1.8311607697082663E-2</v>
      </c>
      <c r="Q27" s="67"/>
    </row>
    <row r="28" spans="2:17" ht="15" customHeight="1" x14ac:dyDescent="0.25">
      <c r="B28" s="177">
        <v>180</v>
      </c>
      <c r="D28" s="67">
        <f>'Res Billing Data'!B25</f>
        <v>8.7338126718399332E-3</v>
      </c>
      <c r="F28" s="155">
        <f>ROUND((($B28*'Typical Res Bill_RY#1 '!$D$32+'Typical Res Bill_RY#1 '!$D$12)),2)</f>
        <v>192</v>
      </c>
      <c r="G28" s="155">
        <f>ROUND((($B28*'Typical Res Bill_RY#1 '!$Y$32+'Typical Res Bill_RY#1 '!$Y$12)),2)</f>
        <v>203.96</v>
      </c>
      <c r="H28" s="155">
        <f>ROUND((($B28*'Typical Res Bill_RY#2'!$P$32+'Typical Res Bill_RY#2'!$P$12)),2)</f>
        <v>207.71</v>
      </c>
      <c r="I28" s="155"/>
      <c r="J28" s="155"/>
      <c r="K28" s="155">
        <f t="shared" si="2"/>
        <v>11.960000000000008</v>
      </c>
      <c r="L28" s="155">
        <f t="shared" si="3"/>
        <v>3.75</v>
      </c>
      <c r="M28" s="155"/>
      <c r="N28" s="155"/>
      <c r="O28" s="67">
        <f t="shared" si="4"/>
        <v>6.229166666666671E-2</v>
      </c>
      <c r="P28" s="67">
        <f t="shared" si="5"/>
        <v>1.8385958030986468E-2</v>
      </c>
      <c r="Q28" s="67"/>
    </row>
    <row r="29" spans="2:17" ht="15" customHeight="1" x14ac:dyDescent="0.25">
      <c r="B29" s="177">
        <v>190</v>
      </c>
      <c r="D29" s="67">
        <f>'Res Billing Data'!B26</f>
        <v>6.6665936126813373E-3</v>
      </c>
      <c r="F29" s="155">
        <f>ROUND((($B29*'Typical Res Bill_RY#1 '!$D$32+'Typical Res Bill_RY#1 '!$D$12)),2)</f>
        <v>202.03</v>
      </c>
      <c r="G29" s="155">
        <f>ROUND((($B29*'Typical Res Bill_RY#1 '!$Y$32+'Typical Res Bill_RY#1 '!$Y$12)),2)</f>
        <v>214.6</v>
      </c>
      <c r="H29" s="155">
        <f>ROUND((($B29*'Typical Res Bill_RY#2'!$P$32+'Typical Res Bill_RY#2'!$P$12)),2)</f>
        <v>218.55</v>
      </c>
      <c r="I29" s="155"/>
      <c r="J29" s="155"/>
      <c r="K29" s="155">
        <f t="shared" si="2"/>
        <v>12.569999999999993</v>
      </c>
      <c r="L29" s="155">
        <f t="shared" si="3"/>
        <v>3.9500000000000171</v>
      </c>
      <c r="M29" s="155"/>
      <c r="N29" s="155"/>
      <c r="O29" s="67">
        <f t="shared" si="4"/>
        <v>6.2218482403603392E-2</v>
      </c>
      <c r="P29" s="67">
        <f t="shared" si="5"/>
        <v>1.8406337371854695E-2</v>
      </c>
      <c r="Q29" s="67"/>
    </row>
    <row r="30" spans="2:17" ht="15" customHeight="1" x14ac:dyDescent="0.25">
      <c r="B30" s="177">
        <v>200</v>
      </c>
      <c r="D30" s="67">
        <f>'Res Billing Data'!B27</f>
        <v>5.1327730092658548E-3</v>
      </c>
      <c r="F30" s="155">
        <f>ROUND((($B30*'Typical Res Bill_RY#1 '!$D$32+'Typical Res Bill_RY#1 '!$D$12)),2)</f>
        <v>212.06</v>
      </c>
      <c r="G30" s="155">
        <f>ROUND((($B30*'Typical Res Bill_RY#1 '!$Y$32+'Typical Res Bill_RY#1 '!$Y$12)),2)</f>
        <v>225.23</v>
      </c>
      <c r="H30" s="155">
        <f>ROUND((($B30*'Typical Res Bill_RY#2'!$P$32+'Typical Res Bill_RY#2'!$P$12)),2)</f>
        <v>229.4</v>
      </c>
      <c r="I30" s="155"/>
      <c r="J30" s="155"/>
      <c r="K30" s="155">
        <f t="shared" si="2"/>
        <v>13.169999999999987</v>
      </c>
      <c r="L30" s="155">
        <f t="shared" si="3"/>
        <v>4.1700000000000159</v>
      </c>
      <c r="M30" s="155"/>
      <c r="N30" s="155"/>
      <c r="O30" s="67">
        <f t="shared" si="4"/>
        <v>6.2105064604357198E-2</v>
      </c>
      <c r="P30" s="67">
        <f t="shared" si="5"/>
        <v>1.8514407494561187E-2</v>
      </c>
      <c r="Q30" s="67"/>
    </row>
    <row r="31" spans="2:17" ht="15" customHeight="1" x14ac:dyDescent="0.25">
      <c r="B31" s="177">
        <v>210</v>
      </c>
      <c r="C31" s="43" t="s">
        <v>246</v>
      </c>
      <c r="D31" s="67">
        <f>'Res Billing Data'!B28</f>
        <v>3.9329134816433594E-3</v>
      </c>
      <c r="F31" s="155">
        <f>ROUND((($B31*'Typical Res Bill_RY#1 '!$D$32+'Typical Res Bill_RY#1 '!$D$12)),2)</f>
        <v>222.08</v>
      </c>
      <c r="G31" s="155">
        <f>ROUND((($B31*'Typical Res Bill_RY#1 '!$Y$32+'Typical Res Bill_RY#1 '!$Y$12)),2)</f>
        <v>235.87</v>
      </c>
      <c r="H31" s="155">
        <f>ROUND((($B31*'Typical Res Bill_RY#2'!$P$32+'Typical Res Bill_RY#2'!$P$12)),2)</f>
        <v>240.24</v>
      </c>
      <c r="I31" s="155"/>
      <c r="J31" s="155"/>
      <c r="K31" s="155">
        <f t="shared" si="2"/>
        <v>13.789999999999992</v>
      </c>
      <c r="L31" s="155">
        <f t="shared" si="3"/>
        <v>4.3700000000000045</v>
      </c>
      <c r="M31" s="155"/>
      <c r="N31" s="155"/>
      <c r="O31" s="67">
        <f t="shared" si="4"/>
        <v>6.2094740634005725E-2</v>
      </c>
      <c r="P31" s="67">
        <f t="shared" si="5"/>
        <v>1.8527154788654788E-2</v>
      </c>
      <c r="Q31" s="67"/>
    </row>
    <row r="32" spans="2:17" ht="15" customHeight="1" x14ac:dyDescent="0.25">
      <c r="B32" s="177">
        <v>220</v>
      </c>
      <c r="D32" s="67">
        <f>'Res Billing Data'!B29</f>
        <v>3.0481253564643125E-3</v>
      </c>
      <c r="F32" s="155">
        <f>ROUND((($B32*'Typical Res Bill_RY#1 '!$D$32+'Typical Res Bill_RY#1 '!$D$12)),2)</f>
        <v>232.11</v>
      </c>
      <c r="G32" s="155">
        <f>ROUND((($B32*'Typical Res Bill_RY#1 '!$Y$32+'Typical Res Bill_RY#1 '!$Y$12)),2)</f>
        <v>246.51</v>
      </c>
      <c r="H32" s="155">
        <f>ROUND((($B32*'Typical Res Bill_RY#2'!$P$32+'Typical Res Bill_RY#2'!$P$12)),2)</f>
        <v>251.09</v>
      </c>
      <c r="I32" s="155"/>
      <c r="J32" s="155"/>
      <c r="K32" s="155">
        <f t="shared" si="2"/>
        <v>14.399999999999977</v>
      </c>
      <c r="L32" s="155">
        <f t="shared" si="3"/>
        <v>4.5800000000000125</v>
      </c>
      <c r="M32" s="155"/>
      <c r="N32" s="155"/>
      <c r="O32" s="67">
        <f t="shared" si="4"/>
        <v>6.2039550213260852E-2</v>
      </c>
      <c r="P32" s="67">
        <f t="shared" si="5"/>
        <v>1.8579367976958389E-2</v>
      </c>
      <c r="Q32" s="67"/>
    </row>
    <row r="33" spans="2:17" ht="15" customHeight="1" x14ac:dyDescent="0.25">
      <c r="B33" s="177">
        <v>230</v>
      </c>
      <c r="D33" s="67">
        <f>'Res Billing Data'!B30</f>
        <v>2.4191305427754568E-3</v>
      </c>
      <c r="F33" s="155">
        <f>ROUND((($B33*'Typical Res Bill_RY#1 '!$D$32+'Typical Res Bill_RY#1 '!$D$12)),2)</f>
        <v>242.14</v>
      </c>
      <c r="G33" s="155">
        <f>ROUND((($B33*'Typical Res Bill_RY#1 '!$Y$32+'Typical Res Bill_RY#1 '!$Y$12)),2)</f>
        <v>257.14</v>
      </c>
      <c r="H33" s="155">
        <f>ROUND((($B33*'Typical Res Bill_RY#2'!$P$32+'Typical Res Bill_RY#2'!$P$12)),2)</f>
        <v>261.93</v>
      </c>
      <c r="I33" s="155"/>
      <c r="J33" s="155"/>
      <c r="K33" s="155">
        <f t="shared" si="2"/>
        <v>15</v>
      </c>
      <c r="L33" s="155">
        <f t="shared" si="3"/>
        <v>4.7900000000000205</v>
      </c>
      <c r="M33" s="155"/>
      <c r="N33" s="155"/>
      <c r="O33" s="67">
        <f t="shared" si="4"/>
        <v>6.1947633600396471E-2</v>
      </c>
      <c r="P33" s="67">
        <f t="shared" si="5"/>
        <v>1.862798475538625E-2</v>
      </c>
      <c r="Q33" s="67"/>
    </row>
    <row r="34" spans="2:17" ht="15" customHeight="1" x14ac:dyDescent="0.25">
      <c r="B34" s="177">
        <v>240</v>
      </c>
      <c r="D34" s="67">
        <f>'Res Billing Data'!B31</f>
        <v>1.8763394317756659E-3</v>
      </c>
      <c r="F34" s="155">
        <f>ROUND((($B34*'Typical Res Bill_RY#1 '!$D$32+'Typical Res Bill_RY#1 '!$D$12)),2)</f>
        <v>252.16</v>
      </c>
      <c r="G34" s="155">
        <f>ROUND((($B34*'Typical Res Bill_RY#1 '!$Y$32+'Typical Res Bill_RY#1 '!$Y$12)),2)</f>
        <v>267.77999999999997</v>
      </c>
      <c r="H34" s="155">
        <f>ROUND((($B34*'Typical Res Bill_RY#2'!$P$32+'Typical Res Bill_RY#2'!$P$12)),2)</f>
        <v>272.77999999999997</v>
      </c>
      <c r="I34" s="155"/>
      <c r="J34" s="155"/>
      <c r="K34" s="155">
        <f t="shared" si="2"/>
        <v>15.619999999999976</v>
      </c>
      <c r="L34" s="155">
        <f t="shared" si="3"/>
        <v>5</v>
      </c>
      <c r="M34" s="155"/>
      <c r="N34" s="155"/>
      <c r="O34" s="67">
        <f t="shared" si="4"/>
        <v>6.1944796954314624E-2</v>
      </c>
      <c r="P34" s="67">
        <f t="shared" si="5"/>
        <v>1.8672044215400703E-2</v>
      </c>
      <c r="Q34" s="67"/>
    </row>
    <row r="35" spans="2:17" ht="15" customHeight="1" x14ac:dyDescent="0.25">
      <c r="B35" s="177">
        <v>250</v>
      </c>
      <c r="D35" s="67">
        <f>'Res Billing Data'!B32</f>
        <v>1.5378907540267097E-3</v>
      </c>
      <c r="F35" s="155">
        <f>ROUND((($B35*'Typical Res Bill_RY#1 '!$D$32+'Typical Res Bill_RY#1 '!$D$12)),2)</f>
        <v>262.19</v>
      </c>
      <c r="G35" s="155">
        <f>ROUND((($B35*'Typical Res Bill_RY#1 '!$Y$32+'Typical Res Bill_RY#1 '!$Y$12)),2)</f>
        <v>278.42</v>
      </c>
      <c r="H35" s="155">
        <f>ROUND((($B35*'Typical Res Bill_RY#2'!$P$32+'Typical Res Bill_RY#2'!$P$12)),2)</f>
        <v>283.62</v>
      </c>
      <c r="I35" s="155"/>
      <c r="J35" s="155"/>
      <c r="K35" s="155">
        <f t="shared" si="2"/>
        <v>16.230000000000018</v>
      </c>
      <c r="L35" s="155">
        <f t="shared" si="3"/>
        <v>5.1999999999999886</v>
      </c>
      <c r="M35" s="155"/>
      <c r="N35" s="155"/>
      <c r="O35" s="67">
        <f t="shared" si="4"/>
        <v>6.190167435828986E-2</v>
      </c>
      <c r="P35" s="67">
        <f t="shared" si="5"/>
        <v>1.8676819194023375E-2</v>
      </c>
      <c r="Q35" s="67"/>
    </row>
    <row r="36" spans="2:17" ht="15" customHeight="1" x14ac:dyDescent="0.25">
      <c r="B36" s="177" t="s">
        <v>251</v>
      </c>
      <c r="D36" s="67">
        <f>'Res Billing Data'!B33</f>
        <v>8.0862412733100925E-3</v>
      </c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</row>
    <row r="37" spans="2:17" ht="15" customHeight="1" x14ac:dyDescent="0.25"/>
    <row r="38" spans="2:17" ht="15" customHeight="1" x14ac:dyDescent="0.25">
      <c r="B38" s="178" t="s">
        <v>249</v>
      </c>
    </row>
    <row r="39" spans="2:17" ht="15" customHeight="1" x14ac:dyDescent="0.25">
      <c r="B39" s="178" t="s">
        <v>328</v>
      </c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</row>
    <row r="40" spans="2:17" ht="15" customHeight="1" x14ac:dyDescent="0.25">
      <c r="B40" s="178" t="s">
        <v>319</v>
      </c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</row>
    <row r="41" spans="2:17" ht="15" customHeight="1" x14ac:dyDescent="0.25"/>
    <row r="42" spans="2:17" ht="15" customHeight="1" x14ac:dyDescent="0.25"/>
    <row r="43" spans="2:17" ht="15" customHeight="1" x14ac:dyDescent="0.25"/>
    <row r="44" spans="2:17" ht="15" customHeight="1" x14ac:dyDescent="0.25"/>
    <row r="45" spans="2:17" ht="15" customHeight="1" x14ac:dyDescent="0.25"/>
    <row r="46" spans="2:17" ht="15" customHeight="1" x14ac:dyDescent="0.25"/>
    <row r="47" spans="2:17" ht="15" customHeight="1" x14ac:dyDescent="0.25"/>
    <row r="48" spans="2:17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printOptions horizontalCentered="1"/>
  <pageMargins left="0.7" right="0.7" top="0.75" bottom="0.71" header="0.3" footer="0.3"/>
  <pageSetup scale="81" orientation="landscape" r:id="rId1"/>
  <headerFooter alignWithMargins="0">
    <oddFooter>&amp;R&amp;A
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"/>
  <sheetViews>
    <sheetView workbookViewId="0">
      <selection activeCell="U27" sqref="U27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Z43"/>
  <sheetViews>
    <sheetView zoomScale="90" zoomScaleNormal="90" workbookViewId="0">
      <selection activeCell="Y38" sqref="Y38"/>
    </sheetView>
  </sheetViews>
  <sheetFormatPr defaultColWidth="9.140625" defaultRowHeight="15" x14ac:dyDescent="0.25"/>
  <cols>
    <col min="1" max="1" width="2.140625" style="43" customWidth="1"/>
    <col min="2" max="2" width="2.42578125" style="43" customWidth="1"/>
    <col min="3" max="3" width="31.28515625" style="43" customWidth="1"/>
    <col min="4" max="5" width="11.7109375" style="43" customWidth="1"/>
    <col min="6" max="6" width="2.5703125" style="43" customWidth="1"/>
    <col min="7" max="8" width="11.7109375" style="43" customWidth="1"/>
    <col min="9" max="9" width="2.5703125" style="43" customWidth="1"/>
    <col min="10" max="11" width="11.7109375" style="43" customWidth="1"/>
    <col min="12" max="12" width="2.5703125" style="43" customWidth="1"/>
    <col min="13" max="14" width="11.7109375" style="43" customWidth="1"/>
    <col min="15" max="15" width="2.5703125" style="43" customWidth="1"/>
    <col min="16" max="17" width="11.7109375" style="43" customWidth="1"/>
    <col min="18" max="18" width="2.5703125" style="43" customWidth="1"/>
    <col min="19" max="20" width="11.7109375" style="43" customWidth="1"/>
    <col min="21" max="21" width="2.5703125" style="43" customWidth="1"/>
    <col min="22" max="23" width="11.7109375" style="43" customWidth="1"/>
    <col min="24" max="24" width="2.5703125" style="43" customWidth="1"/>
    <col min="25" max="26" width="11.7109375" style="43" customWidth="1"/>
    <col min="27" max="16384" width="9.140625" style="43"/>
  </cols>
  <sheetData>
    <row r="1" spans="2:26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2:26" x14ac:dyDescent="0.25">
      <c r="B2" s="42" t="s">
        <v>195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2:26" x14ac:dyDescent="0.25">
      <c r="B3" s="42" t="s">
        <v>331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2:26" x14ac:dyDescent="0.25">
      <c r="B4" s="151" t="s">
        <v>204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2:26" x14ac:dyDescent="0.25">
      <c r="I5" s="19"/>
    </row>
    <row r="6" spans="2:26" x14ac:dyDescent="0.25">
      <c r="D6" s="133" t="s">
        <v>23</v>
      </c>
      <c r="E6" s="133"/>
      <c r="F6" s="19"/>
      <c r="G6" s="133" t="s">
        <v>224</v>
      </c>
      <c r="H6" s="133"/>
      <c r="I6" s="19"/>
      <c r="J6" s="133" t="s">
        <v>239</v>
      </c>
      <c r="K6" s="133"/>
      <c r="M6" s="133" t="s">
        <v>240</v>
      </c>
      <c r="N6" s="133"/>
      <c r="P6" s="208" t="s">
        <v>400</v>
      </c>
      <c r="Q6" s="208"/>
      <c r="S6" s="133" t="s">
        <v>241</v>
      </c>
      <c r="T6" s="133"/>
      <c r="V6" s="133" t="s">
        <v>242</v>
      </c>
      <c r="W6" s="133"/>
      <c r="Y6" s="133" t="s">
        <v>193</v>
      </c>
      <c r="Z6" s="133"/>
    </row>
    <row r="7" spans="2:26" ht="17.25" x14ac:dyDescent="0.25">
      <c r="D7" s="72" t="s">
        <v>175</v>
      </c>
      <c r="E7" s="72" t="s">
        <v>176</v>
      </c>
      <c r="F7" s="48"/>
      <c r="G7" s="72" t="s">
        <v>22</v>
      </c>
      <c r="H7" s="72" t="s">
        <v>176</v>
      </c>
      <c r="I7" s="19"/>
      <c r="J7" s="72" t="s">
        <v>22</v>
      </c>
      <c r="K7" s="72" t="s">
        <v>176</v>
      </c>
      <c r="M7" s="72" t="s">
        <v>22</v>
      </c>
      <c r="N7" s="72" t="s">
        <v>176</v>
      </c>
      <c r="O7" s="48"/>
      <c r="P7" s="192" t="s">
        <v>22</v>
      </c>
      <c r="Q7" s="192" t="s">
        <v>176</v>
      </c>
      <c r="R7" s="48"/>
      <c r="S7" s="72" t="s">
        <v>22</v>
      </c>
      <c r="T7" s="72" t="s">
        <v>176</v>
      </c>
      <c r="U7" s="48"/>
      <c r="V7" s="72" t="s">
        <v>22</v>
      </c>
      <c r="W7" s="72" t="s">
        <v>176</v>
      </c>
      <c r="Y7" s="72" t="s">
        <v>22</v>
      </c>
      <c r="Z7" s="72" t="s">
        <v>176</v>
      </c>
    </row>
    <row r="8" spans="2:26" x14ac:dyDescent="0.25">
      <c r="B8" s="43" t="s">
        <v>177</v>
      </c>
      <c r="D8" s="134">
        <v>64</v>
      </c>
      <c r="E8" s="135"/>
      <c r="F8" s="134"/>
      <c r="G8" s="134">
        <v>64</v>
      </c>
      <c r="H8" s="135"/>
      <c r="I8" s="19"/>
      <c r="J8" s="134">
        <v>64</v>
      </c>
      <c r="K8" s="135"/>
      <c r="M8" s="134">
        <v>64</v>
      </c>
      <c r="N8" s="135"/>
      <c r="O8" s="135"/>
      <c r="P8" s="204">
        <v>64</v>
      </c>
      <c r="Q8" s="207"/>
      <c r="R8" s="135"/>
      <c r="S8" s="134">
        <v>64</v>
      </c>
      <c r="T8" s="135"/>
      <c r="U8" s="135"/>
      <c r="V8" s="134">
        <v>64</v>
      </c>
      <c r="W8" s="135"/>
      <c r="Y8" s="134">
        <v>64</v>
      </c>
      <c r="Z8" s="135"/>
    </row>
    <row r="9" spans="2:26" x14ac:dyDescent="0.25">
      <c r="D9" s="134"/>
      <c r="E9" s="135"/>
      <c r="F9" s="134"/>
      <c r="G9" s="134"/>
      <c r="H9" s="135"/>
      <c r="I9" s="19"/>
      <c r="J9" s="134"/>
      <c r="K9" s="135"/>
      <c r="M9" s="134"/>
      <c r="N9" s="135"/>
      <c r="O9" s="135"/>
      <c r="P9" s="204"/>
      <c r="Q9" s="207"/>
      <c r="R9" s="135"/>
      <c r="S9" s="134"/>
      <c r="T9" s="135"/>
      <c r="U9" s="135"/>
      <c r="V9" s="134"/>
      <c r="W9" s="135"/>
      <c r="Y9" s="134"/>
      <c r="Z9" s="135"/>
    </row>
    <row r="10" spans="2:26" x14ac:dyDescent="0.25">
      <c r="B10" s="43" t="s">
        <v>178</v>
      </c>
      <c r="D10" s="134"/>
      <c r="E10" s="135"/>
      <c r="F10" s="134"/>
      <c r="G10" s="134"/>
      <c r="H10" s="135"/>
      <c r="I10" s="19"/>
      <c r="J10" s="134"/>
      <c r="K10" s="135"/>
      <c r="M10" s="134"/>
      <c r="N10" s="135"/>
      <c r="O10" s="135"/>
      <c r="P10" s="204"/>
      <c r="Q10" s="207"/>
      <c r="R10" s="135"/>
      <c r="S10" s="134"/>
      <c r="T10" s="135"/>
      <c r="U10" s="135"/>
      <c r="V10" s="134"/>
      <c r="W10" s="135"/>
      <c r="Y10" s="134"/>
      <c r="Z10" s="135"/>
    </row>
    <row r="11" spans="2:26" x14ac:dyDescent="0.25">
      <c r="C11" s="43" t="s">
        <v>238</v>
      </c>
      <c r="D11" s="78">
        <v>11.52</v>
      </c>
      <c r="E11" s="135">
        <f>D11</f>
        <v>11.52</v>
      </c>
      <c r="F11" s="136"/>
      <c r="G11" s="179">
        <f>'[1]Exh JDT-5 (JDT-MYRP)'!$D$16</f>
        <v>12.5</v>
      </c>
      <c r="H11" s="135">
        <f>G11</f>
        <v>12.5</v>
      </c>
      <c r="J11" s="137">
        <f>$D$11</f>
        <v>11.52</v>
      </c>
      <c r="K11" s="135">
        <f>J11</f>
        <v>11.52</v>
      </c>
      <c r="M11" s="137">
        <f>$D$11</f>
        <v>11.52</v>
      </c>
      <c r="N11" s="135">
        <f>M11</f>
        <v>11.52</v>
      </c>
      <c r="O11" s="135"/>
      <c r="P11" s="209">
        <f>$D$11</f>
        <v>11.52</v>
      </c>
      <c r="Q11" s="207">
        <f>P11</f>
        <v>11.52</v>
      </c>
      <c r="R11" s="135"/>
      <c r="S11" s="137">
        <f>$D$11</f>
        <v>11.52</v>
      </c>
      <c r="T11" s="135">
        <f>S11</f>
        <v>11.52</v>
      </c>
      <c r="U11" s="135"/>
      <c r="V11" s="137">
        <f>$D$11</f>
        <v>11.52</v>
      </c>
      <c r="W11" s="135">
        <f>V11</f>
        <v>11.52</v>
      </c>
      <c r="Y11" s="179">
        <f>'[1]Exh JDT-5 (JDT-MYRP)'!$D$16</f>
        <v>12.5</v>
      </c>
      <c r="Z11" s="135">
        <f>Y11</f>
        <v>12.5</v>
      </c>
    </row>
    <row r="12" spans="2:26" x14ac:dyDescent="0.25">
      <c r="C12" s="43" t="s">
        <v>14</v>
      </c>
      <c r="D12" s="138">
        <f>SUM(D11:D11)</f>
        <v>11.52</v>
      </c>
      <c r="E12" s="138">
        <f>SUM(E11:E11)</f>
        <v>11.52</v>
      </c>
      <c r="F12" s="136"/>
      <c r="G12" s="138">
        <f>SUM(G11:G11)</f>
        <v>12.5</v>
      </c>
      <c r="H12" s="138">
        <f>SUM(H11:H11)</f>
        <v>12.5</v>
      </c>
      <c r="J12" s="138">
        <f>SUM(J11:J11)</f>
        <v>11.52</v>
      </c>
      <c r="K12" s="138">
        <f>SUM(K11:K11)</f>
        <v>11.52</v>
      </c>
      <c r="M12" s="138">
        <f>SUM(M11:M11)</f>
        <v>11.52</v>
      </c>
      <c r="N12" s="138">
        <f>SUM(N11:N11)</f>
        <v>11.52</v>
      </c>
      <c r="O12" s="137"/>
      <c r="P12" s="210">
        <f>SUM(P11:P11)</f>
        <v>11.52</v>
      </c>
      <c r="Q12" s="210">
        <f>SUM(Q11:Q11)</f>
        <v>11.52</v>
      </c>
      <c r="R12" s="137"/>
      <c r="S12" s="138">
        <f>SUM(S11:S11)</f>
        <v>11.52</v>
      </c>
      <c r="T12" s="138">
        <f>SUM(T11:T11)</f>
        <v>11.52</v>
      </c>
      <c r="U12" s="137"/>
      <c r="V12" s="138">
        <f>SUM(V11:V11)</f>
        <v>11.52</v>
      </c>
      <c r="W12" s="138">
        <f>SUM(W11:W11)</f>
        <v>11.52</v>
      </c>
      <c r="Y12" s="138">
        <f>SUM(Y11:Y11)</f>
        <v>12.5</v>
      </c>
      <c r="Z12" s="138">
        <f>SUM(Z11:Z11)</f>
        <v>12.5</v>
      </c>
    </row>
    <row r="13" spans="2:26" x14ac:dyDescent="0.25">
      <c r="D13" s="136"/>
      <c r="E13" s="135"/>
      <c r="F13" s="136"/>
      <c r="G13" s="137"/>
      <c r="H13" s="135"/>
      <c r="J13" s="137"/>
      <c r="K13" s="135"/>
      <c r="M13" s="137"/>
      <c r="N13" s="135"/>
      <c r="O13" s="135"/>
      <c r="P13" s="209"/>
      <c r="Q13" s="207"/>
      <c r="R13" s="135"/>
      <c r="S13" s="137"/>
      <c r="T13" s="135"/>
      <c r="U13" s="135"/>
      <c r="V13" s="137"/>
      <c r="W13" s="135"/>
      <c r="Y13" s="137"/>
      <c r="Z13" s="135"/>
    </row>
    <row r="14" spans="2:26" x14ac:dyDescent="0.25">
      <c r="B14" s="43" t="s">
        <v>179</v>
      </c>
      <c r="E14" s="135"/>
      <c r="H14" s="135"/>
      <c r="K14" s="135"/>
      <c r="N14" s="135"/>
      <c r="O14" s="135"/>
      <c r="P14" s="204"/>
      <c r="Q14" s="207"/>
      <c r="R14" s="135"/>
      <c r="T14" s="135"/>
      <c r="U14" s="135"/>
      <c r="W14" s="135"/>
      <c r="Z14" s="135"/>
    </row>
    <row r="15" spans="2:26" x14ac:dyDescent="0.25">
      <c r="C15" s="43" t="s">
        <v>226</v>
      </c>
      <c r="D15" s="98">
        <v>0.41964000000000001</v>
      </c>
      <c r="E15" s="135"/>
      <c r="F15" s="139"/>
      <c r="G15" s="92">
        <f>'[1]Exh JDT-5 (JDT-MYRP)'!$D$17</f>
        <v>0.45612999999999998</v>
      </c>
      <c r="H15" s="135"/>
      <c r="J15" s="113">
        <f>$D$15</f>
        <v>0.41964000000000001</v>
      </c>
      <c r="K15" s="135"/>
      <c r="M15" s="113">
        <f>$D$15</f>
        <v>0.41964000000000001</v>
      </c>
      <c r="N15" s="135"/>
      <c r="O15" s="135"/>
      <c r="P15" s="206">
        <f>$D$15</f>
        <v>0.41964000000000001</v>
      </c>
      <c r="Q15" s="207"/>
      <c r="R15" s="135"/>
      <c r="S15" s="113">
        <f>$D$15</f>
        <v>0.41964000000000001</v>
      </c>
      <c r="T15" s="135"/>
      <c r="U15" s="135"/>
      <c r="V15" s="113">
        <f>$D$15</f>
        <v>0.41964000000000001</v>
      </c>
      <c r="W15" s="135"/>
      <c r="Y15" s="92">
        <f>'[1]Exh JDT-5 (JDT-MYRP)'!$D$17</f>
        <v>0.45612999999999998</v>
      </c>
      <c r="Z15" s="135"/>
    </row>
    <row r="16" spans="2:26" x14ac:dyDescent="0.25">
      <c r="C16" s="43" t="s">
        <v>227</v>
      </c>
      <c r="D16" s="92">
        <f>'Sch. 129'!$E$9</f>
        <v>3.65E-3</v>
      </c>
      <c r="E16" s="135"/>
      <c r="F16" s="139"/>
      <c r="G16" s="113">
        <f>$D$16</f>
        <v>3.65E-3</v>
      </c>
      <c r="H16" s="135"/>
      <c r="J16" s="113">
        <f>$D$16</f>
        <v>3.65E-3</v>
      </c>
      <c r="K16" s="135"/>
      <c r="M16" s="113">
        <f>$D$16</f>
        <v>3.65E-3</v>
      </c>
      <c r="N16" s="135"/>
      <c r="O16" s="135"/>
      <c r="P16" s="206">
        <f>$D$16</f>
        <v>3.65E-3</v>
      </c>
      <c r="Q16" s="207"/>
      <c r="R16" s="135"/>
      <c r="S16" s="113">
        <f>$D$16</f>
        <v>3.65E-3</v>
      </c>
      <c r="T16" s="135"/>
      <c r="U16" s="135"/>
      <c r="V16" s="113">
        <f>$D$16</f>
        <v>3.65E-3</v>
      </c>
      <c r="W16" s="135"/>
      <c r="Y16" s="113">
        <f>$D$16</f>
        <v>3.65E-3</v>
      </c>
      <c r="Z16" s="135"/>
    </row>
    <row r="17" spans="3:26" x14ac:dyDescent="0.25">
      <c r="C17" s="43" t="s">
        <v>228</v>
      </c>
      <c r="D17" s="92">
        <f>'Sch. 140'!$D$9</f>
        <v>2.2749999999999999E-2</v>
      </c>
      <c r="E17" s="135"/>
      <c r="F17" s="139"/>
      <c r="G17" s="65">
        <f>$D$17</f>
        <v>2.2749999999999999E-2</v>
      </c>
      <c r="H17" s="135"/>
      <c r="J17" s="65">
        <f>$D$17</f>
        <v>2.2749999999999999E-2</v>
      </c>
      <c r="K17" s="135"/>
      <c r="M17" s="65">
        <f>$D$17</f>
        <v>2.2749999999999999E-2</v>
      </c>
      <c r="N17" s="135"/>
      <c r="O17" s="135"/>
      <c r="P17" s="206">
        <f>$D$17</f>
        <v>2.2749999999999999E-2</v>
      </c>
      <c r="Q17" s="207"/>
      <c r="R17" s="135"/>
      <c r="S17" s="65">
        <f>$D$17</f>
        <v>2.2749999999999999E-2</v>
      </c>
      <c r="T17" s="135"/>
      <c r="U17" s="135"/>
      <c r="V17" s="65">
        <f>$D$17</f>
        <v>2.2749999999999999E-2</v>
      </c>
      <c r="W17" s="135"/>
      <c r="Y17" s="65">
        <f>$D$17</f>
        <v>2.2749999999999999E-2</v>
      </c>
      <c r="Z17" s="135"/>
    </row>
    <row r="18" spans="3:26" x14ac:dyDescent="0.25">
      <c r="C18" s="204" t="s">
        <v>399</v>
      </c>
      <c r="D18" s="206">
        <v>0</v>
      </c>
      <c r="E18" s="207"/>
      <c r="F18" s="206"/>
      <c r="G18" s="206">
        <f>$D$18</f>
        <v>0</v>
      </c>
      <c r="H18" s="207"/>
      <c r="I18" s="204"/>
      <c r="J18" s="206">
        <f>$D$18</f>
        <v>0</v>
      </c>
      <c r="K18" s="207"/>
      <c r="L18" s="204"/>
      <c r="M18" s="206">
        <f>$D$18</f>
        <v>0</v>
      </c>
      <c r="N18" s="207"/>
      <c r="O18" s="207"/>
      <c r="P18" s="206">
        <f>'[1]Exh JDT-5 (JDT-MYRP)'!$J$11</f>
        <v>3.2599999999999999E-3</v>
      </c>
      <c r="Q18" s="207"/>
      <c r="R18" s="207"/>
      <c r="S18" s="206">
        <f>$D$18</f>
        <v>0</v>
      </c>
      <c r="T18" s="207"/>
      <c r="U18" s="207"/>
      <c r="V18" s="206">
        <f>$D$18</f>
        <v>0</v>
      </c>
      <c r="W18" s="207"/>
      <c r="X18" s="204"/>
      <c r="Y18" s="206">
        <f>'[1]Exh JDT-5 (JDT-MYRP)'!$J$11</f>
        <v>3.2599999999999999E-3</v>
      </c>
      <c r="Z18" s="135"/>
    </row>
    <row r="19" spans="3:26" x14ac:dyDescent="0.25">
      <c r="C19" s="43" t="s">
        <v>229</v>
      </c>
      <c r="D19" s="98">
        <v>0</v>
      </c>
      <c r="E19" s="135"/>
      <c r="F19" s="139"/>
      <c r="G19" s="113">
        <f>$D$19</f>
        <v>0</v>
      </c>
      <c r="H19" s="135"/>
      <c r="J19" s="92">
        <f>'[1]Exh JDT-5 (JDT-MYRP)'!$H$11</f>
        <v>-1.6999999999999999E-3</v>
      </c>
      <c r="K19" s="135"/>
      <c r="M19" s="113">
        <f>$D$19</f>
        <v>0</v>
      </c>
      <c r="N19" s="135"/>
      <c r="O19" s="135"/>
      <c r="P19" s="206">
        <f>$D$19</f>
        <v>0</v>
      </c>
      <c r="Q19" s="207"/>
      <c r="R19" s="135"/>
      <c r="S19" s="113">
        <f>$D$19</f>
        <v>0</v>
      </c>
      <c r="T19" s="135"/>
      <c r="U19" s="135"/>
      <c r="V19" s="113">
        <f>$D$19</f>
        <v>0</v>
      </c>
      <c r="W19" s="135"/>
      <c r="Y19" s="92">
        <f>'[1]Exh JDT-5 (JDT-MYRP)'!$H$11</f>
        <v>-1.6999999999999999E-3</v>
      </c>
      <c r="Z19" s="135"/>
    </row>
    <row r="20" spans="3:26" x14ac:dyDescent="0.25">
      <c r="C20" s="43" t="s">
        <v>230</v>
      </c>
      <c r="D20" s="98">
        <v>0</v>
      </c>
      <c r="E20" s="135"/>
      <c r="F20" s="139"/>
      <c r="G20" s="113">
        <f>$D$20</f>
        <v>0</v>
      </c>
      <c r="H20" s="135"/>
      <c r="J20" s="113">
        <f>$D$20</f>
        <v>0</v>
      </c>
      <c r="K20" s="135"/>
      <c r="M20" s="92">
        <f>'[1]Exh JDT-5 (JDT-MYRP)'!$I$11</f>
        <v>4.8649999999999999E-2</v>
      </c>
      <c r="N20" s="135"/>
      <c r="O20" s="135"/>
      <c r="P20" s="206">
        <f>$D$20</f>
        <v>0</v>
      </c>
      <c r="Q20" s="207"/>
      <c r="R20" s="135"/>
      <c r="S20" s="113">
        <f>$D$20</f>
        <v>0</v>
      </c>
      <c r="T20" s="135"/>
      <c r="U20" s="135"/>
      <c r="V20" s="113">
        <f>$D$20</f>
        <v>0</v>
      </c>
      <c r="W20" s="135"/>
      <c r="Y20" s="92">
        <f>'[1]Exh JDT-5 (JDT-MYRP)'!$I$11</f>
        <v>4.8649999999999999E-2</v>
      </c>
      <c r="Z20" s="135"/>
    </row>
    <row r="21" spans="3:26" x14ac:dyDescent="0.25">
      <c r="C21" s="43" t="s">
        <v>231</v>
      </c>
      <c r="D21" s="92">
        <f>'Sch. 141X'!$D$9</f>
        <v>3.14E-3</v>
      </c>
      <c r="E21" s="135"/>
      <c r="F21" s="139"/>
      <c r="G21" s="65">
        <f>$D$21</f>
        <v>3.14E-3</v>
      </c>
      <c r="H21" s="135"/>
      <c r="J21" s="65">
        <f>$D$21</f>
        <v>3.14E-3</v>
      </c>
      <c r="K21" s="135"/>
      <c r="M21" s="65">
        <f>$D$21</f>
        <v>3.14E-3</v>
      </c>
      <c r="N21" s="135"/>
      <c r="O21" s="135"/>
      <c r="P21" s="206">
        <f>$D$21</f>
        <v>3.14E-3</v>
      </c>
      <c r="Q21" s="207"/>
      <c r="R21" s="135"/>
      <c r="S21" s="92">
        <f>'Sch. 141X'!$E$9</f>
        <v>0</v>
      </c>
      <c r="T21" s="135"/>
      <c r="U21" s="135"/>
      <c r="V21" s="65">
        <f>$D$21</f>
        <v>3.14E-3</v>
      </c>
      <c r="W21" s="135"/>
      <c r="Y21" s="92">
        <f>'Sch. 141X'!$E$9</f>
        <v>0</v>
      </c>
      <c r="Z21" s="135"/>
    </row>
    <row r="22" spans="3:26" x14ac:dyDescent="0.25">
      <c r="C22" s="43" t="s">
        <v>232</v>
      </c>
      <c r="D22" s="92">
        <f>'Sch. 141Z'!$D$9</f>
        <v>-1.3699999999999999E-3</v>
      </c>
      <c r="E22" s="135"/>
      <c r="F22" s="139"/>
      <c r="G22" s="65">
        <f>$D$22</f>
        <v>-1.3699999999999999E-3</v>
      </c>
      <c r="H22" s="135"/>
      <c r="J22" s="65">
        <f>$D$22</f>
        <v>-1.3699999999999999E-3</v>
      </c>
      <c r="K22" s="135"/>
      <c r="M22" s="65">
        <f>$D$22</f>
        <v>-1.3699999999999999E-3</v>
      </c>
      <c r="N22" s="135"/>
      <c r="O22" s="135"/>
      <c r="P22" s="206">
        <f>$D$22</f>
        <v>-1.3699999999999999E-3</v>
      </c>
      <c r="Q22" s="207"/>
      <c r="R22" s="135"/>
      <c r="S22" s="65">
        <f>$D$22</f>
        <v>-1.3699999999999999E-3</v>
      </c>
      <c r="T22" s="135"/>
      <c r="U22" s="135"/>
      <c r="V22" s="65">
        <f>$D$22</f>
        <v>-1.3699999999999999E-3</v>
      </c>
      <c r="W22" s="135"/>
      <c r="Y22" s="65">
        <f>$D$22</f>
        <v>-1.3699999999999999E-3</v>
      </c>
      <c r="Z22" s="135"/>
    </row>
    <row r="23" spans="3:26" x14ac:dyDescent="0.25">
      <c r="C23" s="43" t="s">
        <v>233</v>
      </c>
      <c r="D23" s="92">
        <f>'Sch. 142'!$E$10</f>
        <v>2.2519999999999998E-2</v>
      </c>
      <c r="E23" s="135"/>
      <c r="F23" s="139"/>
      <c r="G23" s="65">
        <f>$D$23</f>
        <v>2.2519999999999998E-2</v>
      </c>
      <c r="H23" s="135"/>
      <c r="J23" s="65">
        <f>$D$23</f>
        <v>2.2519999999999998E-2</v>
      </c>
      <c r="K23" s="135"/>
      <c r="M23" s="65">
        <f>$D$23</f>
        <v>2.2519999999999998E-2</v>
      </c>
      <c r="N23" s="135"/>
      <c r="O23" s="135"/>
      <c r="P23" s="206">
        <f>$D$23</f>
        <v>2.2519999999999998E-2</v>
      </c>
      <c r="Q23" s="207"/>
      <c r="R23" s="135"/>
      <c r="S23" s="65">
        <f>$D$23</f>
        <v>2.2519999999999998E-2</v>
      </c>
      <c r="T23" s="135"/>
      <c r="U23" s="135"/>
      <c r="V23" s="65">
        <f>$D$23</f>
        <v>2.2519999999999998E-2</v>
      </c>
      <c r="W23" s="135"/>
      <c r="Y23" s="65">
        <f>$D$23</f>
        <v>2.2519999999999998E-2</v>
      </c>
      <c r="Z23" s="135"/>
    </row>
    <row r="24" spans="3:26" x14ac:dyDescent="0.25">
      <c r="C24" s="43" t="s">
        <v>234</v>
      </c>
      <c r="D24" s="92">
        <f>'Sch. 149'!$D$9</f>
        <v>2.2579999999999999E-2</v>
      </c>
      <c r="E24" s="135"/>
      <c r="F24" s="139"/>
      <c r="G24" s="65">
        <f>$D$24</f>
        <v>2.2579999999999999E-2</v>
      </c>
      <c r="H24" s="135"/>
      <c r="J24" s="65">
        <f>$D$24</f>
        <v>2.2579999999999999E-2</v>
      </c>
      <c r="K24" s="135"/>
      <c r="M24" s="65">
        <f>$D$24</f>
        <v>2.2579999999999999E-2</v>
      </c>
      <c r="N24" s="135"/>
      <c r="O24" s="135"/>
      <c r="P24" s="206">
        <f>$D$24</f>
        <v>2.2579999999999999E-2</v>
      </c>
      <c r="Q24" s="207"/>
      <c r="R24" s="135"/>
      <c r="S24" s="65">
        <f>$D$24</f>
        <v>2.2579999999999999E-2</v>
      </c>
      <c r="T24" s="135"/>
      <c r="U24" s="135"/>
      <c r="V24" s="92">
        <f>'Sch. 149'!$E$9</f>
        <v>0</v>
      </c>
      <c r="W24" s="135"/>
      <c r="Y24" s="92">
        <f>'Sch. 149'!$E$9</f>
        <v>0</v>
      </c>
      <c r="Z24" s="135"/>
    </row>
    <row r="25" spans="3:26" x14ac:dyDescent="0.25">
      <c r="C25" s="43" t="s">
        <v>14</v>
      </c>
      <c r="D25" s="140">
        <f>SUM(D15:D24)</f>
        <v>0.49290999999999996</v>
      </c>
      <c r="E25" s="135">
        <f>ROUND(D25*D$8,2)</f>
        <v>31.55</v>
      </c>
      <c r="F25" s="139"/>
      <c r="G25" s="140">
        <f>SUM(G15:G24)</f>
        <v>0.52939999999999998</v>
      </c>
      <c r="H25" s="135">
        <f>ROUND(G25*G$8,2)</f>
        <v>33.880000000000003</v>
      </c>
      <c r="J25" s="140">
        <f>SUM(J15:J24)</f>
        <v>0.49120999999999998</v>
      </c>
      <c r="K25" s="135">
        <f>ROUND(J25*J$8,2)</f>
        <v>31.44</v>
      </c>
      <c r="M25" s="140">
        <f>SUM(M15:M24)</f>
        <v>0.54156000000000004</v>
      </c>
      <c r="N25" s="135">
        <f>ROUND(M25*M$8,2)</f>
        <v>34.659999999999997</v>
      </c>
      <c r="O25" s="135"/>
      <c r="P25" s="211">
        <f>SUM(P15:P24)</f>
        <v>0.49616999999999994</v>
      </c>
      <c r="Q25" s="207">
        <f>ROUND(P25*P$8,2)</f>
        <v>31.75</v>
      </c>
      <c r="R25" s="135"/>
      <c r="S25" s="140">
        <f>SUM(S15:S24)</f>
        <v>0.48976999999999998</v>
      </c>
      <c r="T25" s="135">
        <f>ROUND(S25*S$8,2)</f>
        <v>31.35</v>
      </c>
      <c r="U25" s="135"/>
      <c r="V25" s="140">
        <f>SUM(V15:V24)</f>
        <v>0.47032999999999997</v>
      </c>
      <c r="W25" s="135">
        <f>ROUND(V25*V$8,2)</f>
        <v>30.1</v>
      </c>
      <c r="Y25" s="140">
        <f>SUM(Y15:Y24)</f>
        <v>0.55388999999999999</v>
      </c>
      <c r="Z25" s="135">
        <f>ROUND(Y25*Y$8,2)</f>
        <v>35.450000000000003</v>
      </c>
    </row>
    <row r="26" spans="3:26" x14ac:dyDescent="0.25">
      <c r="P26" s="204"/>
      <c r="Q26" s="204"/>
      <c r="Z26" s="135"/>
    </row>
    <row r="27" spans="3:26" x14ac:dyDescent="0.25">
      <c r="C27" s="43" t="s">
        <v>235</v>
      </c>
      <c r="D27" s="92">
        <f>'Sch. 120'!$D$9</f>
        <v>2.019E-2</v>
      </c>
      <c r="E27" s="135">
        <f>ROUND(D27*D$8,2)</f>
        <v>1.29</v>
      </c>
      <c r="F27" s="139"/>
      <c r="G27" s="65">
        <f>$D$27</f>
        <v>2.019E-2</v>
      </c>
      <c r="H27" s="135">
        <f>ROUND(G27*G$8,2)</f>
        <v>1.29</v>
      </c>
      <c r="J27" s="65">
        <f>$D$27</f>
        <v>2.019E-2</v>
      </c>
      <c r="K27" s="135">
        <f>ROUND(J27*J$8,2)</f>
        <v>1.29</v>
      </c>
      <c r="M27" s="65">
        <f>$D$27</f>
        <v>2.019E-2</v>
      </c>
      <c r="N27" s="135">
        <f>ROUND(M27*M$8,2)</f>
        <v>1.29</v>
      </c>
      <c r="O27" s="135"/>
      <c r="P27" s="206">
        <f>$D$27</f>
        <v>2.019E-2</v>
      </c>
      <c r="Q27" s="207">
        <f>ROUND(P27*P$8,2)</f>
        <v>1.29</v>
      </c>
      <c r="R27" s="135"/>
      <c r="S27" s="65">
        <f>$D$27</f>
        <v>2.019E-2</v>
      </c>
      <c r="T27" s="135">
        <f>ROUND(S27*S$8,2)</f>
        <v>1.29</v>
      </c>
      <c r="U27" s="135"/>
      <c r="V27" s="65">
        <f>$D$27</f>
        <v>2.019E-2</v>
      </c>
      <c r="W27" s="135">
        <f>ROUND(V27*V$8,2)</f>
        <v>1.29</v>
      </c>
      <c r="Y27" s="65">
        <f>$D$27</f>
        <v>2.019E-2</v>
      </c>
      <c r="Z27" s="135">
        <f>ROUND(Y27*Y$8,2)</f>
        <v>1.29</v>
      </c>
    </row>
    <row r="28" spans="3:26" x14ac:dyDescent="0.25">
      <c r="D28" s="113"/>
      <c r="E28" s="135"/>
      <c r="F28" s="139"/>
      <c r="G28" s="113"/>
      <c r="H28" s="135"/>
      <c r="J28" s="113"/>
      <c r="K28" s="135"/>
      <c r="M28" s="113"/>
      <c r="N28" s="135"/>
      <c r="O28" s="135"/>
      <c r="P28" s="206"/>
      <c r="Q28" s="207"/>
      <c r="R28" s="135"/>
      <c r="S28" s="113"/>
      <c r="T28" s="135"/>
      <c r="U28" s="135"/>
      <c r="V28" s="113"/>
      <c r="W28" s="135"/>
      <c r="Y28" s="113"/>
      <c r="Z28" s="135"/>
    </row>
    <row r="29" spans="3:26" x14ac:dyDescent="0.25">
      <c r="C29" s="43" t="s">
        <v>236</v>
      </c>
      <c r="D29" s="92">
        <f>'Sch. 101'!$E$10</f>
        <v>0.46339999999999998</v>
      </c>
      <c r="E29" s="135"/>
      <c r="F29" s="139"/>
      <c r="G29" s="65">
        <f>$D$29</f>
        <v>0.46339999999999998</v>
      </c>
      <c r="H29" s="135"/>
      <c r="J29" s="113">
        <f>$D$29</f>
        <v>0.46339999999999998</v>
      </c>
      <c r="K29" s="135"/>
      <c r="M29" s="113">
        <f>$D$29</f>
        <v>0.46339999999999998</v>
      </c>
      <c r="N29" s="135"/>
      <c r="O29" s="135"/>
      <c r="P29" s="206">
        <f>$D$29</f>
        <v>0.46339999999999998</v>
      </c>
      <c r="Q29" s="207"/>
      <c r="R29" s="135"/>
      <c r="S29" s="113">
        <f>$D$29</f>
        <v>0.46339999999999998</v>
      </c>
      <c r="T29" s="135"/>
      <c r="U29" s="135"/>
      <c r="V29" s="65">
        <f>$D$29</f>
        <v>0.46339999999999998</v>
      </c>
      <c r="W29" s="135"/>
      <c r="Y29" s="65">
        <f>$D$29</f>
        <v>0.46339999999999998</v>
      </c>
      <c r="Z29" s="135"/>
    </row>
    <row r="30" spans="3:26" x14ac:dyDescent="0.25">
      <c r="C30" s="43" t="s">
        <v>237</v>
      </c>
      <c r="D30" s="92">
        <f>'Sch. 106'!$G$10</f>
        <v>2.6179999999999998E-2</v>
      </c>
      <c r="E30" s="135"/>
      <c r="F30" s="139"/>
      <c r="G30" s="65">
        <f>$D$30</f>
        <v>2.6179999999999998E-2</v>
      </c>
      <c r="H30" s="135"/>
      <c r="J30" s="65">
        <f>$D$30</f>
        <v>2.6179999999999998E-2</v>
      </c>
      <c r="K30" s="135"/>
      <c r="M30" s="65">
        <f>$D$30</f>
        <v>2.6179999999999998E-2</v>
      </c>
      <c r="N30" s="135"/>
      <c r="O30" s="135"/>
      <c r="P30" s="206">
        <f>$D$30</f>
        <v>2.6179999999999998E-2</v>
      </c>
      <c r="Q30" s="207"/>
      <c r="R30" s="135"/>
      <c r="S30" s="65">
        <f>$D$30</f>
        <v>2.6179999999999998E-2</v>
      </c>
      <c r="T30" s="135"/>
      <c r="U30" s="135"/>
      <c r="V30" s="65">
        <f>$D$30</f>
        <v>2.6179999999999998E-2</v>
      </c>
      <c r="W30" s="135"/>
      <c r="Y30" s="65">
        <f>$D$30</f>
        <v>2.6179999999999998E-2</v>
      </c>
      <c r="Z30" s="135"/>
    </row>
    <row r="31" spans="3:26" x14ac:dyDescent="0.25">
      <c r="C31" s="43" t="s">
        <v>14</v>
      </c>
      <c r="D31" s="140">
        <f>SUM(D29:D30)</f>
        <v>0.48957999999999996</v>
      </c>
      <c r="E31" s="135">
        <f>ROUND(D31*D$8,2)</f>
        <v>31.33</v>
      </c>
      <c r="F31" s="139"/>
      <c r="G31" s="140">
        <f>SUM(G29:G30)</f>
        <v>0.48957999999999996</v>
      </c>
      <c r="H31" s="135">
        <f>ROUND(G31*G$8,2)</f>
        <v>31.33</v>
      </c>
      <c r="J31" s="140">
        <f>SUM(J29:J30)</f>
        <v>0.48957999999999996</v>
      </c>
      <c r="K31" s="135">
        <f>ROUND(J31*J$8,2)</f>
        <v>31.33</v>
      </c>
      <c r="M31" s="140">
        <f>SUM(M29:M30)</f>
        <v>0.48957999999999996</v>
      </c>
      <c r="N31" s="135">
        <f>ROUND(M31*M$8,2)</f>
        <v>31.33</v>
      </c>
      <c r="O31" s="135"/>
      <c r="P31" s="211">
        <f>SUM(P29:P30)</f>
        <v>0.48957999999999996</v>
      </c>
      <c r="Q31" s="207">
        <f>ROUND(P31*P$8,2)</f>
        <v>31.33</v>
      </c>
      <c r="R31" s="135"/>
      <c r="S31" s="140">
        <f>SUM(S29:S30)</f>
        <v>0.48957999999999996</v>
      </c>
      <c r="T31" s="135">
        <f>ROUND(S31*S$8,2)</f>
        <v>31.33</v>
      </c>
      <c r="U31" s="135"/>
      <c r="V31" s="140">
        <f>SUM(V29:V30)</f>
        <v>0.48957999999999996</v>
      </c>
      <c r="W31" s="135">
        <f>ROUND(V31*V$8,2)</f>
        <v>31.33</v>
      </c>
      <c r="Y31" s="140">
        <f>SUM(Y29:Y30)</f>
        <v>0.48957999999999996</v>
      </c>
      <c r="Z31" s="135">
        <f>ROUND(Y31*Y$8,2)</f>
        <v>31.33</v>
      </c>
    </row>
    <row r="32" spans="3:26" x14ac:dyDescent="0.25">
      <c r="C32" s="43" t="s">
        <v>180</v>
      </c>
      <c r="D32" s="140">
        <f>D25+D27+D31</f>
        <v>1.00268</v>
      </c>
      <c r="E32" s="141">
        <f>SUM(E25,E27,E31)</f>
        <v>64.17</v>
      </c>
      <c r="F32" s="113"/>
      <c r="G32" s="140">
        <f>G25+G27+G31</f>
        <v>1.0391699999999999</v>
      </c>
      <c r="H32" s="141">
        <f>SUM(H25,H27,H31)</f>
        <v>66.5</v>
      </c>
      <c r="J32" s="140">
        <f>J25+J27+J31</f>
        <v>1.00098</v>
      </c>
      <c r="K32" s="141">
        <f>SUM(K25,K27,K31)</f>
        <v>64.06</v>
      </c>
      <c r="M32" s="140">
        <f>M25+M27+M31</f>
        <v>1.0513300000000001</v>
      </c>
      <c r="N32" s="141">
        <f>SUM(N25,N27,N31)</f>
        <v>67.28</v>
      </c>
      <c r="O32" s="135"/>
      <c r="P32" s="211">
        <f>P25+P27+P31</f>
        <v>1.0059399999999998</v>
      </c>
      <c r="Q32" s="212">
        <f>SUM(Q25,Q27,Q31)</f>
        <v>64.37</v>
      </c>
      <c r="R32" s="135"/>
      <c r="S32" s="140">
        <f>S25+S27+S31</f>
        <v>0.99953999999999987</v>
      </c>
      <c r="T32" s="141">
        <f>SUM(T25,T27,T31)</f>
        <v>63.97</v>
      </c>
      <c r="U32" s="135"/>
      <c r="V32" s="140">
        <f>V25+V27+V31</f>
        <v>0.98009999999999997</v>
      </c>
      <c r="W32" s="141">
        <f>SUM(W25,W27,W31)</f>
        <v>62.72</v>
      </c>
      <c r="Y32" s="140">
        <f>Y25+Y27+Y31</f>
        <v>1.06366</v>
      </c>
      <c r="Z32" s="141">
        <f>SUM(Z25,Z27,Z31)</f>
        <v>68.069999999999993</v>
      </c>
    </row>
    <row r="33" spans="2:26" x14ac:dyDescent="0.25">
      <c r="E33" s="135"/>
      <c r="H33" s="135"/>
      <c r="K33" s="135"/>
      <c r="N33" s="135"/>
      <c r="O33" s="135"/>
      <c r="P33" s="204"/>
      <c r="Q33" s="207"/>
      <c r="R33" s="135"/>
      <c r="T33" s="135"/>
      <c r="U33" s="135"/>
      <c r="W33" s="135"/>
      <c r="Z33" s="135"/>
    </row>
    <row r="34" spans="2:26" x14ac:dyDescent="0.25">
      <c r="B34" s="43" t="s">
        <v>181</v>
      </c>
      <c r="D34" s="137"/>
      <c r="E34" s="135">
        <f>E12+E32</f>
        <v>75.69</v>
      </c>
      <c r="F34" s="137"/>
      <c r="G34" s="137"/>
      <c r="H34" s="135">
        <f>H12+H32</f>
        <v>79</v>
      </c>
      <c r="J34" s="137"/>
      <c r="K34" s="135">
        <f>K12+K32</f>
        <v>75.58</v>
      </c>
      <c r="M34" s="137"/>
      <c r="N34" s="135">
        <f>N12+N32</f>
        <v>78.8</v>
      </c>
      <c r="O34" s="135"/>
      <c r="P34" s="209"/>
      <c r="Q34" s="207">
        <f>Q12+Q32</f>
        <v>75.89</v>
      </c>
      <c r="R34" s="135"/>
      <c r="S34" s="137"/>
      <c r="T34" s="135">
        <f>T12+T32</f>
        <v>75.489999999999995</v>
      </c>
      <c r="U34" s="135"/>
      <c r="V34" s="137"/>
      <c r="W34" s="135">
        <f>W12+W32</f>
        <v>74.239999999999995</v>
      </c>
      <c r="Y34" s="137"/>
      <c r="Z34" s="135">
        <f>Z12+Z32</f>
        <v>80.569999999999993</v>
      </c>
    </row>
    <row r="35" spans="2:26" x14ac:dyDescent="0.25">
      <c r="B35" s="43" t="s">
        <v>182</v>
      </c>
      <c r="D35" s="137"/>
      <c r="E35" s="135"/>
      <c r="F35" s="137"/>
      <c r="G35" s="137"/>
      <c r="H35" s="135">
        <f>H34-$E34</f>
        <v>3.3100000000000023</v>
      </c>
      <c r="J35" s="137"/>
      <c r="K35" s="135">
        <f>K34-$E34</f>
        <v>-0.10999999999999943</v>
      </c>
      <c r="M35" s="137"/>
      <c r="N35" s="135">
        <f>N34-$E34</f>
        <v>3.1099999999999994</v>
      </c>
      <c r="O35" s="135"/>
      <c r="P35" s="209"/>
      <c r="Q35" s="207">
        <f>Q34-$E34</f>
        <v>0.20000000000000284</v>
      </c>
      <c r="R35" s="135"/>
      <c r="S35" s="137"/>
      <c r="T35" s="135">
        <f>T34-$E34</f>
        <v>-0.20000000000000284</v>
      </c>
      <c r="U35" s="135"/>
      <c r="V35" s="137"/>
      <c r="W35" s="135">
        <f>W34-$E34</f>
        <v>-1.4500000000000028</v>
      </c>
      <c r="Y35" s="137"/>
      <c r="Z35" s="135">
        <f>Z34-$E34</f>
        <v>4.8799999999999955</v>
      </c>
    </row>
    <row r="36" spans="2:26" x14ac:dyDescent="0.25">
      <c r="B36" s="43" t="s">
        <v>183</v>
      </c>
      <c r="D36" s="20"/>
      <c r="E36" s="20"/>
      <c r="F36" s="20"/>
      <c r="G36" s="20"/>
      <c r="H36" s="67">
        <f>H35/$E34</f>
        <v>4.3731008059188829E-2</v>
      </c>
      <c r="J36" s="20"/>
      <c r="K36" s="67">
        <f>K35/$E34</f>
        <v>-1.4532963403355718E-3</v>
      </c>
      <c r="M36" s="20"/>
      <c r="N36" s="67">
        <f>N35/$E34</f>
        <v>4.1088651076760463E-2</v>
      </c>
      <c r="O36" s="67"/>
      <c r="P36" s="213"/>
      <c r="Q36" s="196">
        <f>Q35/$E34</f>
        <v>2.6423569824283637E-3</v>
      </c>
      <c r="R36" s="67"/>
      <c r="S36" s="20"/>
      <c r="T36" s="67">
        <f>T35/$E34</f>
        <v>-2.6423569824283637E-3</v>
      </c>
      <c r="U36" s="67"/>
      <c r="V36" s="20"/>
      <c r="W36" s="67">
        <f>W35/$E34</f>
        <v>-1.9157088122605401E-2</v>
      </c>
      <c r="Y36" s="20"/>
      <c r="Z36" s="67">
        <f>Z35/$E34</f>
        <v>6.4473510371251097E-2</v>
      </c>
    </row>
    <row r="37" spans="2:26" x14ac:dyDescent="0.25">
      <c r="E37" s="135"/>
    </row>
    <row r="38" spans="2:26" ht="17.25" x14ac:dyDescent="0.25">
      <c r="B38" s="43" t="s">
        <v>225</v>
      </c>
    </row>
    <row r="39" spans="2:26" x14ac:dyDescent="0.25">
      <c r="C39" s="189" t="s">
        <v>388</v>
      </c>
    </row>
    <row r="43" spans="2:26" ht="14.25" customHeight="1" x14ac:dyDescent="0.25"/>
  </sheetData>
  <printOptions horizontalCentered="1"/>
  <pageMargins left="0.45" right="0.45" top="1" bottom="1" header="0.5" footer="0.5"/>
  <pageSetup scale="53" orientation="landscape" blackAndWhite="1" r:id="rId1"/>
  <headerFooter alignWithMargins="0">
    <oddFooter>&amp;R&amp;A
 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2023-12-04T22:06:25+00:00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04F6667-C16D-43DD-AB4F-DE78E9C31014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EC2FED40-F346-4DE0-A857-68901AF73FAD}"/>
</file>

<file path=customXml/itemProps3.xml><?xml version="1.0" encoding="utf-8"?>
<ds:datastoreItem xmlns:ds="http://schemas.openxmlformats.org/officeDocument/2006/customXml" ds:itemID="{937E8254-3B10-4144-B6FB-450506E44C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7E73A8-0067-4464-86D6-C07DDF241152}">
  <ds:schemaRefs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f3089c57-b5d0-48df-acef-a5f06a5b3e7b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E9FBED49-5542-4A31-9030-68823F0A6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29</vt:i4>
      </vt:variant>
    </vt:vector>
  </HeadingPairs>
  <TitlesOfParts>
    <vt:vector size="72" baseType="lpstr">
      <vt:lpstr>Table of Contents</vt:lpstr>
      <vt:lpstr>Overall Rate Impacts--&gt;</vt:lpstr>
      <vt:lpstr>Rate Impacts_RY#1</vt:lpstr>
      <vt:lpstr>Rate Impacts_RY#2</vt:lpstr>
      <vt:lpstr>Rate Impacts_RY#3</vt:lpstr>
      <vt:lpstr>Res. Bill Impacts--&gt;</vt:lpstr>
      <vt:lpstr>Res Bill Summary</vt:lpstr>
      <vt:lpstr>Typical Res Bill Impacts--&gt;</vt:lpstr>
      <vt:lpstr>Typical Res Bill_RY#1 </vt:lpstr>
      <vt:lpstr>Typical Res Bill_RY#2</vt:lpstr>
      <vt:lpstr>Typical Res Bill_RY#3</vt:lpstr>
      <vt:lpstr>Avg Per Therm Impacts--&gt;</vt:lpstr>
      <vt:lpstr>Avg Per Therm_RY#1 </vt:lpstr>
      <vt:lpstr>Avg Per Therm_RY#2</vt:lpstr>
      <vt:lpstr>Avg Per Therm_RY#3</vt:lpstr>
      <vt:lpstr>Work Papers--&gt;</vt:lpstr>
      <vt:lpstr>Revenue Calculations--&gt;</vt:lpstr>
      <vt:lpstr>Revenue by Sch_RY#1</vt:lpstr>
      <vt:lpstr>Revenue by Sch_RY#2</vt:lpstr>
      <vt:lpstr>Revenue by Sch_RY#3</vt:lpstr>
      <vt:lpstr>Rider Revenue Calculation--&gt;</vt:lpstr>
      <vt:lpstr>Sch. 101</vt:lpstr>
      <vt:lpstr>Sch. 106</vt:lpstr>
      <vt:lpstr>Sch. 120</vt:lpstr>
      <vt:lpstr>Sch. 129</vt:lpstr>
      <vt:lpstr>Sch. 140</vt:lpstr>
      <vt:lpstr>Sch. 141D_2024</vt:lpstr>
      <vt:lpstr>Sch. 141N_2024</vt:lpstr>
      <vt:lpstr>Sch. 141N_2025</vt:lpstr>
      <vt:lpstr>Sch. 141R_2024</vt:lpstr>
      <vt:lpstr>Sch. 141R_2025</vt:lpstr>
      <vt:lpstr>Sch. 141X</vt:lpstr>
      <vt:lpstr>Sch. 141Z</vt:lpstr>
      <vt:lpstr>Sch. 142</vt:lpstr>
      <vt:lpstr>Sch. 149</vt:lpstr>
      <vt:lpstr>Data--&gt;</vt:lpstr>
      <vt:lpstr>Res Billing Data</vt:lpstr>
      <vt:lpstr>Therms_CY2023</vt:lpstr>
      <vt:lpstr>Therms_CY2024</vt:lpstr>
      <vt:lpstr>Therms_CY2025</vt:lpstr>
      <vt:lpstr>12ME Dec 2023 Therms by Block%</vt:lpstr>
      <vt:lpstr>12ME Dec 2023 Therms by Block</vt:lpstr>
      <vt:lpstr>12ME Dec 2023 Data</vt:lpstr>
      <vt:lpstr>'12ME Dec 2023 Therms by Block'!Print_Area</vt:lpstr>
      <vt:lpstr>'12ME Dec 2023 Therms by Block%'!Print_Area</vt:lpstr>
      <vt:lpstr>'Avg Per Therm_RY#1 '!Print_Area</vt:lpstr>
      <vt:lpstr>'Avg Per Therm_RY#2'!Print_Area</vt:lpstr>
      <vt:lpstr>'Avg Per Therm_RY#3'!Print_Area</vt:lpstr>
      <vt:lpstr>'Rate Impacts_RY#1'!Print_Area</vt:lpstr>
      <vt:lpstr>'Rate Impacts_RY#2'!Print_Area</vt:lpstr>
      <vt:lpstr>'Rate Impacts_RY#3'!Print_Area</vt:lpstr>
      <vt:lpstr>'Res Bill Summary'!Print_Area</vt:lpstr>
      <vt:lpstr>'Revenue by Sch_RY#1'!Print_Area</vt:lpstr>
      <vt:lpstr>'Revenue by Sch_RY#2'!Print_Area</vt:lpstr>
      <vt:lpstr>'Revenue by Sch_RY#3'!Print_Area</vt:lpstr>
      <vt:lpstr>'Sch. 101'!Print_Area</vt:lpstr>
      <vt:lpstr>'Sch. 129'!Print_Area</vt:lpstr>
      <vt:lpstr>'Sch. 140'!Print_Area</vt:lpstr>
      <vt:lpstr>'Sch. 141D_2024'!Print_Area</vt:lpstr>
      <vt:lpstr>'Sch. 141N_2024'!Print_Area</vt:lpstr>
      <vt:lpstr>'Sch. 141N_2025'!Print_Area</vt:lpstr>
      <vt:lpstr>'Sch. 141R_2024'!Print_Area</vt:lpstr>
      <vt:lpstr>'Sch. 141R_2025'!Print_Area</vt:lpstr>
      <vt:lpstr>'Sch. 141X'!Print_Area</vt:lpstr>
      <vt:lpstr>'Sch. 141Z'!Print_Area</vt:lpstr>
      <vt:lpstr>'Sch. 149'!Print_Area</vt:lpstr>
      <vt:lpstr>'Typical Res Bill_RY#1 '!Print_Area</vt:lpstr>
      <vt:lpstr>'Typical Res Bill_RY#2'!Print_Area</vt:lpstr>
      <vt:lpstr>'Typical Res Bill_RY#3'!Print_Area</vt:lpstr>
      <vt:lpstr>'12ME Dec 2023 Therms by Block'!Print_Titles</vt:lpstr>
      <vt:lpstr>'12ME Dec 2023 Therms by Block%'!Print_Titles</vt:lpstr>
      <vt:lpstr>'Sch. 142'!Print_Titles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KXu;Paul.Schmidt@pse.com</dc:creator>
  <cp:lastModifiedBy>Erdahl, Betty Ann (UTC)</cp:lastModifiedBy>
  <cp:lastPrinted>2022-12-24T07:06:49Z</cp:lastPrinted>
  <dcterms:created xsi:type="dcterms:W3CDTF">2015-03-25T23:20:22Z</dcterms:created>
  <dcterms:modified xsi:type="dcterms:W3CDTF">2023-12-01T02:44:37Z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Order">
    <vt:r8>61600</vt:r8>
  </property>
  <property fmtid="{D5CDD505-2E9C-101B-9397-08002B2CF9AE}" pid="4" name="_docset_NoMedatataSyncRequired">
    <vt:lpwstr>False</vt:lpwstr>
  </property>
</Properties>
</file>