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pivotTables/pivotTable12.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6350" windowHeight="6990"/>
  </bookViews>
  <sheets>
    <sheet name="Analysis Summary" sheetId="20" r:id="rId1"/>
    <sheet name="Summary Table (Remove Excluded)" sheetId="21" r:id="rId2"/>
    <sheet name="Summary Table" sheetId="16" r:id="rId3"/>
    <sheet name="Cost per Site" sheetId="12" r:id="rId4"/>
    <sheet name="Metadata" sheetId="13" r:id="rId5"/>
    <sheet name="DER Concepts" sheetId="2" r:id="rId6"/>
    <sheet name="Approach" sheetId="6" r:id="rId7"/>
    <sheet name="S6-Summary" sheetId="1" r:id="rId8"/>
    <sheet name="S6-Filter-Solar" sheetId="9" r:id="rId9"/>
    <sheet name="S6-Filter-Battery" sheetId="10" r:id="rId10"/>
    <sheet name="S6-Selection" sheetId="3" r:id="rId11"/>
    <sheet name="CBI" sheetId="11" r:id="rId12"/>
  </sheets>
  <externalReferences>
    <externalReference r:id="rId13"/>
    <externalReference r:id="rId14"/>
    <externalReference r:id="rId15"/>
  </externalReferences>
  <definedNames>
    <definedName name="_Fill" localSheetId="9" hidden="1">#REF!</definedName>
    <definedName name="_Fill" localSheetId="8" hidden="1">#REF!</definedName>
    <definedName name="_Fill" localSheetId="1" hidden="1">#REF!</definedName>
    <definedName name="_Fill" hidden="1">#REF!</definedName>
    <definedName name="_xlnm._FilterDatabase" localSheetId="11" hidden="1">CBI!$B$10:$P$35</definedName>
    <definedName name="_xlnm._FilterDatabase" localSheetId="9" hidden="1">'S6-Filter-Battery'!$B$12:$X$25</definedName>
    <definedName name="_xlnm._FilterDatabase" localSheetId="8" hidden="1">'S6-Filter-Solar'!$B$12:$X$25</definedName>
    <definedName name="_xlnm._FilterDatabase" localSheetId="7" hidden="1">'S6-Summary'!$B$17:$W$44</definedName>
    <definedName name="_Order1">255</definedName>
    <definedName name="_Order2">255</definedName>
    <definedName name="AAAAAAAAAAAAAA" hidden="1">{#N/A,#N/A,FALSE,"Coversheet";#N/A,#N/A,FALSE,"QA"}</definedName>
    <definedName name="AccessDatabase">"I:\COMTREL\FINICLE\TradeSummary.mdb"</definedName>
    <definedName name="AS2DocOpenMode">"AS2DocumentEdit"</definedName>
    <definedName name="AuroraBaseYear">'[1]Aurora_New Resources'!$C$2</definedName>
    <definedName name="b" hidden="1">{#N/A,#N/A,FALSE,"Coversheet";#N/A,#N/A,FALSE,"QA"}</definedName>
    <definedName name="BaseYear">'[1]Thermal Options'!$H$2</definedName>
    <definedName name="CBWorkbookPriority">-1894858854</definedName>
    <definedName name="ConversionFactor">[1]Assumptions!$B$13</definedName>
    <definedName name="DELETE01" hidden="1">{#N/A,#N/A,FALSE,"Coversheet";#N/A,#N/A,FALSE,"QA"}</definedName>
    <definedName name="DELETE02" hidden="1">{#N/A,#N/A,FALSE,"Schedule F";#N/A,#N/A,FALSE,"Schedule G"}</definedName>
    <definedName name="Delete06" hidden="1">{#N/A,#N/A,FALSE,"Coversheet";#N/A,#N/A,FALSE,"QA"}</definedName>
    <definedName name="Delete1" hidden="1">{#N/A,#N/A,FALSE,"Coversheet";#N/A,#N/A,FALSE,"QA"}</definedName>
    <definedName name="FedTaxRate">[1]Assumptions!$B$15</definedName>
    <definedName name="GTInsRate">[1]Assumptions!$B$17</definedName>
    <definedName name="HTML_CodePage">1252</definedName>
    <definedName name="HTML_Control">{"'3P'!$A$1:$L$58"}</definedName>
    <definedName name="HTML_Description">""</definedName>
    <definedName name="HTML_Email">""</definedName>
    <definedName name="HTML_Header">"Attachment 3P"</definedName>
    <definedName name="HTML_LastUpdate">"09/20/2000"</definedName>
    <definedName name="HTML_LineAfter">FALSE</definedName>
    <definedName name="HTML_LineBefore">FALSE</definedName>
    <definedName name="HTML_Name">"BV"</definedName>
    <definedName name="HTML_OBDlg2">TRUE</definedName>
    <definedName name="HTML_OBDlg4">TRUE</definedName>
    <definedName name="HTML_OS">0</definedName>
    <definedName name="HTML_PathFile">"E:\BV Users_D\a50 - Design Engineering\50.2000, Guidelines\MyHTML.htm"</definedName>
    <definedName name="HTML_Title">"51_2101, a3"</definedName>
    <definedName name="inctaxrate">0.4</definedName>
    <definedName name="InsRate">[1]Assumptions!$B$12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NvsASD">"V1999-02-28"</definedName>
    <definedName name="NvsAutoDrillOk">"VN"</definedName>
    <definedName name="NvsElapsedTime">0.00604305555316387</definedName>
    <definedName name="NvsEndTime">36245.5384840278</definedName>
    <definedName name="NvsInstSpec">"%,FPPL_SUPP_RES_CTR,TPPL_RPTD_SRC,NFOSSIL"</definedName>
    <definedName name="NvsLayoutType">"M3"</definedName>
    <definedName name="NvsNplSpec">"%,X,RNF..,CZF.."</definedName>
    <definedName name="NvsPanelEffdt">"V1900-01-01"</definedName>
    <definedName name="NvsPanelSetid">"VSHARE"</definedName>
    <definedName name="NvsReqBU">"V10000"</definedName>
    <definedName name="NvsReqBUOnly">"VN"</definedName>
    <definedName name="NvsTransLed">"VN"</definedName>
    <definedName name="NvsTreeASD">"V1999-02-28"</definedName>
    <definedName name="NvsValTbl.ACCOUNT">"GL_ACCOUNT_TBL"</definedName>
    <definedName name="NvsValTbl.BUSINESS_UNIT">"BUS_UNIT_TBL_GL"</definedName>
    <definedName name="NvsValTbl.PPL_ACTIVITY">"PPL_ACT_ALL_VW"</definedName>
    <definedName name="NvsValTbl.PPL_CONS_RES_CTR">"PPL_CRC_ALL_VW"</definedName>
    <definedName name="NvsValTbl.PRODUCT">"PROD_ALL_VW"</definedName>
    <definedName name="NvsValTbl.SCENARIO">"BD_SCENARIO_TBL"</definedName>
    <definedName name="NvsValTbl.STATISTICS_CODE">"STAT_TBL"</definedName>
    <definedName name="NvsValTbl.U_GL_RES_GROUP">"U_SUM_LEDGER"</definedName>
    <definedName name="NvsValTbl.U_GL_RESOURCE">"U_GLRESOURCE_VW"</definedName>
    <definedName name="NvsValTbl.U_PROCESS">"U_PROCESS_AL_VW"</definedName>
    <definedName name="PropTaxRate">[1]Assumptions!$B$10</definedName>
    <definedName name="PropTaxRatio">[1]Assumptions!$B$11</definedName>
    <definedName name="RENAME" localSheetId="9" hidden="1">#REF!</definedName>
    <definedName name="RENAME" localSheetId="8" hidden="1">#REF!</definedName>
    <definedName name="RENAME" localSheetId="1" hidden="1">#REF!</definedName>
    <definedName name="RENAME" hidden="1">#REF!</definedName>
    <definedName name="RENAME2" localSheetId="9" hidden="1">#REF!</definedName>
    <definedName name="RENAME2" localSheetId="8" hidden="1">#REF!</definedName>
    <definedName name="RENAME2" localSheetId="1" hidden="1">#REF!</definedName>
    <definedName name="RENAME2" hidden="1">#REF!</definedName>
    <definedName name="RevBaseYear">'[2]March Point2'!$M$9</definedName>
    <definedName name="RevBaseYear2">'[2]March Point2'!$M$10</definedName>
    <definedName name="RevBaseYear3">'[2]March Point2'!$M$11</definedName>
    <definedName name="solver_eval">0</definedName>
    <definedName name="solver_ntri">1000</definedName>
    <definedName name="solver_rsmp">1</definedName>
    <definedName name="solver_seed">0</definedName>
    <definedName name="StartDate">[1]Assumptions!$C$6</definedName>
    <definedName name="TEst" hidden="1">{#N/A,#N/A,FALSE,"Coversheet";#N/A,#N/A,FALSE,"QA"}</definedName>
    <definedName name="UNI_FILT_OFFSPEC">2</definedName>
    <definedName name="UNI_FILT_ONSPEC">1</definedName>
    <definedName name="UNI_NOTHING">0</definedName>
    <definedName name="UNI_PRES_FILTER">1</definedName>
    <definedName name="UNI_PRES_HEADINGS">16</definedName>
    <definedName name="UNI_PRES_INVERT">2</definedName>
    <definedName name="UNI_PRES_MATRIX">4</definedName>
    <definedName name="UNI_PRES_MERGED">8</definedName>
    <definedName name="UNI_PRES_OUTLIERS">32</definedName>
    <definedName name="UNI_RET_ATTRIB">64</definedName>
    <definedName name="UNI_RET_CONF">32</definedName>
    <definedName name="UNI_RET_DESC">4</definedName>
    <definedName name="UNI_RET_EQUIP">1</definedName>
    <definedName name="UNI_RET_OFFSPEC">512</definedName>
    <definedName name="UNI_RET_ONSPEC">256</definedName>
    <definedName name="UNI_RET_PROP">32</definedName>
    <definedName name="UNI_RET_PROPDESC">64</definedName>
    <definedName name="UNI_RET_SMPLPNT">4</definedName>
    <definedName name="UNI_RET_SPECMAX">2048</definedName>
    <definedName name="UNI_RET_SPECMIN">1024</definedName>
    <definedName name="UNI_RET_TAG">1</definedName>
    <definedName name="UNI_RET_TESTTIME">128</definedName>
    <definedName name="UNI_RET_TIME">8</definedName>
    <definedName name="UNI_RET_UNIT">2</definedName>
    <definedName name="UNI_RET_VALUE">16</definedName>
    <definedName name="VOMesc">'[1]Aurora_New Resources'!$C$4</definedName>
    <definedName name="wnp3ex_wkly_vect_input">[3]WNP3_BPA_Exchange!$D$75:$AR$243</definedName>
    <definedName name="wrn.Fundamental." hidden="1">{#N/A,#N/A,TRUE,"CoverPage";#N/A,#N/A,TRUE,"Gas";#N/A,#N/A,TRUE,"Power";#N/A,#N/A,TRUE,"Historical DJ Mthly Prices"}</definedName>
    <definedName name="wrn.Incentive._.Overhead." hidden="1">{#N/A,#N/A,FALSE,"Coversheet";#N/A,#N/A,FALSE,"QA"}</definedName>
    <definedName name="wrn.limit_reports." hidden="1">{#N/A,#N/A,FALSE,"Schedule F";#N/A,#N/A,FALSE,"Schedule G"}</definedName>
    <definedName name="wrn.MARGIN_WO_QTR." hidden="1">{#N/A,#N/A,FALSE,"Month ";#N/A,#N/A,FALSE,"YTD";#N/A,#N/A,FALSE,"12 mo ended"}</definedName>
  </definedNames>
  <calcPr calcId="162913"/>
  <pivotCaches>
    <pivotCache cacheId="0" r:id="rId1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8" i="21" l="1"/>
  <c r="K28" i="16" l="1"/>
  <c r="K7" i="16"/>
  <c r="AE28" i="21" l="1"/>
  <c r="AD28" i="21"/>
  <c r="AC28" i="21"/>
  <c r="S28" i="21"/>
  <c r="R28" i="21"/>
  <c r="Q28" i="21"/>
  <c r="P28" i="21"/>
  <c r="O28" i="21"/>
  <c r="N28" i="21"/>
  <c r="M28" i="21"/>
  <c r="L28" i="21"/>
  <c r="AE27" i="21"/>
  <c r="AD27" i="21"/>
  <c r="AC27" i="21"/>
  <c r="S27" i="21"/>
  <c r="R27" i="21"/>
  <c r="Q27" i="21"/>
  <c r="P27" i="21"/>
  <c r="O27" i="21"/>
  <c r="N27" i="21"/>
  <c r="M27" i="21"/>
  <c r="L27" i="21"/>
  <c r="K27" i="21"/>
  <c r="J27" i="21"/>
  <c r="I27" i="21"/>
  <c r="H27" i="21"/>
  <c r="G27" i="21"/>
  <c r="F27" i="21"/>
  <c r="E27" i="21"/>
  <c r="D27" i="21"/>
  <c r="AE26" i="21"/>
  <c r="AD26" i="21"/>
  <c r="AC26" i="21"/>
  <c r="S26" i="21"/>
  <c r="R26" i="21"/>
  <c r="Q26" i="21"/>
  <c r="P26" i="21"/>
  <c r="O26" i="21"/>
  <c r="N26" i="21"/>
  <c r="M26" i="21"/>
  <c r="L26" i="21"/>
  <c r="K26" i="21"/>
  <c r="J26" i="21"/>
  <c r="I26" i="21"/>
  <c r="H26" i="21"/>
  <c r="G26" i="21"/>
  <c r="F26" i="21"/>
  <c r="E26" i="21"/>
  <c r="D26" i="21"/>
  <c r="AE25" i="21"/>
  <c r="AD25" i="21"/>
  <c r="AC25" i="21"/>
  <c r="S25" i="21"/>
  <c r="R25" i="21"/>
  <c r="Q25" i="21"/>
  <c r="P25" i="21"/>
  <c r="O25" i="21"/>
  <c r="N25" i="21"/>
  <c r="M25" i="21"/>
  <c r="L25" i="21"/>
  <c r="K25" i="21"/>
  <c r="J25" i="21"/>
  <c r="I25" i="21"/>
  <c r="H25" i="21"/>
  <c r="G25" i="21"/>
  <c r="F25" i="21"/>
  <c r="E25" i="21"/>
  <c r="D25" i="21"/>
  <c r="AE24" i="21"/>
  <c r="AD24" i="21"/>
  <c r="AC24" i="21"/>
  <c r="S24" i="21"/>
  <c r="R24" i="21"/>
  <c r="Q24" i="21"/>
  <c r="P24" i="21"/>
  <c r="O24" i="21"/>
  <c r="N24" i="21"/>
  <c r="M24" i="21"/>
  <c r="L24" i="21"/>
  <c r="K24" i="21"/>
  <c r="J24" i="21"/>
  <c r="I24" i="21"/>
  <c r="H24" i="21"/>
  <c r="G24" i="21"/>
  <c r="F24" i="21"/>
  <c r="E24" i="21"/>
  <c r="D24" i="21"/>
  <c r="AE23" i="21"/>
  <c r="AD23" i="21"/>
  <c r="AC23" i="21"/>
  <c r="S23" i="21"/>
  <c r="R23" i="21"/>
  <c r="Q23" i="21"/>
  <c r="P23" i="21"/>
  <c r="O23" i="21"/>
  <c r="N23" i="21"/>
  <c r="M23" i="21"/>
  <c r="L23" i="21"/>
  <c r="K23" i="21"/>
  <c r="J23" i="21"/>
  <c r="I23" i="21"/>
  <c r="H23" i="21"/>
  <c r="G23" i="21"/>
  <c r="F23" i="21"/>
  <c r="E23" i="21"/>
  <c r="D23" i="21"/>
  <c r="AE22" i="21"/>
  <c r="AD22" i="21"/>
  <c r="AC22" i="21"/>
  <c r="S22" i="21"/>
  <c r="R22" i="21"/>
  <c r="Q22" i="21"/>
  <c r="P22" i="21"/>
  <c r="O22" i="21"/>
  <c r="N22" i="21"/>
  <c r="M22" i="21"/>
  <c r="L22" i="21"/>
  <c r="K22" i="21"/>
  <c r="J22" i="21"/>
  <c r="I22" i="21"/>
  <c r="H22" i="21"/>
  <c r="G22" i="21"/>
  <c r="F22" i="21"/>
  <c r="E22" i="21"/>
  <c r="D22" i="21"/>
  <c r="AE21" i="21"/>
  <c r="AD21" i="21"/>
  <c r="AC21" i="21"/>
  <c r="S21" i="21"/>
  <c r="R21" i="21"/>
  <c r="Q21" i="21"/>
  <c r="P21" i="21"/>
  <c r="O21" i="21"/>
  <c r="N21" i="21"/>
  <c r="M21" i="21"/>
  <c r="L21" i="21"/>
  <c r="K21" i="21"/>
  <c r="J21" i="21"/>
  <c r="I21" i="21"/>
  <c r="H21" i="21"/>
  <c r="G21" i="21"/>
  <c r="F21" i="21"/>
  <c r="E21" i="21"/>
  <c r="D21" i="21"/>
  <c r="AE20" i="21"/>
  <c r="AD20" i="21"/>
  <c r="AC20" i="21"/>
  <c r="S20" i="21"/>
  <c r="R20" i="21"/>
  <c r="Q20" i="21"/>
  <c r="P20" i="21"/>
  <c r="O20" i="21"/>
  <c r="N20" i="21"/>
  <c r="M20" i="21"/>
  <c r="L20" i="21"/>
  <c r="K20" i="21"/>
  <c r="J20" i="21"/>
  <c r="I20" i="21"/>
  <c r="H20" i="21"/>
  <c r="G20" i="21"/>
  <c r="F20" i="21"/>
  <c r="E20" i="21"/>
  <c r="D20" i="21"/>
  <c r="AE19" i="21"/>
  <c r="AD19" i="21"/>
  <c r="AC19" i="21"/>
  <c r="S19" i="21"/>
  <c r="R19" i="21"/>
  <c r="Q19" i="21"/>
  <c r="P19" i="21"/>
  <c r="O19" i="21"/>
  <c r="N19" i="21"/>
  <c r="M19" i="21"/>
  <c r="L19" i="21"/>
  <c r="K19" i="21"/>
  <c r="J19" i="21"/>
  <c r="I19" i="21"/>
  <c r="H19" i="21"/>
  <c r="G19" i="21"/>
  <c r="F19" i="21"/>
  <c r="E19" i="21"/>
  <c r="D19" i="21"/>
  <c r="AE18" i="21"/>
  <c r="AD18" i="21"/>
  <c r="AC18" i="21"/>
  <c r="S18" i="21"/>
  <c r="R18" i="21"/>
  <c r="Q18" i="21"/>
  <c r="P18" i="21"/>
  <c r="O18" i="21"/>
  <c r="N18" i="21"/>
  <c r="M18" i="21"/>
  <c r="L18" i="21"/>
  <c r="K18" i="21"/>
  <c r="J18" i="21"/>
  <c r="I18" i="21"/>
  <c r="H18" i="21"/>
  <c r="G18" i="21"/>
  <c r="F18" i="21"/>
  <c r="E18" i="21"/>
  <c r="D18" i="21"/>
  <c r="AE17" i="21"/>
  <c r="AD17" i="21"/>
  <c r="AC17" i="21"/>
  <c r="S17" i="21"/>
  <c r="R17" i="21"/>
  <c r="Q17" i="21"/>
  <c r="P17" i="21"/>
  <c r="O17" i="21"/>
  <c r="N17" i="21"/>
  <c r="M17" i="21"/>
  <c r="L17" i="21"/>
  <c r="K17" i="21"/>
  <c r="J17" i="21"/>
  <c r="I17" i="21"/>
  <c r="H17" i="21"/>
  <c r="G17" i="21"/>
  <c r="F17" i="21"/>
  <c r="E17" i="21"/>
  <c r="D17" i="21"/>
  <c r="AE16" i="21"/>
  <c r="AD16" i="21"/>
  <c r="AC16" i="21"/>
  <c r="S16" i="21"/>
  <c r="R16" i="21"/>
  <c r="Q16" i="21"/>
  <c r="P16" i="21"/>
  <c r="O16" i="21"/>
  <c r="N16" i="21"/>
  <c r="M16" i="21"/>
  <c r="L16" i="21"/>
  <c r="K16" i="21"/>
  <c r="J16" i="21"/>
  <c r="I16" i="21"/>
  <c r="H16" i="21"/>
  <c r="G16" i="21"/>
  <c r="F16" i="21"/>
  <c r="E16" i="21"/>
  <c r="D16" i="21"/>
  <c r="AE15" i="21"/>
  <c r="AD15" i="21"/>
  <c r="AC15" i="21"/>
  <c r="S15" i="21"/>
  <c r="R15" i="21"/>
  <c r="Q15" i="21"/>
  <c r="P15" i="21"/>
  <c r="O15" i="21"/>
  <c r="N15" i="21"/>
  <c r="M15" i="21"/>
  <c r="L15" i="21"/>
  <c r="K15" i="21"/>
  <c r="J15" i="21"/>
  <c r="I15" i="21"/>
  <c r="H15" i="21"/>
  <c r="G15" i="21"/>
  <c r="F15" i="21"/>
  <c r="E15" i="21"/>
  <c r="D15" i="21"/>
  <c r="AE14" i="21"/>
  <c r="AD14" i="21"/>
  <c r="AC14" i="21"/>
  <c r="S14" i="21"/>
  <c r="R14" i="21"/>
  <c r="Q14" i="21"/>
  <c r="P14" i="21"/>
  <c r="O14" i="21"/>
  <c r="N14" i="21"/>
  <c r="M14" i="21"/>
  <c r="L14" i="21"/>
  <c r="K14" i="21"/>
  <c r="J14" i="21"/>
  <c r="I14" i="21"/>
  <c r="H14" i="21"/>
  <c r="G14" i="21"/>
  <c r="F14" i="21"/>
  <c r="E14" i="21"/>
  <c r="D14" i="21"/>
  <c r="AE13" i="21"/>
  <c r="AD13" i="21"/>
  <c r="AC13" i="21"/>
  <c r="S13" i="21"/>
  <c r="R13" i="21"/>
  <c r="Q13" i="21"/>
  <c r="P13" i="21"/>
  <c r="O13" i="21"/>
  <c r="N13" i="21"/>
  <c r="M13" i="21"/>
  <c r="L13" i="21"/>
  <c r="K13" i="21"/>
  <c r="J13" i="21"/>
  <c r="I13" i="21"/>
  <c r="H13" i="21"/>
  <c r="G13" i="21"/>
  <c r="F13" i="21"/>
  <c r="E13" i="21"/>
  <c r="D13" i="21"/>
  <c r="AE12" i="21"/>
  <c r="AD12" i="21"/>
  <c r="AC12" i="21"/>
  <c r="S12" i="21"/>
  <c r="R12" i="21"/>
  <c r="Q12" i="21"/>
  <c r="P12" i="21"/>
  <c r="O12" i="21"/>
  <c r="N12" i="21"/>
  <c r="M12" i="21"/>
  <c r="L12" i="21"/>
  <c r="K12" i="21"/>
  <c r="J12" i="21"/>
  <c r="I12" i="21"/>
  <c r="H12" i="21"/>
  <c r="G12" i="21"/>
  <c r="F12" i="21"/>
  <c r="E12" i="21"/>
  <c r="D12" i="21"/>
  <c r="AE11" i="21"/>
  <c r="AD11" i="21"/>
  <c r="AC11" i="21"/>
  <c r="S11" i="21"/>
  <c r="R11" i="21"/>
  <c r="Q11" i="21"/>
  <c r="P11" i="21"/>
  <c r="O11" i="21"/>
  <c r="N11" i="21"/>
  <c r="M11" i="21"/>
  <c r="L11" i="21"/>
  <c r="K11" i="21"/>
  <c r="J11" i="21"/>
  <c r="I11" i="21"/>
  <c r="H11" i="21"/>
  <c r="G11" i="21"/>
  <c r="F11" i="21"/>
  <c r="E11" i="21"/>
  <c r="D11" i="21"/>
  <c r="AE10" i="21"/>
  <c r="AD10" i="21"/>
  <c r="AC10" i="21"/>
  <c r="S10" i="21"/>
  <c r="R10" i="21"/>
  <c r="Q10" i="21"/>
  <c r="P10" i="21"/>
  <c r="O10" i="21"/>
  <c r="N10" i="21"/>
  <c r="M10" i="21"/>
  <c r="L10" i="21"/>
  <c r="K10" i="21"/>
  <c r="J10" i="21"/>
  <c r="I10" i="21"/>
  <c r="H10" i="21"/>
  <c r="G10" i="21"/>
  <c r="F10" i="21"/>
  <c r="E10" i="21"/>
  <c r="D10" i="21"/>
  <c r="AE9" i="21"/>
  <c r="AD9" i="21"/>
  <c r="AC9" i="21"/>
  <c r="S9" i="21"/>
  <c r="R9" i="21"/>
  <c r="Q9" i="21"/>
  <c r="P9" i="21"/>
  <c r="O9" i="21"/>
  <c r="N9" i="21"/>
  <c r="M9" i="21"/>
  <c r="L9" i="21"/>
  <c r="K9" i="21"/>
  <c r="J9" i="21"/>
  <c r="I9" i="21"/>
  <c r="H9" i="21"/>
  <c r="G9" i="21"/>
  <c r="F9" i="21"/>
  <c r="E9" i="21"/>
  <c r="D9" i="21"/>
  <c r="AE8" i="21"/>
  <c r="AD8" i="21"/>
  <c r="AC8" i="21"/>
  <c r="S8" i="21"/>
  <c r="R8" i="21"/>
  <c r="Q8" i="21"/>
  <c r="P8" i="21"/>
  <c r="O8" i="21"/>
  <c r="N8" i="21"/>
  <c r="M8" i="21"/>
  <c r="L8" i="21"/>
  <c r="K8" i="21"/>
  <c r="J8" i="21"/>
  <c r="I8" i="21"/>
  <c r="H8" i="21"/>
  <c r="G8" i="21"/>
  <c r="F8" i="21"/>
  <c r="E8" i="21"/>
  <c r="D8" i="21"/>
  <c r="AE7" i="21"/>
  <c r="AD7" i="21"/>
  <c r="AC7" i="21"/>
  <c r="S7" i="21"/>
  <c r="R7" i="21"/>
  <c r="Q7" i="21"/>
  <c r="P7" i="21"/>
  <c r="O7" i="21"/>
  <c r="N7" i="21"/>
  <c r="M7" i="21"/>
  <c r="L7" i="21"/>
  <c r="K7" i="21"/>
  <c r="J7" i="21"/>
  <c r="I7" i="21"/>
  <c r="H7" i="21"/>
  <c r="G7" i="21"/>
  <c r="F7" i="21"/>
  <c r="E7" i="21"/>
  <c r="D7" i="21"/>
  <c r="J31" i="16"/>
  <c r="J32" i="16"/>
  <c r="D31" i="16"/>
  <c r="E31" i="16"/>
  <c r="F31" i="16"/>
  <c r="G31" i="16"/>
  <c r="H31" i="16"/>
  <c r="I31" i="16"/>
  <c r="K31" i="16"/>
  <c r="L31" i="16"/>
  <c r="M31" i="16"/>
  <c r="N31" i="16"/>
  <c r="O31" i="16"/>
  <c r="P31" i="16"/>
  <c r="Q31" i="16"/>
  <c r="R31" i="16"/>
  <c r="S31" i="16"/>
  <c r="AC31" i="16"/>
  <c r="AD31" i="16"/>
  <c r="AE31" i="16"/>
  <c r="D32" i="16"/>
  <c r="E32" i="16"/>
  <c r="F32" i="16"/>
  <c r="G32" i="16"/>
  <c r="H32" i="16"/>
  <c r="I32" i="16"/>
  <c r="K32" i="16"/>
  <c r="L32" i="16"/>
  <c r="M32" i="16"/>
  <c r="N32" i="16"/>
  <c r="O32" i="16"/>
  <c r="P32" i="16"/>
  <c r="Q32" i="16"/>
  <c r="R32" i="16"/>
  <c r="S32" i="16"/>
  <c r="AC32" i="16"/>
  <c r="AD32" i="16"/>
  <c r="AE32" i="16"/>
  <c r="L7" i="16"/>
  <c r="M7" i="16"/>
  <c r="N7" i="16"/>
  <c r="O7" i="16"/>
  <c r="P7" i="16"/>
  <c r="Q7" i="16"/>
  <c r="R7" i="16"/>
  <c r="S7" i="16"/>
  <c r="L8" i="16"/>
  <c r="M8" i="16"/>
  <c r="N8" i="16"/>
  <c r="O8" i="16"/>
  <c r="P8" i="16"/>
  <c r="Q8" i="16"/>
  <c r="R8" i="16"/>
  <c r="S8" i="16"/>
  <c r="L9" i="16"/>
  <c r="M9" i="16"/>
  <c r="N9" i="16"/>
  <c r="O9" i="16"/>
  <c r="P9" i="16"/>
  <c r="Q9" i="16"/>
  <c r="R9" i="16"/>
  <c r="S9" i="16"/>
  <c r="L10" i="16"/>
  <c r="M10" i="16"/>
  <c r="N10" i="16"/>
  <c r="O10" i="16"/>
  <c r="P10" i="16"/>
  <c r="Q10" i="16"/>
  <c r="R10" i="16"/>
  <c r="S10" i="16"/>
  <c r="L11" i="16"/>
  <c r="M11" i="16"/>
  <c r="N11" i="16"/>
  <c r="O11" i="16"/>
  <c r="P11" i="16"/>
  <c r="Q11" i="16"/>
  <c r="R11" i="16"/>
  <c r="S11" i="16"/>
  <c r="L12" i="16"/>
  <c r="M12" i="16"/>
  <c r="N12" i="16"/>
  <c r="O12" i="16"/>
  <c r="P12" i="16"/>
  <c r="Q12" i="16"/>
  <c r="R12" i="16"/>
  <c r="S12" i="16"/>
  <c r="L13" i="16"/>
  <c r="M13" i="16"/>
  <c r="N13" i="16"/>
  <c r="O13" i="16"/>
  <c r="P13" i="16"/>
  <c r="Q13" i="16"/>
  <c r="R13" i="16"/>
  <c r="S13" i="16"/>
  <c r="L14" i="16"/>
  <c r="M14" i="16"/>
  <c r="N14" i="16"/>
  <c r="O14" i="16"/>
  <c r="P14" i="16"/>
  <c r="Q14" i="16"/>
  <c r="R14" i="16"/>
  <c r="S14" i="16"/>
  <c r="L15" i="16"/>
  <c r="M15" i="16"/>
  <c r="N15" i="16"/>
  <c r="O15" i="16"/>
  <c r="P15" i="16"/>
  <c r="Q15" i="16"/>
  <c r="R15" i="16"/>
  <c r="S15" i="16"/>
  <c r="L16" i="16"/>
  <c r="M16" i="16"/>
  <c r="N16" i="16"/>
  <c r="O16" i="16"/>
  <c r="P16" i="16"/>
  <c r="Q16" i="16"/>
  <c r="R16" i="16"/>
  <c r="S16" i="16"/>
  <c r="L17" i="16"/>
  <c r="M17" i="16"/>
  <c r="N17" i="16"/>
  <c r="O17" i="16"/>
  <c r="P17" i="16"/>
  <c r="Q17" i="16"/>
  <c r="R17" i="16"/>
  <c r="S17" i="16"/>
  <c r="L18" i="16"/>
  <c r="M18" i="16"/>
  <c r="N18" i="16"/>
  <c r="O18" i="16"/>
  <c r="P18" i="16"/>
  <c r="Q18" i="16"/>
  <c r="R18" i="16"/>
  <c r="S18" i="16"/>
  <c r="L19" i="16"/>
  <c r="M19" i="16"/>
  <c r="N19" i="16"/>
  <c r="O19" i="16"/>
  <c r="P19" i="16"/>
  <c r="Q19" i="16"/>
  <c r="R19" i="16"/>
  <c r="S19" i="16"/>
  <c r="L20" i="16"/>
  <c r="M20" i="16"/>
  <c r="N20" i="16"/>
  <c r="O20" i="16"/>
  <c r="P20" i="16"/>
  <c r="Q20" i="16"/>
  <c r="R20" i="16"/>
  <c r="S20" i="16"/>
  <c r="L21" i="16"/>
  <c r="M21" i="16"/>
  <c r="N21" i="16"/>
  <c r="O21" i="16"/>
  <c r="P21" i="16"/>
  <c r="Q21" i="16"/>
  <c r="R21" i="16"/>
  <c r="S21" i="16"/>
  <c r="L22" i="16"/>
  <c r="M22" i="16"/>
  <c r="N22" i="16"/>
  <c r="O22" i="16"/>
  <c r="P22" i="16"/>
  <c r="Q22" i="16"/>
  <c r="R22" i="16"/>
  <c r="S22" i="16"/>
  <c r="L23" i="16"/>
  <c r="M23" i="16"/>
  <c r="N23" i="16"/>
  <c r="O23" i="16"/>
  <c r="P23" i="16"/>
  <c r="Q23" i="16"/>
  <c r="R23" i="16"/>
  <c r="S23" i="16"/>
  <c r="L24" i="16"/>
  <c r="M24" i="16"/>
  <c r="N24" i="16"/>
  <c r="O24" i="16"/>
  <c r="P24" i="16"/>
  <c r="Q24" i="16"/>
  <c r="R24" i="16"/>
  <c r="S24" i="16"/>
  <c r="L25" i="16"/>
  <c r="M25" i="16"/>
  <c r="N25" i="16"/>
  <c r="O25" i="16"/>
  <c r="P25" i="16"/>
  <c r="Q25" i="16"/>
  <c r="R25" i="16"/>
  <c r="S25" i="16"/>
  <c r="L26" i="16"/>
  <c r="M26" i="16"/>
  <c r="N26" i="16"/>
  <c r="O26" i="16"/>
  <c r="P26" i="16"/>
  <c r="Q26" i="16"/>
  <c r="R26" i="16"/>
  <c r="S26" i="16"/>
  <c r="L27" i="16"/>
  <c r="M27" i="16"/>
  <c r="N27" i="16"/>
  <c r="O27" i="16"/>
  <c r="P27" i="16"/>
  <c r="Q27" i="16"/>
  <c r="R27" i="16"/>
  <c r="S27" i="16"/>
  <c r="L28" i="16"/>
  <c r="M28" i="16"/>
  <c r="N28" i="16"/>
  <c r="O28" i="16"/>
  <c r="P28" i="16"/>
  <c r="Q28" i="16"/>
  <c r="R28" i="16"/>
  <c r="S28" i="16"/>
  <c r="L29" i="16"/>
  <c r="M29" i="16"/>
  <c r="N29" i="16"/>
  <c r="O29" i="16"/>
  <c r="P29" i="16"/>
  <c r="Q29" i="16"/>
  <c r="R29" i="16"/>
  <c r="S29" i="16"/>
  <c r="L30" i="16"/>
  <c r="M30" i="16"/>
  <c r="N30" i="16"/>
  <c r="O30" i="16"/>
  <c r="P30" i="16"/>
  <c r="Q30" i="16"/>
  <c r="R30" i="16"/>
  <c r="S30" i="16"/>
  <c r="K8" i="16"/>
  <c r="K9" i="16"/>
  <c r="K10" i="16"/>
  <c r="K11" i="16"/>
  <c r="K12" i="16"/>
  <c r="K13" i="16"/>
  <c r="K14" i="16"/>
  <c r="K15" i="16"/>
  <c r="K16" i="16"/>
  <c r="K17" i="16"/>
  <c r="K18" i="16"/>
  <c r="K19" i="16"/>
  <c r="K20" i="16"/>
  <c r="K21" i="16"/>
  <c r="K22" i="16"/>
  <c r="K23" i="16"/>
  <c r="K24" i="16"/>
  <c r="K25" i="16"/>
  <c r="K26" i="16"/>
  <c r="K27" i="16"/>
  <c r="K29" i="16"/>
  <c r="K30" i="16"/>
  <c r="J17" i="9"/>
  <c r="AD30" i="16"/>
  <c r="AD29" i="16"/>
  <c r="AD28" i="16"/>
  <c r="AD27" i="16"/>
  <c r="AD26" i="16"/>
  <c r="AD25" i="16"/>
  <c r="AD24" i="16"/>
  <c r="AD23" i="16"/>
  <c r="AD22" i="16"/>
  <c r="AD21" i="16"/>
  <c r="AD20" i="16"/>
  <c r="AD19" i="16"/>
  <c r="AD18" i="16"/>
  <c r="AD17" i="16"/>
  <c r="AD16" i="16"/>
  <c r="AD15" i="16"/>
  <c r="AD14" i="16"/>
  <c r="AD13" i="16"/>
  <c r="AD12" i="16"/>
  <c r="AD11" i="16"/>
  <c r="AD10" i="16"/>
  <c r="AD9" i="16"/>
  <c r="AD8" i="16"/>
  <c r="AD7" i="16"/>
  <c r="AC30" i="16"/>
  <c r="AC29" i="16"/>
  <c r="AC28" i="16"/>
  <c r="AC27" i="16"/>
  <c r="AC26" i="16"/>
  <c r="AC25" i="16"/>
  <c r="AC24" i="16"/>
  <c r="AC23" i="16"/>
  <c r="AC22" i="16"/>
  <c r="AC21" i="16"/>
  <c r="AC20" i="16"/>
  <c r="AC19" i="16"/>
  <c r="AC18" i="16"/>
  <c r="AC17" i="16"/>
  <c r="AC16" i="16"/>
  <c r="AC15" i="16"/>
  <c r="AC14" i="16"/>
  <c r="AC13" i="16"/>
  <c r="AC12" i="16"/>
  <c r="AC11" i="16"/>
  <c r="AC10" i="16"/>
  <c r="AC9" i="16"/>
  <c r="AC8" i="16"/>
  <c r="AC7" i="16"/>
  <c r="AE25" i="16"/>
  <c r="M28" i="12"/>
  <c r="L28" i="12"/>
  <c r="K28" i="12"/>
  <c r="J28" i="12"/>
  <c r="I28" i="12"/>
  <c r="H28" i="12"/>
  <c r="I27" i="12"/>
  <c r="J27" i="12"/>
  <c r="K27" i="12"/>
  <c r="L27" i="12"/>
  <c r="M27" i="12"/>
  <c r="H27" i="12"/>
  <c r="D9" i="12"/>
  <c r="D10" i="12"/>
  <c r="D11" i="12"/>
  <c r="D12" i="12"/>
  <c r="D13" i="12"/>
  <c r="D14" i="12"/>
  <c r="D15" i="12"/>
  <c r="D16" i="12"/>
  <c r="D17" i="12"/>
  <c r="D18" i="12"/>
  <c r="D19" i="12"/>
  <c r="D20" i="12"/>
  <c r="D21" i="12"/>
  <c r="D22" i="12"/>
  <c r="D23" i="12"/>
  <c r="D24" i="12"/>
  <c r="D25" i="12"/>
  <c r="D27" i="12"/>
  <c r="D28" i="12"/>
  <c r="D29" i="12"/>
  <c r="D30" i="12"/>
  <c r="D31" i="12"/>
  <c r="D32" i="12"/>
  <c r="D33" i="12"/>
  <c r="D8" i="12"/>
  <c r="C9" i="12"/>
  <c r="C10" i="12"/>
  <c r="C11" i="12"/>
  <c r="C12" i="12"/>
  <c r="C13" i="12"/>
  <c r="C14" i="12"/>
  <c r="C15" i="12"/>
  <c r="C16" i="12"/>
  <c r="C17" i="12"/>
  <c r="C18" i="12"/>
  <c r="C19" i="12"/>
  <c r="C20" i="12"/>
  <c r="C21" i="12"/>
  <c r="C22" i="12"/>
  <c r="C23" i="12"/>
  <c r="C24" i="12"/>
  <c r="C25" i="12"/>
  <c r="C27" i="12"/>
  <c r="C28" i="12"/>
  <c r="C29" i="12"/>
  <c r="C30" i="12"/>
  <c r="C31" i="12"/>
  <c r="C32" i="12"/>
  <c r="C33" i="12"/>
  <c r="C8" i="12"/>
  <c r="X8" i="21" s="1"/>
  <c r="AE26" i="16"/>
  <c r="J26" i="16"/>
  <c r="I26" i="16"/>
  <c r="H26" i="16"/>
  <c r="G26" i="16"/>
  <c r="F26" i="16"/>
  <c r="E26" i="16"/>
  <c r="D26" i="16"/>
  <c r="D7" i="16"/>
  <c r="T7" i="21" l="1"/>
  <c r="Z8" i="16"/>
  <c r="AB8" i="16"/>
  <c r="Z9" i="16"/>
  <c r="AB7" i="21"/>
  <c r="T9" i="21"/>
  <c r="AB9" i="21"/>
  <c r="AB9" i="16"/>
  <c r="Z30" i="16"/>
  <c r="T8" i="16"/>
  <c r="Z7" i="16"/>
  <c r="W28" i="21"/>
  <c r="AB7" i="16"/>
  <c r="AB10" i="16"/>
  <c r="AB14" i="16"/>
  <c r="AB18" i="16"/>
  <c r="AB22" i="16"/>
  <c r="AB25" i="16"/>
  <c r="AB29" i="16"/>
  <c r="W32" i="16"/>
  <c r="AB11" i="21"/>
  <c r="X14" i="21"/>
  <c r="X18" i="21"/>
  <c r="AB19" i="21"/>
  <c r="X22" i="21"/>
  <c r="T23" i="21"/>
  <c r="X24" i="21"/>
  <c r="T25" i="21"/>
  <c r="AB25" i="21"/>
  <c r="X26" i="21"/>
  <c r="AB27" i="21"/>
  <c r="X28" i="21"/>
  <c r="T7" i="16"/>
  <c r="T23" i="16"/>
  <c r="T15" i="16"/>
  <c r="U7" i="16"/>
  <c r="U8" i="16"/>
  <c r="U9" i="16"/>
  <c r="U10" i="16"/>
  <c r="U11" i="16"/>
  <c r="U12" i="16"/>
  <c r="U13" i="16"/>
  <c r="U14" i="16"/>
  <c r="U15" i="16"/>
  <c r="U16" i="16"/>
  <c r="U17" i="16"/>
  <c r="U18" i="16"/>
  <c r="U19" i="16"/>
  <c r="U20" i="16"/>
  <c r="U21" i="16"/>
  <c r="U22" i="16"/>
  <c r="U23" i="16"/>
  <c r="U24" i="16"/>
  <c r="U25" i="16"/>
  <c r="U26" i="16"/>
  <c r="U27" i="16"/>
  <c r="U28" i="16"/>
  <c r="U29" i="16"/>
  <c r="U30" i="16"/>
  <c r="V32" i="16"/>
  <c r="Y31" i="16"/>
  <c r="U7" i="21"/>
  <c r="Y8" i="21"/>
  <c r="U9" i="21"/>
  <c r="Y10" i="21"/>
  <c r="U11" i="21"/>
  <c r="Y12" i="21"/>
  <c r="U13" i="21"/>
  <c r="Y14" i="21"/>
  <c r="U15" i="21"/>
  <c r="Y16" i="21"/>
  <c r="U17" i="21"/>
  <c r="Y18" i="21"/>
  <c r="U19" i="21"/>
  <c r="Y20" i="21"/>
  <c r="U21" i="21"/>
  <c r="Y22" i="21"/>
  <c r="U23" i="21"/>
  <c r="Y24" i="21"/>
  <c r="U25" i="21"/>
  <c r="Y26" i="21"/>
  <c r="U27" i="21"/>
  <c r="Y28" i="21"/>
  <c r="T24" i="16"/>
  <c r="AB11" i="16"/>
  <c r="AB15" i="16"/>
  <c r="AB19" i="16"/>
  <c r="AB23" i="16"/>
  <c r="AB26" i="16"/>
  <c r="AB30" i="16"/>
  <c r="T11" i="21"/>
  <c r="AB15" i="21"/>
  <c r="AB17" i="21"/>
  <c r="X20" i="21"/>
  <c r="AB21" i="21"/>
  <c r="AB23" i="21"/>
  <c r="T30" i="16"/>
  <c r="T22" i="16"/>
  <c r="T14" i="16"/>
  <c r="V7" i="16"/>
  <c r="V8" i="16"/>
  <c r="V9" i="16"/>
  <c r="V10" i="16"/>
  <c r="V11" i="16"/>
  <c r="V12" i="16"/>
  <c r="V13" i="16"/>
  <c r="V14" i="16"/>
  <c r="V15" i="16"/>
  <c r="V16" i="16"/>
  <c r="V17" i="16"/>
  <c r="V18" i="16"/>
  <c r="V19" i="16"/>
  <c r="V20" i="16"/>
  <c r="V21" i="16"/>
  <c r="V22" i="16"/>
  <c r="V23" i="16"/>
  <c r="V24" i="16"/>
  <c r="V25" i="16"/>
  <c r="V26" i="16"/>
  <c r="V27" i="16"/>
  <c r="V28" i="16"/>
  <c r="V29" i="16"/>
  <c r="V30" i="16"/>
  <c r="U32" i="16"/>
  <c r="X31" i="16"/>
  <c r="V7" i="21"/>
  <c r="Z8" i="21"/>
  <c r="V9" i="21"/>
  <c r="Z10" i="21"/>
  <c r="V11" i="21"/>
  <c r="Z12" i="21"/>
  <c r="V13" i="21"/>
  <c r="Z14" i="21"/>
  <c r="V15" i="21"/>
  <c r="Z16" i="21"/>
  <c r="V17" i="21"/>
  <c r="Z18" i="21"/>
  <c r="V19" i="21"/>
  <c r="Z20" i="21"/>
  <c r="V21" i="21"/>
  <c r="Z22" i="21"/>
  <c r="V23" i="21"/>
  <c r="Z24" i="21"/>
  <c r="V25" i="21"/>
  <c r="Z26" i="21"/>
  <c r="V27" i="21"/>
  <c r="Z28" i="21"/>
  <c r="AB12" i="16"/>
  <c r="AB16" i="16"/>
  <c r="AB27" i="16"/>
  <c r="X12" i="21"/>
  <c r="T15" i="21"/>
  <c r="T29" i="16"/>
  <c r="T21" i="16"/>
  <c r="T13" i="16"/>
  <c r="W7" i="16"/>
  <c r="W8" i="16"/>
  <c r="W9" i="16"/>
  <c r="W10" i="16"/>
  <c r="W11" i="16"/>
  <c r="W12" i="16"/>
  <c r="W13" i="16"/>
  <c r="W14" i="16"/>
  <c r="W15" i="16"/>
  <c r="W16" i="16"/>
  <c r="W17" i="16"/>
  <c r="W18" i="16"/>
  <c r="W19" i="16"/>
  <c r="W20" i="16"/>
  <c r="W21" i="16"/>
  <c r="W22" i="16"/>
  <c r="W23" i="16"/>
  <c r="W24" i="16"/>
  <c r="W25" i="16"/>
  <c r="W26" i="16"/>
  <c r="W27" i="16"/>
  <c r="W28" i="16"/>
  <c r="W29" i="16"/>
  <c r="W30" i="16"/>
  <c r="AB32" i="16"/>
  <c r="T32" i="16"/>
  <c r="W31" i="16"/>
  <c r="W7" i="21"/>
  <c r="AA8" i="21"/>
  <c r="W9" i="21"/>
  <c r="AA10" i="21"/>
  <c r="W11" i="21"/>
  <c r="AA12" i="21"/>
  <c r="W13" i="21"/>
  <c r="AA14" i="21"/>
  <c r="W15" i="21"/>
  <c r="AA16" i="21"/>
  <c r="W17" i="21"/>
  <c r="AA18" i="21"/>
  <c r="W19" i="21"/>
  <c r="AA20" i="21"/>
  <c r="W21" i="21"/>
  <c r="AA22" i="21"/>
  <c r="W23" i="21"/>
  <c r="AA24" i="21"/>
  <c r="W25" i="21"/>
  <c r="AA26" i="21"/>
  <c r="W27" i="21"/>
  <c r="AA28" i="21"/>
  <c r="AB20" i="16"/>
  <c r="T13" i="21"/>
  <c r="X16" i="21"/>
  <c r="T19" i="21"/>
  <c r="T27" i="21"/>
  <c r="T28" i="16"/>
  <c r="T12" i="16"/>
  <c r="X7" i="16"/>
  <c r="X9" i="16"/>
  <c r="X10" i="16"/>
  <c r="X11" i="16"/>
  <c r="X12" i="16"/>
  <c r="X13" i="16"/>
  <c r="X14" i="16"/>
  <c r="X15" i="16"/>
  <c r="X16" i="16"/>
  <c r="X17" i="16"/>
  <c r="X18" i="16"/>
  <c r="X19" i="16"/>
  <c r="X20" i="16"/>
  <c r="X21" i="16"/>
  <c r="X22" i="16"/>
  <c r="X23" i="16"/>
  <c r="X24" i="16"/>
  <c r="X25" i="16"/>
  <c r="X26" i="16"/>
  <c r="X27" i="16"/>
  <c r="X28" i="16"/>
  <c r="X29" i="16"/>
  <c r="X30" i="16"/>
  <c r="AA32" i="16"/>
  <c r="V31" i="16"/>
  <c r="X7" i="21"/>
  <c r="T8" i="21"/>
  <c r="AB8" i="21"/>
  <c r="X9" i="21"/>
  <c r="T10" i="21"/>
  <c r="AB10" i="21"/>
  <c r="X11" i="21"/>
  <c r="T12" i="21"/>
  <c r="AB12" i="21"/>
  <c r="X13" i="21"/>
  <c r="T14" i="21"/>
  <c r="AB14" i="21"/>
  <c r="X15" i="21"/>
  <c r="T16" i="21"/>
  <c r="AB16" i="21"/>
  <c r="X17" i="21"/>
  <c r="T18" i="21"/>
  <c r="AB18" i="21"/>
  <c r="X19" i="21"/>
  <c r="T20" i="21"/>
  <c r="AB20" i="21"/>
  <c r="X21" i="21"/>
  <c r="T22" i="21"/>
  <c r="AB22" i="21"/>
  <c r="X23" i="21"/>
  <c r="T24" i="21"/>
  <c r="AB24" i="21"/>
  <c r="X25" i="21"/>
  <c r="T26" i="21"/>
  <c r="AB26" i="21"/>
  <c r="X27" i="21"/>
  <c r="T28" i="21"/>
  <c r="AB28" i="21"/>
  <c r="AB13" i="16"/>
  <c r="AB17" i="16"/>
  <c r="AB21" i="16"/>
  <c r="AB24" i="16"/>
  <c r="AB28" i="16"/>
  <c r="Z31" i="16"/>
  <c r="X10" i="21"/>
  <c r="AB13" i="21"/>
  <c r="T17" i="21"/>
  <c r="T21" i="21"/>
  <c r="T20" i="16"/>
  <c r="X8" i="16"/>
  <c r="T27" i="16"/>
  <c r="T19" i="16"/>
  <c r="T11" i="16"/>
  <c r="Y7" i="16"/>
  <c r="Y8" i="16"/>
  <c r="Y9" i="16"/>
  <c r="Y10" i="16"/>
  <c r="Y11" i="16"/>
  <c r="Y12" i="16"/>
  <c r="Y13" i="16"/>
  <c r="Y14" i="16"/>
  <c r="Y15" i="16"/>
  <c r="Y16" i="16"/>
  <c r="Y17" i="16"/>
  <c r="Y18" i="16"/>
  <c r="Y19" i="16"/>
  <c r="Y20" i="16"/>
  <c r="Y21" i="16"/>
  <c r="Y22" i="16"/>
  <c r="Y23" i="16"/>
  <c r="Y24" i="16"/>
  <c r="Y25" i="16"/>
  <c r="Y26" i="16"/>
  <c r="Y27" i="16"/>
  <c r="Y28" i="16"/>
  <c r="Y29" i="16"/>
  <c r="Y30" i="16"/>
  <c r="Z32" i="16"/>
  <c r="U31" i="16"/>
  <c r="Y7" i="21"/>
  <c r="U8" i="21"/>
  <c r="Y9" i="21"/>
  <c r="U10" i="21"/>
  <c r="Y11" i="21"/>
  <c r="U12" i="21"/>
  <c r="Y13" i="21"/>
  <c r="U14" i="21"/>
  <c r="Y15" i="21"/>
  <c r="U16" i="21"/>
  <c r="Y17" i="21"/>
  <c r="U18" i="21"/>
  <c r="Y19" i="21"/>
  <c r="U20" i="21"/>
  <c r="Y21" i="21"/>
  <c r="U22" i="21"/>
  <c r="Y23" i="21"/>
  <c r="U24" i="21"/>
  <c r="Y25" i="21"/>
  <c r="U26" i="21"/>
  <c r="Y27" i="21"/>
  <c r="U28" i="21"/>
  <c r="T16" i="16"/>
  <c r="T18" i="16"/>
  <c r="T10" i="16"/>
  <c r="Z10" i="16"/>
  <c r="Z13" i="16"/>
  <c r="Z19" i="16"/>
  <c r="V14" i="21"/>
  <c r="Z15" i="21"/>
  <c r="V16" i="21"/>
  <c r="Z17" i="21"/>
  <c r="V18" i="21"/>
  <c r="Z19" i="21"/>
  <c r="V20" i="21"/>
  <c r="Z21" i="21"/>
  <c r="V22" i="21"/>
  <c r="Z23" i="21"/>
  <c r="V24" i="21"/>
  <c r="Z25" i="21"/>
  <c r="V26" i="21"/>
  <c r="Z27" i="21"/>
  <c r="V28" i="21"/>
  <c r="T26" i="16"/>
  <c r="Z11" i="16"/>
  <c r="Z12" i="16"/>
  <c r="Z14" i="16"/>
  <c r="Z15" i="16"/>
  <c r="Z16" i="16"/>
  <c r="Z17" i="16"/>
  <c r="Z18" i="16"/>
  <c r="Z20" i="16"/>
  <c r="Z21" i="16"/>
  <c r="Z22" i="16"/>
  <c r="Z23" i="16"/>
  <c r="Z24" i="16"/>
  <c r="Z25" i="16"/>
  <c r="Z26" i="16"/>
  <c r="Z27" i="16"/>
  <c r="Z28" i="16"/>
  <c r="Z29" i="16"/>
  <c r="Y32" i="16"/>
  <c r="AB31" i="16"/>
  <c r="T31" i="16"/>
  <c r="Z7" i="21"/>
  <c r="V8" i="21"/>
  <c r="Z9" i="21"/>
  <c r="V10" i="21"/>
  <c r="Z11" i="21"/>
  <c r="V12" i="21"/>
  <c r="Z13" i="21"/>
  <c r="T25" i="16"/>
  <c r="T17" i="16"/>
  <c r="T9" i="16"/>
  <c r="AA7" i="16"/>
  <c r="AA8" i="16"/>
  <c r="AA9" i="16"/>
  <c r="AA10" i="16"/>
  <c r="AA11" i="16"/>
  <c r="AA12" i="16"/>
  <c r="AA13" i="16"/>
  <c r="AA14" i="16"/>
  <c r="AA15" i="16"/>
  <c r="AA16" i="16"/>
  <c r="AA17" i="16"/>
  <c r="AA18" i="16"/>
  <c r="AA19" i="16"/>
  <c r="AA20" i="16"/>
  <c r="AA21" i="16"/>
  <c r="AA22" i="16"/>
  <c r="AA23" i="16"/>
  <c r="AA24" i="16"/>
  <c r="AA25" i="16"/>
  <c r="AA26" i="16"/>
  <c r="AA27" i="16"/>
  <c r="AA28" i="16"/>
  <c r="AA29" i="16"/>
  <c r="AA30" i="16"/>
  <c r="X32" i="16"/>
  <c r="AA31" i="16"/>
  <c r="AA7" i="21"/>
  <c r="W8" i="21"/>
  <c r="AA9" i="21"/>
  <c r="W10" i="21"/>
  <c r="AA11" i="21"/>
  <c r="W12" i="21"/>
  <c r="AA13" i="21"/>
  <c r="W14" i="21"/>
  <c r="AA15" i="21"/>
  <c r="W16" i="21"/>
  <c r="AA17" i="21"/>
  <c r="W18" i="21"/>
  <c r="AA19" i="21"/>
  <c r="W20" i="21"/>
  <c r="AA21" i="21"/>
  <c r="W22" i="21"/>
  <c r="AA23" i="21"/>
  <c r="W24" i="21"/>
  <c r="AA25" i="21"/>
  <c r="W26" i="21"/>
  <c r="AA27" i="21"/>
  <c r="J30" i="1"/>
  <c r="J21" i="10"/>
  <c r="N18" i="3"/>
  <c r="AE8" i="16"/>
  <c r="AE9" i="16"/>
  <c r="AE10" i="16"/>
  <c r="AE11" i="16"/>
  <c r="AE12" i="16"/>
  <c r="AE13" i="16"/>
  <c r="AE14" i="16"/>
  <c r="AE15" i="16"/>
  <c r="AE16" i="16"/>
  <c r="AE17" i="16"/>
  <c r="AE18" i="16"/>
  <c r="AE19" i="16"/>
  <c r="AE20" i="16"/>
  <c r="AE21" i="16"/>
  <c r="AE22" i="16"/>
  <c r="AE23" i="16"/>
  <c r="AE24" i="16"/>
  <c r="AE27" i="16"/>
  <c r="AE28" i="16"/>
  <c r="AE29" i="16"/>
  <c r="AE30" i="16"/>
  <c r="AE7" i="16"/>
  <c r="R18" i="1"/>
  <c r="U33" i="1"/>
  <c r="J33" i="1"/>
  <c r="J34" i="1"/>
  <c r="E8" i="16"/>
  <c r="F8" i="16"/>
  <c r="G8" i="16"/>
  <c r="H8" i="16"/>
  <c r="I8" i="16"/>
  <c r="J8" i="16"/>
  <c r="E9" i="16"/>
  <c r="F9" i="16"/>
  <c r="G9" i="16"/>
  <c r="H9" i="16"/>
  <c r="I9" i="16"/>
  <c r="J9" i="16"/>
  <c r="E10" i="16"/>
  <c r="F10" i="16"/>
  <c r="G10" i="16"/>
  <c r="H10" i="16"/>
  <c r="I10" i="16"/>
  <c r="J10" i="16"/>
  <c r="E11" i="16"/>
  <c r="F11" i="16"/>
  <c r="G11" i="16"/>
  <c r="H11" i="16"/>
  <c r="I11" i="16"/>
  <c r="J11" i="16"/>
  <c r="E12" i="16"/>
  <c r="F12" i="16"/>
  <c r="G12" i="16"/>
  <c r="H12" i="16"/>
  <c r="I12" i="16"/>
  <c r="J12" i="16"/>
  <c r="E13" i="16"/>
  <c r="F13" i="16"/>
  <c r="G13" i="16"/>
  <c r="H13" i="16"/>
  <c r="I13" i="16"/>
  <c r="J13" i="16"/>
  <c r="E14" i="16"/>
  <c r="F14" i="16"/>
  <c r="G14" i="16"/>
  <c r="H14" i="16"/>
  <c r="I14" i="16"/>
  <c r="J14" i="16"/>
  <c r="E15" i="16"/>
  <c r="F15" i="16"/>
  <c r="G15" i="16"/>
  <c r="H15" i="16"/>
  <c r="I15" i="16"/>
  <c r="J15" i="16"/>
  <c r="E16" i="16"/>
  <c r="F16" i="16"/>
  <c r="G16" i="16"/>
  <c r="H16" i="16"/>
  <c r="I16" i="16"/>
  <c r="J16" i="16"/>
  <c r="E17" i="16"/>
  <c r="F17" i="16"/>
  <c r="G17" i="16"/>
  <c r="H17" i="16"/>
  <c r="I17" i="16"/>
  <c r="J17" i="16"/>
  <c r="E18" i="16"/>
  <c r="F18" i="16"/>
  <c r="G18" i="16"/>
  <c r="H18" i="16"/>
  <c r="I18" i="16"/>
  <c r="J18" i="16"/>
  <c r="E19" i="16"/>
  <c r="F19" i="16"/>
  <c r="G19" i="16"/>
  <c r="H19" i="16"/>
  <c r="I19" i="16"/>
  <c r="J19" i="16"/>
  <c r="E20" i="16"/>
  <c r="F20" i="16"/>
  <c r="G20" i="16"/>
  <c r="H20" i="16"/>
  <c r="I20" i="16"/>
  <c r="J20" i="16"/>
  <c r="E21" i="16"/>
  <c r="F21" i="16"/>
  <c r="G21" i="16"/>
  <c r="H21" i="16"/>
  <c r="I21" i="16"/>
  <c r="J21" i="16"/>
  <c r="E22" i="16"/>
  <c r="F22" i="16"/>
  <c r="G22" i="16"/>
  <c r="H22" i="16"/>
  <c r="I22" i="16"/>
  <c r="J22" i="16"/>
  <c r="E23" i="16"/>
  <c r="F23" i="16"/>
  <c r="G23" i="16"/>
  <c r="H23" i="16"/>
  <c r="I23" i="16"/>
  <c r="J23" i="16"/>
  <c r="E24" i="16"/>
  <c r="F24" i="16"/>
  <c r="G24" i="16"/>
  <c r="H24" i="16"/>
  <c r="I24" i="16"/>
  <c r="J24" i="16"/>
  <c r="E25" i="16"/>
  <c r="F25" i="16"/>
  <c r="G25" i="16"/>
  <c r="H25" i="16"/>
  <c r="I25" i="16"/>
  <c r="J25" i="16"/>
  <c r="E27" i="16"/>
  <c r="F27" i="16"/>
  <c r="G27" i="16"/>
  <c r="H27" i="16"/>
  <c r="I27" i="16"/>
  <c r="J27" i="16"/>
  <c r="E28" i="16"/>
  <c r="F28" i="16"/>
  <c r="G28" i="16"/>
  <c r="H28" i="16"/>
  <c r="I28" i="16"/>
  <c r="J28" i="16"/>
  <c r="E29" i="16"/>
  <c r="F29" i="16"/>
  <c r="G29" i="16"/>
  <c r="H29" i="16"/>
  <c r="I29" i="16"/>
  <c r="J29" i="16"/>
  <c r="F7" i="16"/>
  <c r="G7" i="16"/>
  <c r="H7" i="16"/>
  <c r="I7" i="16"/>
  <c r="J7" i="16"/>
  <c r="E7" i="16"/>
  <c r="D8" i="16"/>
  <c r="D9" i="16"/>
  <c r="D10" i="16"/>
  <c r="D11" i="16"/>
  <c r="D12" i="16"/>
  <c r="D13" i="16"/>
  <c r="D14" i="16"/>
  <c r="D15" i="16"/>
  <c r="D16" i="16"/>
  <c r="D17" i="16"/>
  <c r="D18" i="16"/>
  <c r="D19" i="16"/>
  <c r="D20" i="16"/>
  <c r="D21" i="16"/>
  <c r="D22" i="16"/>
  <c r="D23" i="16"/>
  <c r="D24" i="16"/>
  <c r="D25" i="16"/>
  <c r="D27" i="16"/>
  <c r="D28" i="16"/>
  <c r="D29" i="16"/>
  <c r="J36" i="1"/>
  <c r="J15" i="10" s="1"/>
  <c r="G3" i="13"/>
  <c r="G4" i="13"/>
  <c r="G5" i="13"/>
  <c r="G6" i="13"/>
  <c r="G7" i="13"/>
  <c r="G8" i="13"/>
  <c r="G9" i="13"/>
  <c r="G10" i="13"/>
  <c r="G11" i="13"/>
  <c r="G12" i="13"/>
  <c r="G2" i="13"/>
  <c r="L20" i="3"/>
  <c r="M18" i="3"/>
  <c r="K18" i="3"/>
  <c r="J18" i="3"/>
  <c r="K36" i="1"/>
  <c r="K15" i="10" s="1"/>
  <c r="J21" i="1"/>
  <c r="J21" i="3"/>
  <c r="M19" i="3"/>
  <c r="M21" i="3"/>
  <c r="L18" i="3"/>
  <c r="M14" i="3"/>
  <c r="M22" i="3" l="1"/>
  <c r="U19" i="1"/>
  <c r="U20" i="1"/>
  <c r="U21" i="1"/>
  <c r="U22" i="1"/>
  <c r="U23" i="1"/>
  <c r="U25" i="1"/>
  <c r="U26" i="1"/>
  <c r="U27" i="1"/>
  <c r="U28" i="1"/>
  <c r="U29" i="1"/>
  <c r="U32" i="1"/>
  <c r="U24" i="1" s="1"/>
  <c r="U34" i="1"/>
  <c r="U35" i="1"/>
  <c r="U36" i="1"/>
  <c r="U37" i="1"/>
  <c r="U38" i="1"/>
  <c r="U39" i="1"/>
  <c r="U40" i="1"/>
  <c r="U41" i="1"/>
  <c r="U42" i="1"/>
  <c r="U43" i="1"/>
  <c r="U18" i="1"/>
  <c r="O5" i="3" l="1"/>
  <c r="N5" i="3"/>
  <c r="O4" i="3"/>
  <c r="N4" i="3"/>
  <c r="N7" i="3"/>
  <c r="O7" i="3"/>
  <c r="N8" i="3"/>
  <c r="O8" i="3"/>
  <c r="N9" i="3"/>
  <c r="O9" i="3"/>
  <c r="N10" i="3"/>
  <c r="O10" i="3"/>
  <c r="N11" i="3"/>
  <c r="O11" i="3"/>
  <c r="N12" i="3"/>
  <c r="O12" i="3"/>
  <c r="N13" i="3"/>
  <c r="O13" i="3"/>
  <c r="P13" i="3"/>
  <c r="O6" i="3"/>
  <c r="N6" i="3"/>
  <c r="N19" i="3"/>
  <c r="O19" i="3"/>
  <c r="N20" i="3"/>
  <c r="O20" i="3"/>
  <c r="N21" i="3"/>
  <c r="O21" i="3"/>
  <c r="O18" i="3"/>
  <c r="T25" i="10" l="1"/>
  <c r="T24" i="10"/>
  <c r="T23" i="10"/>
  <c r="T22" i="10"/>
  <c r="T21" i="10"/>
  <c r="T16" i="10"/>
  <c r="T15" i="10"/>
  <c r="T14" i="9"/>
  <c r="T15" i="9"/>
  <c r="T16" i="9"/>
  <c r="T17" i="9"/>
  <c r="T18" i="9"/>
  <c r="T19" i="9"/>
  <c r="T20" i="9"/>
  <c r="T21" i="9"/>
  <c r="T22" i="9"/>
  <c r="T23" i="9"/>
  <c r="T24" i="9"/>
  <c r="T25" i="9"/>
  <c r="T13" i="9"/>
  <c r="G41" i="11" l="1"/>
  <c r="F41" i="11"/>
  <c r="E41" i="11"/>
  <c r="F38" i="11"/>
  <c r="G38" i="11"/>
  <c r="F40" i="11"/>
  <c r="G40" i="11"/>
  <c r="E40" i="11"/>
  <c r="E38" i="11"/>
  <c r="M15" i="11" l="1"/>
  <c r="M20" i="11"/>
  <c r="M23" i="11"/>
  <c r="M30" i="11"/>
  <c r="M35" i="11"/>
  <c r="M14" i="11"/>
  <c r="M19" i="11"/>
  <c r="M22" i="11"/>
  <c r="M24" i="11"/>
  <c r="M28" i="11"/>
  <c r="M34" i="11"/>
  <c r="M13" i="11"/>
  <c r="M18" i="11"/>
  <c r="M17" i="11"/>
  <c r="M26" i="11"/>
  <c r="M31" i="11"/>
  <c r="M33" i="11"/>
  <c r="M11" i="11"/>
  <c r="M16" i="11"/>
  <c r="M21" i="11"/>
  <c r="M25" i="11"/>
  <c r="M27" i="11"/>
  <c r="M32" i="11"/>
  <c r="M29" i="11"/>
  <c r="K14" i="11"/>
  <c r="K19" i="11"/>
  <c r="K22" i="11"/>
  <c r="K24" i="11"/>
  <c r="K28" i="11"/>
  <c r="K13" i="11"/>
  <c r="K18" i="11"/>
  <c r="K17" i="11"/>
  <c r="K26" i="11"/>
  <c r="K31" i="11"/>
  <c r="K33" i="11"/>
  <c r="K11" i="11"/>
  <c r="K16" i="11"/>
  <c r="K21" i="11"/>
  <c r="K25" i="11"/>
  <c r="K27" i="11"/>
  <c r="K32" i="11"/>
  <c r="K12" i="11"/>
  <c r="K29" i="11"/>
  <c r="K15" i="11"/>
  <c r="K20" i="11"/>
  <c r="K23" i="11"/>
  <c r="K30" i="11"/>
  <c r="K35" i="11"/>
  <c r="K34" i="11"/>
  <c r="I13" i="11"/>
  <c r="I18" i="11"/>
  <c r="I17" i="11"/>
  <c r="I26" i="11"/>
  <c r="I31" i="11"/>
  <c r="I33" i="11"/>
  <c r="I11" i="11"/>
  <c r="I16" i="11"/>
  <c r="I21" i="11"/>
  <c r="I25" i="11"/>
  <c r="I27" i="11"/>
  <c r="I32" i="11"/>
  <c r="I15" i="11"/>
  <c r="I20" i="11"/>
  <c r="I23" i="11"/>
  <c r="I30" i="11"/>
  <c r="I29" i="11"/>
  <c r="I35" i="11"/>
  <c r="I24" i="11"/>
  <c r="I34" i="11"/>
  <c r="I14" i="11"/>
  <c r="I19" i="11"/>
  <c r="I22" i="11"/>
  <c r="I28" i="11"/>
  <c r="E39" i="11"/>
  <c r="G39" i="11"/>
  <c r="F39" i="11"/>
  <c r="G37" i="11"/>
  <c r="M12" i="11"/>
  <c r="E37" i="11"/>
  <c r="F37" i="11"/>
  <c r="I12" i="11"/>
  <c r="K21" i="3"/>
  <c r="L21" i="3"/>
  <c r="K20" i="3"/>
  <c r="J20" i="3"/>
  <c r="L14" i="11" l="1"/>
  <c r="L19" i="11"/>
  <c r="L22" i="11"/>
  <c r="L24" i="11"/>
  <c r="L28" i="11"/>
  <c r="L13" i="11"/>
  <c r="L17" i="11"/>
  <c r="L33" i="11"/>
  <c r="L11" i="11"/>
  <c r="L16" i="11"/>
  <c r="L21" i="11"/>
  <c r="L25" i="11"/>
  <c r="L27" i="11"/>
  <c r="L32" i="11"/>
  <c r="L18" i="11"/>
  <c r="L31" i="11"/>
  <c r="L15" i="11"/>
  <c r="L20" i="11"/>
  <c r="L23" i="11"/>
  <c r="L30" i="11"/>
  <c r="L29" i="11"/>
  <c r="L35" i="11"/>
  <c r="L34" i="11"/>
  <c r="L26" i="11"/>
  <c r="L41" i="11" s="1"/>
  <c r="L12" i="11"/>
  <c r="N15" i="11"/>
  <c r="N20" i="11"/>
  <c r="N30" i="11"/>
  <c r="N35" i="11"/>
  <c r="N24" i="11"/>
  <c r="N12" i="11"/>
  <c r="N22" i="11"/>
  <c r="N34" i="11"/>
  <c r="N13" i="11"/>
  <c r="N18" i="11"/>
  <c r="N17" i="11"/>
  <c r="N26" i="11"/>
  <c r="N31" i="11"/>
  <c r="N33" i="11"/>
  <c r="N11" i="11"/>
  <c r="N16" i="11"/>
  <c r="N21" i="11"/>
  <c r="N25" i="11"/>
  <c r="N27" i="11"/>
  <c r="N32" i="11"/>
  <c r="N23" i="11"/>
  <c r="N29" i="11"/>
  <c r="N14" i="11"/>
  <c r="N19" i="11"/>
  <c r="N28" i="11"/>
  <c r="J13" i="11"/>
  <c r="J18" i="11"/>
  <c r="J17" i="11"/>
  <c r="J26" i="11"/>
  <c r="J33" i="11"/>
  <c r="J16" i="11"/>
  <c r="J41" i="11" s="1"/>
  <c r="J32" i="11"/>
  <c r="J21" i="11"/>
  <c r="J27" i="11"/>
  <c r="J15" i="11"/>
  <c r="J20" i="11"/>
  <c r="J23" i="11"/>
  <c r="J30" i="11"/>
  <c r="J29" i="11"/>
  <c r="J35" i="11"/>
  <c r="J12" i="11"/>
  <c r="J25" i="11"/>
  <c r="J14" i="11"/>
  <c r="J19" i="11"/>
  <c r="J22" i="11"/>
  <c r="J24" i="11"/>
  <c r="J28" i="11"/>
  <c r="J34" i="11"/>
  <c r="J31" i="11"/>
  <c r="J11" i="11"/>
  <c r="M41" i="11"/>
  <c r="K41" i="11"/>
  <c r="I41" i="11"/>
  <c r="N41" i="11" l="1"/>
  <c r="U13" i="10" l="1"/>
  <c r="U19" i="10"/>
  <c r="U21" i="10"/>
  <c r="U14" i="9"/>
  <c r="U24" i="10"/>
  <c r="U18" i="10"/>
  <c r="U13" i="9"/>
  <c r="U17" i="10"/>
  <c r="U15" i="10"/>
  <c r="U20" i="9"/>
  <c r="U14" i="10"/>
  <c r="U16" i="10"/>
  <c r="U20" i="10"/>
  <c r="P5" i="3"/>
  <c r="U15" i="9" l="1"/>
  <c r="P4" i="3"/>
  <c r="U17" i="9"/>
  <c r="P6" i="3"/>
  <c r="U23" i="10"/>
  <c r="P20" i="3"/>
  <c r="U21" i="9"/>
  <c r="P8" i="3"/>
  <c r="P18" i="3"/>
  <c r="U23" i="9"/>
  <c r="P10" i="3"/>
  <c r="U24" i="9"/>
  <c r="P9" i="3"/>
  <c r="U22" i="10"/>
  <c r="P19" i="3"/>
  <c r="U25" i="9"/>
  <c r="P12" i="3"/>
  <c r="U18" i="9"/>
  <c r="P7" i="3"/>
  <c r="U25" i="10"/>
  <c r="P21" i="3"/>
  <c r="U22" i="9"/>
  <c r="P11" i="3"/>
  <c r="U16" i="9"/>
  <c r="U19" i="9"/>
  <c r="I14" i="10"/>
  <c r="I15" i="10"/>
  <c r="I16" i="10"/>
  <c r="I17" i="10"/>
  <c r="I18" i="10"/>
  <c r="I19" i="10"/>
  <c r="I20" i="10"/>
  <c r="I21" i="10"/>
  <c r="I22" i="10"/>
  <c r="I23" i="10"/>
  <c r="I24" i="10"/>
  <c r="I25" i="10"/>
  <c r="I13" i="10"/>
  <c r="I18" i="9"/>
  <c r="I19" i="9"/>
  <c r="J19" i="9"/>
  <c r="K19" i="9"/>
  <c r="L19" i="9"/>
  <c r="I20" i="9"/>
  <c r="I21" i="9"/>
  <c r="I22" i="9"/>
  <c r="I23" i="9"/>
  <c r="I24" i="9"/>
  <c r="I25" i="9"/>
  <c r="I17" i="9"/>
  <c r="L19" i="1"/>
  <c r="L13" i="10" s="1"/>
  <c r="K19" i="1"/>
  <c r="K13" i="10" s="1"/>
  <c r="J19" i="1"/>
  <c r="L42" i="1"/>
  <c r="L24" i="9" s="1"/>
  <c r="K42" i="1"/>
  <c r="K24" i="9" s="1"/>
  <c r="J42" i="1"/>
  <c r="J24" i="9" s="1"/>
  <c r="L40" i="1"/>
  <c r="L23" i="9" s="1"/>
  <c r="K40" i="1"/>
  <c r="K23" i="9" s="1"/>
  <c r="J40" i="1"/>
  <c r="J23" i="9" s="1"/>
  <c r="L35" i="1"/>
  <c r="L25" i="9" s="1"/>
  <c r="K35" i="1"/>
  <c r="K25" i="9" s="1"/>
  <c r="J35" i="1"/>
  <c r="J25" i="9" s="1"/>
  <c r="L41" i="1"/>
  <c r="L22" i="9" s="1"/>
  <c r="K41" i="1"/>
  <c r="K22" i="9" s="1"/>
  <c r="J41" i="1"/>
  <c r="J22" i="9" s="1"/>
  <c r="L34" i="1"/>
  <c r="L20" i="9" s="1"/>
  <c r="K34" i="1"/>
  <c r="K20" i="9" s="1"/>
  <c r="J20" i="9"/>
  <c r="L23" i="1"/>
  <c r="L17" i="9" s="1"/>
  <c r="K23" i="1"/>
  <c r="K17" i="9" s="1"/>
  <c r="J23" i="1"/>
  <c r="L25" i="1"/>
  <c r="L18" i="9" s="1"/>
  <c r="K25" i="1"/>
  <c r="K18" i="9" s="1"/>
  <c r="J25" i="1"/>
  <c r="J18" i="9" s="1"/>
  <c r="L30" i="1"/>
  <c r="L21" i="9" s="1"/>
  <c r="K30" i="1"/>
  <c r="K21" i="9" s="1"/>
  <c r="J21" i="9"/>
  <c r="J31" i="1"/>
  <c r="L31" i="1"/>
  <c r="L21" i="10" s="1"/>
  <c r="K31" i="1"/>
  <c r="K21" i="10" s="1"/>
  <c r="J28" i="1"/>
  <c r="J16" i="10" s="1"/>
  <c r="K28" i="1"/>
  <c r="K16" i="10" s="1"/>
  <c r="L28" i="1"/>
  <c r="L16" i="10" s="1"/>
  <c r="J37" i="1"/>
  <c r="J25" i="10" s="1"/>
  <c r="K37" i="1"/>
  <c r="K25" i="10" s="1"/>
  <c r="L37" i="1"/>
  <c r="L25" i="10" s="1"/>
  <c r="J39" i="1"/>
  <c r="J23" i="10" s="1"/>
  <c r="K39" i="1"/>
  <c r="K23" i="10" s="1"/>
  <c r="L39" i="1"/>
  <c r="L23" i="10" s="1"/>
  <c r="J29" i="1"/>
  <c r="J18" i="10" s="1"/>
  <c r="K29" i="1"/>
  <c r="K18" i="10" s="1"/>
  <c r="L29" i="1"/>
  <c r="L18" i="10" s="1"/>
  <c r="J26" i="1"/>
  <c r="J19" i="10" s="1"/>
  <c r="K26" i="1"/>
  <c r="K19" i="10" s="1"/>
  <c r="L26" i="1"/>
  <c r="L19" i="10" s="1"/>
  <c r="J20" i="10"/>
  <c r="K33" i="1"/>
  <c r="K20" i="10" s="1"/>
  <c r="L33" i="1"/>
  <c r="L20" i="10" s="1"/>
  <c r="L38" i="1"/>
  <c r="L24" i="10" s="1"/>
  <c r="K38" i="1"/>
  <c r="K24" i="10" s="1"/>
  <c r="J38" i="1"/>
  <c r="J24" i="10" s="1"/>
  <c r="L43" i="1"/>
  <c r="L22" i="10" s="1"/>
  <c r="K43" i="1"/>
  <c r="K22" i="10" s="1"/>
  <c r="J43" i="1"/>
  <c r="J22" i="10" s="1"/>
  <c r="L27" i="1"/>
  <c r="L17" i="10" s="1"/>
  <c r="K27" i="1"/>
  <c r="K17" i="10" s="1"/>
  <c r="J27" i="1"/>
  <c r="J17" i="10" s="1"/>
  <c r="J20" i="1"/>
  <c r="J14" i="10" s="1"/>
  <c r="K20" i="1"/>
  <c r="K14" i="10" s="1"/>
  <c r="L20" i="1"/>
  <c r="L14" i="10" s="1"/>
  <c r="L36" i="1"/>
  <c r="L15" i="10" s="1"/>
  <c r="J13" i="10" l="1"/>
  <c r="R19" i="1"/>
  <c r="M19" i="9"/>
  <c r="N19" i="9"/>
  <c r="O19" i="9"/>
  <c r="P19" i="9"/>
  <c r="Q19" i="9"/>
  <c r="Q13" i="10"/>
  <c r="P13" i="10"/>
  <c r="O13" i="10"/>
  <c r="N13" i="10"/>
  <c r="M13" i="10"/>
  <c r="Q23" i="10"/>
  <c r="P23" i="10"/>
  <c r="O23" i="10"/>
  <c r="N23" i="10"/>
  <c r="M23" i="10"/>
  <c r="Q25" i="10"/>
  <c r="P25" i="10"/>
  <c r="O25" i="10"/>
  <c r="N25" i="10"/>
  <c r="M25" i="10"/>
  <c r="Q16" i="10"/>
  <c r="P16" i="10"/>
  <c r="O16" i="10"/>
  <c r="N16" i="10"/>
  <c r="M16" i="10"/>
  <c r="Q20" i="10"/>
  <c r="P20" i="10"/>
  <c r="O20" i="10"/>
  <c r="N20" i="10"/>
  <c r="M20" i="10"/>
  <c r="Q19" i="10"/>
  <c r="P19" i="10"/>
  <c r="O19" i="10"/>
  <c r="N19" i="10"/>
  <c r="M19" i="10"/>
  <c r="Q18" i="10"/>
  <c r="P18" i="10"/>
  <c r="O18" i="10"/>
  <c r="N18" i="10"/>
  <c r="M18" i="10"/>
  <c r="Q24" i="10"/>
  <c r="P24" i="10"/>
  <c r="O24" i="10"/>
  <c r="N24" i="10"/>
  <c r="M24" i="10"/>
  <c r="Q22" i="10"/>
  <c r="P22" i="10"/>
  <c r="O22" i="10"/>
  <c r="N22" i="10"/>
  <c r="M22" i="10"/>
  <c r="Q17" i="10"/>
  <c r="P17" i="10"/>
  <c r="O17" i="10"/>
  <c r="N17" i="10"/>
  <c r="M17" i="10"/>
  <c r="Q14" i="10"/>
  <c r="P14" i="10"/>
  <c r="O14" i="10"/>
  <c r="N14" i="10"/>
  <c r="M14" i="10"/>
  <c r="Q15" i="10"/>
  <c r="P15" i="10"/>
  <c r="O15" i="10"/>
  <c r="N15" i="10"/>
  <c r="M15" i="10"/>
  <c r="R21" i="10" l="1"/>
  <c r="R22" i="10"/>
  <c r="R25" i="10"/>
  <c r="R18" i="10"/>
  <c r="R13" i="10"/>
  <c r="R15" i="10"/>
  <c r="R24" i="10"/>
  <c r="R16" i="10"/>
  <c r="R14" i="10"/>
  <c r="R17" i="10"/>
  <c r="R19" i="10"/>
  <c r="R20" i="10"/>
  <c r="R23" i="10"/>
  <c r="R27" i="10" l="1"/>
  <c r="R19" i="9"/>
  <c r="Q24" i="9"/>
  <c r="P24" i="9"/>
  <c r="O24" i="9"/>
  <c r="N24" i="9"/>
  <c r="M24" i="9"/>
  <c r="Q23" i="9"/>
  <c r="P23" i="9"/>
  <c r="O23" i="9"/>
  <c r="N23" i="9"/>
  <c r="M23" i="9"/>
  <c r="R21" i="9"/>
  <c r="Q25" i="9"/>
  <c r="P25" i="9"/>
  <c r="O25" i="9"/>
  <c r="N25" i="9"/>
  <c r="M25" i="9"/>
  <c r="Q22" i="9"/>
  <c r="P22" i="9"/>
  <c r="O22" i="9"/>
  <c r="N22" i="9"/>
  <c r="M22" i="9"/>
  <c r="Q20" i="9"/>
  <c r="P20" i="9"/>
  <c r="O20" i="9"/>
  <c r="N20" i="9"/>
  <c r="M20" i="9"/>
  <c r="Q17" i="9"/>
  <c r="P17" i="9"/>
  <c r="O17" i="9"/>
  <c r="N17" i="9"/>
  <c r="M17" i="9"/>
  <c r="Q18" i="9"/>
  <c r="P18" i="9"/>
  <c r="O18" i="9"/>
  <c r="N18" i="9"/>
  <c r="M18" i="9"/>
  <c r="R16" i="9"/>
  <c r="Q16" i="9"/>
  <c r="P16" i="9"/>
  <c r="O16" i="9"/>
  <c r="N16" i="9"/>
  <c r="M16" i="9"/>
  <c r="R15" i="9"/>
  <c r="Q15" i="9"/>
  <c r="P15" i="9"/>
  <c r="O15" i="9"/>
  <c r="N15" i="9"/>
  <c r="M15" i="9"/>
  <c r="Q14" i="9"/>
  <c r="P14" i="9"/>
  <c r="O14" i="9"/>
  <c r="N14" i="9"/>
  <c r="M14" i="9"/>
  <c r="L14" i="9"/>
  <c r="K14" i="9"/>
  <c r="J14" i="9"/>
  <c r="I14" i="9"/>
  <c r="Q13" i="9"/>
  <c r="P13" i="9"/>
  <c r="O13" i="9"/>
  <c r="N13" i="9"/>
  <c r="M13" i="9"/>
  <c r="L13" i="9"/>
  <c r="K13" i="9"/>
  <c r="J13" i="9"/>
  <c r="I13" i="9"/>
  <c r="R23" i="9" l="1"/>
  <c r="R18" i="9"/>
  <c r="R24" i="9"/>
  <c r="R14" i="9"/>
  <c r="R22" i="9"/>
  <c r="R25" i="9"/>
  <c r="R13" i="9"/>
  <c r="R17" i="9"/>
  <c r="R20" i="9"/>
  <c r="R27" i="9" l="1"/>
  <c r="R24" i="1" l="1"/>
  <c r="M13" i="3"/>
  <c r="M6" i="3" l="1"/>
  <c r="M20" i="3" l="1"/>
  <c r="M11" i="3"/>
  <c r="M12" i="3"/>
  <c r="M40" i="1" l="1"/>
  <c r="N40" i="1"/>
  <c r="O40" i="1"/>
  <c r="P40" i="1"/>
  <c r="Q40" i="1"/>
  <c r="M18" i="1"/>
  <c r="N18" i="1"/>
  <c r="O18" i="1"/>
  <c r="P18" i="1"/>
  <c r="Q18" i="1"/>
  <c r="M32" i="1"/>
  <c r="N32" i="1"/>
  <c r="O32" i="1"/>
  <c r="P32" i="1"/>
  <c r="Q32" i="1"/>
  <c r="M37" i="1"/>
  <c r="N37" i="1"/>
  <c r="O37" i="1"/>
  <c r="P37" i="1"/>
  <c r="Q37" i="1"/>
  <c r="M39" i="1"/>
  <c r="N39" i="1"/>
  <c r="O39" i="1"/>
  <c r="P39" i="1"/>
  <c r="Q39" i="1"/>
  <c r="M34" i="1"/>
  <c r="N34" i="1"/>
  <c r="O34" i="1"/>
  <c r="P34" i="1"/>
  <c r="Q34" i="1"/>
  <c r="M43" i="1"/>
  <c r="N43" i="1"/>
  <c r="O43" i="1"/>
  <c r="P43" i="1"/>
  <c r="Q43" i="1"/>
  <c r="M35" i="1"/>
  <c r="N35" i="1"/>
  <c r="O35" i="1"/>
  <c r="P35" i="1"/>
  <c r="Q35" i="1"/>
  <c r="M41" i="1"/>
  <c r="N41" i="1"/>
  <c r="O41" i="1"/>
  <c r="P41" i="1"/>
  <c r="Q41" i="1"/>
  <c r="M42" i="1"/>
  <c r="N42" i="1"/>
  <c r="O42" i="1"/>
  <c r="P42" i="1"/>
  <c r="Q42" i="1"/>
  <c r="M20" i="1"/>
  <c r="N20" i="1"/>
  <c r="O20" i="1"/>
  <c r="P20" i="1"/>
  <c r="Q20" i="1"/>
  <c r="M19" i="1"/>
  <c r="N19" i="1"/>
  <c r="O19" i="1"/>
  <c r="P19" i="1"/>
  <c r="Q19" i="1"/>
  <c r="M28" i="1"/>
  <c r="N28" i="1"/>
  <c r="O28" i="1"/>
  <c r="P28" i="1"/>
  <c r="Q28" i="1"/>
  <c r="M27" i="1"/>
  <c r="N27" i="1"/>
  <c r="O27" i="1"/>
  <c r="P27" i="1"/>
  <c r="Q27" i="1"/>
  <c r="M26" i="1"/>
  <c r="N26" i="1"/>
  <c r="O26" i="1"/>
  <c r="P26" i="1"/>
  <c r="Q26" i="1"/>
  <c r="M29" i="1"/>
  <c r="N29" i="1"/>
  <c r="O29" i="1"/>
  <c r="P29" i="1"/>
  <c r="Q29" i="1"/>
  <c r="M36" i="1"/>
  <c r="N36" i="1"/>
  <c r="O36" i="1"/>
  <c r="P36" i="1"/>
  <c r="Q36" i="1"/>
  <c r="M25" i="1"/>
  <c r="N25" i="1"/>
  <c r="O25" i="1"/>
  <c r="P25" i="1"/>
  <c r="Q25" i="1"/>
  <c r="M33" i="1"/>
  <c r="N33" i="1"/>
  <c r="O33" i="1"/>
  <c r="P33" i="1"/>
  <c r="Q33" i="1"/>
  <c r="M38" i="1"/>
  <c r="N38" i="1"/>
  <c r="O38" i="1"/>
  <c r="P38" i="1"/>
  <c r="Q38" i="1"/>
  <c r="I21" i="1"/>
  <c r="K21" i="1"/>
  <c r="L21" i="1"/>
  <c r="M21" i="1"/>
  <c r="N21" i="1"/>
  <c r="O21" i="1"/>
  <c r="P21" i="1"/>
  <c r="Q21" i="1"/>
  <c r="I22" i="1"/>
  <c r="J22" i="1"/>
  <c r="K22" i="1"/>
  <c r="L22" i="1"/>
  <c r="M22" i="1"/>
  <c r="N22" i="1"/>
  <c r="O22" i="1"/>
  <c r="P22" i="1"/>
  <c r="Q22" i="1"/>
  <c r="M23" i="1"/>
  <c r="N23" i="1"/>
  <c r="O23" i="1"/>
  <c r="P23" i="1"/>
  <c r="Q23" i="1"/>
  <c r="M5" i="3" l="1"/>
  <c r="M4" i="3"/>
  <c r="M10" i="3"/>
  <c r="M8" i="3"/>
  <c r="M9" i="3"/>
  <c r="M7" i="3"/>
  <c r="R30" i="1" l="1"/>
  <c r="R31" i="1"/>
  <c r="R36" i="1" l="1"/>
  <c r="R28" i="1"/>
  <c r="R40" i="1"/>
  <c r="R38" i="1"/>
  <c r="R22" i="1"/>
  <c r="R23" i="1"/>
  <c r="R20" i="1"/>
  <c r="R29" i="1"/>
  <c r="R34" i="1"/>
  <c r="R43" i="1"/>
  <c r="R33" i="1"/>
  <c r="R21" i="1"/>
  <c r="R25" i="1"/>
  <c r="R35" i="1"/>
  <c r="R37" i="1"/>
  <c r="R42" i="1"/>
  <c r="R27" i="1"/>
  <c r="R26" i="1"/>
  <c r="R39" i="1"/>
  <c r="R32" i="1"/>
  <c r="R41" i="1"/>
  <c r="D3" i="2"/>
  <c r="D2" i="2"/>
  <c r="D1" i="2"/>
  <c r="R45" i="1" l="1"/>
  <c r="R46" i="1"/>
  <c r="D4" i="2"/>
</calcChain>
</file>

<file path=xl/comments1.xml><?xml version="1.0" encoding="utf-8"?>
<comments xmlns="http://schemas.openxmlformats.org/spreadsheetml/2006/main">
  <authors>
    <author>Author</author>
  </authors>
  <commentList>
    <comment ref="B56" authorId="0" shapeId="0">
      <text>
        <r>
          <rPr>
            <b/>
            <sz val="9"/>
            <color indexed="81"/>
            <rFont val="Tahoma"/>
            <family val="2"/>
          </rPr>
          <t>Author:</t>
        </r>
        <r>
          <rPr>
            <sz val="9"/>
            <color indexed="81"/>
            <rFont val="Tahoma"/>
            <family val="2"/>
          </rPr>
          <t xml:space="preserve">
The expenses of the solar+battery incentive were split evenly in half in order to compare between resource types in this analysis.</t>
        </r>
      </text>
    </comment>
    <comment ref="B186" authorId="0" shapeId="0">
      <text>
        <r>
          <rPr>
            <b/>
            <sz val="9"/>
            <color indexed="81"/>
            <rFont val="Tahoma"/>
            <family val="2"/>
          </rPr>
          <t>Author:</t>
        </r>
        <r>
          <rPr>
            <sz val="9"/>
            <color indexed="81"/>
            <rFont val="Tahoma"/>
            <family val="2"/>
          </rPr>
          <t xml:space="preserve">
Utility-led and owned efforts are excluded from the market potential assessment.</t>
        </r>
      </text>
    </comment>
  </commentList>
</comments>
</file>

<file path=xl/comments2.xml><?xml version="1.0" encoding="utf-8"?>
<comments xmlns="http://schemas.openxmlformats.org/spreadsheetml/2006/main">
  <authors>
    <author>Author</author>
  </authors>
  <commentList>
    <comment ref="E26" authorId="0" shapeId="0">
      <text>
        <r>
          <rPr>
            <b/>
            <sz val="9"/>
            <color indexed="81"/>
            <rFont val="Tahoma"/>
            <family val="2"/>
          </rPr>
          <t>Author:</t>
        </r>
        <r>
          <rPr>
            <sz val="9"/>
            <color indexed="81"/>
            <rFont val="Tahoma"/>
            <family val="2"/>
          </rPr>
          <t xml:space="preserve">
The expenses of the solar+battery incentive were split evenly in half in order to compare between resource types in this analysis.</t>
        </r>
      </text>
    </comment>
  </commentList>
</comments>
</file>

<file path=xl/comments3.xml><?xml version="1.0" encoding="utf-8"?>
<comments xmlns="http://schemas.openxmlformats.org/spreadsheetml/2006/main">
  <authors>
    <author>Author</author>
  </authors>
  <commentList>
    <comment ref="A1" authorId="0" shapeId="0">
      <text>
        <r>
          <rPr>
            <b/>
            <sz val="9"/>
            <color indexed="81"/>
            <rFont val="Tahoma"/>
            <family val="2"/>
          </rPr>
          <t>Author:</t>
        </r>
        <r>
          <rPr>
            <sz val="9"/>
            <color indexed="81"/>
            <rFont val="Tahoma"/>
            <family val="2"/>
          </rPr>
          <t xml:space="preserve">
Different # system is followed in the Final CEIP...</t>
        </r>
      </text>
    </comment>
    <comment ref="E25" authorId="0" shapeId="0">
      <text>
        <r>
          <rPr>
            <b/>
            <sz val="9"/>
            <color indexed="81"/>
            <rFont val="Tahoma"/>
            <family val="2"/>
          </rPr>
          <t>Author:</t>
        </r>
        <r>
          <rPr>
            <sz val="9"/>
            <color indexed="81"/>
            <rFont val="Tahoma"/>
            <family val="2"/>
          </rPr>
          <t xml:space="preserve">
This is not in DER Appendix C-2.</t>
        </r>
      </text>
    </comment>
    <comment ref="H25" authorId="0" shapeId="0">
      <text>
        <r>
          <rPr>
            <b/>
            <sz val="9"/>
            <color indexed="81"/>
            <rFont val="Tahoma"/>
            <family val="2"/>
          </rPr>
          <t>Author:</t>
        </r>
        <r>
          <rPr>
            <sz val="9"/>
            <color indexed="81"/>
            <rFont val="Tahoma"/>
            <family val="2"/>
          </rPr>
          <t xml:space="preserve">
This is not in DER Appendix C-2.</t>
        </r>
      </text>
    </comment>
  </commentList>
</comments>
</file>

<file path=xl/comments4.xml><?xml version="1.0" encoding="utf-8"?>
<comments xmlns="http://schemas.openxmlformats.org/spreadsheetml/2006/main">
  <authors>
    <author>Author</author>
  </authors>
  <commentList>
    <comment ref="B17" authorId="0" shapeId="0">
      <text>
        <r>
          <rPr>
            <b/>
            <sz val="9"/>
            <color indexed="81"/>
            <rFont val="Tahoma"/>
            <family val="2"/>
          </rPr>
          <t>Author:</t>
        </r>
        <r>
          <rPr>
            <sz val="9"/>
            <color indexed="81"/>
            <rFont val="Tahoma"/>
            <family val="2"/>
          </rPr>
          <t xml:space="preserve">
DER # is different here… Renamed to Summary ID.
</t>
        </r>
      </text>
    </comment>
  </commentList>
</comments>
</file>

<file path=xl/sharedStrings.xml><?xml version="1.0" encoding="utf-8"?>
<sst xmlns="http://schemas.openxmlformats.org/spreadsheetml/2006/main" count="1548" uniqueCount="293">
  <si>
    <t>Solar</t>
  </si>
  <si>
    <t>Battery</t>
  </si>
  <si>
    <t>Solar+Battery</t>
  </si>
  <si>
    <t>Total</t>
  </si>
  <si>
    <t>i</t>
  </si>
  <si>
    <t>Suite</t>
  </si>
  <si>
    <t>Market Potential</t>
  </si>
  <si>
    <t>DER #</t>
  </si>
  <si>
    <t>Program Concept</t>
  </si>
  <si>
    <t>Resource Type</t>
  </si>
  <si>
    <t>Program Description</t>
  </si>
  <si>
    <t>FOTM or BTM</t>
  </si>
  <si>
    <t>Ownership</t>
  </si>
  <si>
    <t xml:space="preserve">Customer-Facing? </t>
  </si>
  <si>
    <t>Mechanism</t>
  </si>
  <si>
    <t>Under Development, In Operation, or New?</t>
  </si>
  <si>
    <t>3rd Party Customer-Sited Distributed Battery PPA</t>
  </si>
  <si>
    <t>3rd Party installs/manages network of customer-sited batteries that provide backup power and RE integration for customers. 3rd Party will aggregate network of batteries to respond to dispatch signal from PSE to help integreate renewables and manage system or local peak.</t>
  </si>
  <si>
    <t>BTM</t>
  </si>
  <si>
    <t>3rd Party</t>
  </si>
  <si>
    <t>Yes</t>
  </si>
  <si>
    <t>3rd Party Offering</t>
  </si>
  <si>
    <t>New</t>
  </si>
  <si>
    <t>X</t>
  </si>
  <si>
    <t>3rd Party Utility-scale Distributed Battery PPA</t>
  </si>
  <si>
    <t>3rd Party installs/manges single/network of batteries to respond to dispatch signal from PSE to help increase power quality and/or resiliency, as well as manage system/local peak. Battery through All Source.</t>
  </si>
  <si>
    <t>FOTM</t>
  </si>
  <si>
    <t>No</t>
  </si>
  <si>
    <t>Portfolio Resource</t>
  </si>
  <si>
    <t>C&amp;I Battery Install Incentive</t>
  </si>
  <si>
    <t>PSE offers upfront incentive to commercial customer to install their own BESS, with terms for operating modes that lead to optimal load behavior.</t>
  </si>
  <si>
    <t>Customer(s)</t>
  </si>
  <si>
    <t>PSE Incentive</t>
  </si>
  <si>
    <t>C&amp;I Space Leasing for Batteries</t>
  </si>
  <si>
    <t>PSE leases space from/at C&amp;I customers to deploy BESS to improve power quality and/or resiliency and manage system/local peak. Backup power for host customer as additional integration.</t>
  </si>
  <si>
    <t>PSE</t>
  </si>
  <si>
    <t>PSE Program</t>
  </si>
  <si>
    <t>Multi-Family Unit Battery Program</t>
  </si>
  <si>
    <t>PSE partners with MFU owner/developer to deploy battery program. MFU rentees benefit from back-up power and PSE uses batteries to help manage system/local peaks.</t>
  </si>
  <si>
    <t>PSE or PPA</t>
  </si>
  <si>
    <t>PSE Program / 3rd Party Offering</t>
  </si>
  <si>
    <t>PSE Mobile Batteries</t>
  </si>
  <si>
    <t>PSE deploys mobile batteries to support planned and (un-)planned outages, as well as to help manage system/local peak. Batteries can serve at distribution level.</t>
  </si>
  <si>
    <t>Under Development</t>
  </si>
  <si>
    <t>PSE Substation Batteries</t>
  </si>
  <si>
    <t xml:space="preserve">PSE installs batteries at its substations that can help to integrate renewables, increase power quality and/or resiliency, and manage system or local peak. </t>
  </si>
  <si>
    <t>Under Development (in progress on Bainbridge)</t>
  </si>
  <si>
    <t>PSE Utility-Scale Distributed Battery Stations</t>
  </si>
  <si>
    <t>PSE installs distributed batteries locally, communally, and/or in urban settings (i.e. outside of substations). Batteries help to improve power quality and/or resiliency, integrate renewables, or manage system/local peak.</t>
  </si>
  <si>
    <t>Residential Battery Install Incentive</t>
  </si>
  <si>
    <t>PSE offers upfront incentive to residential customers to install their own BESS, with terms for operating modes that lead to optimal load behavior.</t>
  </si>
  <si>
    <t>Residential PSE Battery Leasing</t>
  </si>
  <si>
    <t xml:space="preserve">PSE installs batteries in customer homes. Customers pay a monthly fee for backup power services; PSE uses battery to manage system/local peaks. </t>
  </si>
  <si>
    <t>Residential PSE Battery Leasing - Low Income</t>
  </si>
  <si>
    <t>PSE provides targeted deployment of batteries for low-income customers. Customers benefit from back-up power and PSE can use batteries to manage system/local peaks.</t>
  </si>
  <si>
    <t>Net Metering (Existing)</t>
  </si>
  <si>
    <t>Voluntary customer program to install roof-top solar and state-regulated mandate for compensation on generated energy imported to grid.</t>
  </si>
  <si>
    <t>In Operation</t>
  </si>
  <si>
    <t>Net Metering (Successor)</t>
  </si>
  <si>
    <t>Next iteration of voluntary customer program to install roof-top solar and state-regulated mandate for compensation, at a reduced rate from prior, on generated energy imported to grid.</t>
  </si>
  <si>
    <t>PSE Community Solar</t>
  </si>
  <si>
    <t xml:space="preserve">PSE offers customers the ability to subscribe to the output of solar panels deployed throughout the service territory. Customers pay a monthly fee and receive a monthly credit for generation. </t>
  </si>
  <si>
    <t>PSE Community Solar - Low Income</t>
  </si>
  <si>
    <t xml:space="preserve">Provides community solar access to low income customers by discounting their monthly subscription fee, resulting in cost savings. </t>
  </si>
  <si>
    <t xml:space="preserve">PSE Program </t>
  </si>
  <si>
    <t>3rd Party Distributed Solar PPA (or Solar Lease)</t>
  </si>
  <si>
    <t xml:space="preserve">3rd party installs/provides roof-top solar panels to customers throughout service territory. PSE off-takes RE via PPA or net metering while the 3rd party is responsible for managing program and financing equipment. </t>
  </si>
  <si>
    <t>C&amp;I Roof-top Solar Incentive</t>
  </si>
  <si>
    <t>PSE offers upfront incentive to commercial customers, discounting their upfront cost to install and own distributed solar generation throughout service territory.</t>
  </si>
  <si>
    <t>C&amp;I Roof-top Solar Leasing</t>
  </si>
  <si>
    <t xml:space="preserve">PSE offers to lease commercial customers' roof-top space to install solar PV. Customer receives a monthly lease payment; PSE generates RE to supply grid. </t>
  </si>
  <si>
    <t>Multi-Family Solar Partnership</t>
  </si>
  <si>
    <t xml:space="preserve">PSE facilitates installation of solar PV at MFU buildings by connecting with technology providers and/or billing support to share production across units. </t>
  </si>
  <si>
    <t>Landlord or 3rd Party</t>
  </si>
  <si>
    <t>PSE Program or PSE Rate</t>
  </si>
  <si>
    <t>Multi-Family Roof-top Solar Incentive</t>
  </si>
  <si>
    <t>PSE offers incentive to MFU building owners, discounting their upfront cost to install and own solar in PSE's service territory.</t>
  </si>
  <si>
    <t>PSE Customer-Sited Solar+Storage Offering</t>
  </si>
  <si>
    <t>PSE enrolls customers through a monthly incentive program to host solar+storage systems with that can off-set customers' load from the grid in response to operating settings or dispatch signals from PSE</t>
  </si>
  <si>
    <t>Residential Roof-top Solar Leasing</t>
  </si>
  <si>
    <t xml:space="preserve">PSE offers to lease residential customers' roof-top space to install solar PV. Customer receives a monthly lease payment; PSE generates RE to supply grid. </t>
  </si>
  <si>
    <t>Residential Roof-top Solar Leasing - Low Income</t>
  </si>
  <si>
    <t xml:space="preserve">PSE target's lease to low-income and/or impacted residential customers for access to roof-top space to install solar PV. Customer receives a monthly lease payment; PSE generates RE to supply grid. </t>
  </si>
  <si>
    <t>C&amp;I Battery BYO</t>
  </si>
  <si>
    <t>Tariff targeted to existing/new commercial battery owners that encourages optimal load behavior, charge/discharge, and/or PSE access that helps PSE to manage system/local peak.</t>
  </si>
  <si>
    <t>All achievable market potential provided by Black and Veatch, refer to link for details:</t>
  </si>
  <si>
    <t>21a</t>
  </si>
  <si>
    <t>21b</t>
  </si>
  <si>
    <t>SCT</t>
  </si>
  <si>
    <t>2022-2025 Max Mkt Potential</t>
  </si>
  <si>
    <t>Median</t>
  </si>
  <si>
    <t>Basis/Notes</t>
  </si>
  <si>
    <t>Must take</t>
  </si>
  <si>
    <t>IRP defined; per CPA forecast</t>
  </si>
  <si>
    <t>SOLAR</t>
  </si>
  <si>
    <t>BATTERY</t>
  </si>
  <si>
    <t>Notes</t>
  </si>
  <si>
    <t>Selection #</t>
  </si>
  <si>
    <t>Step #</t>
  </si>
  <si>
    <t>Rank concepts by societal cost test (SCT), from highest to lowest SCT</t>
  </si>
  <si>
    <t>Select concepts with prioritization for high prioritized CBI score, high SCT, and low cost</t>
  </si>
  <si>
    <t>Ensure a mix of utility- and customer-sited/owned DER concepts included in selection, subjective basis to ensure mix achieves Steps #1-4 and CETA's additional obligations for accessibility and equity</t>
  </si>
  <si>
    <t>MW TOTAL</t>
  </si>
  <si>
    <t>Exclude</t>
  </si>
  <si>
    <t>AURORA $/Watt Cost</t>
  </si>
  <si>
    <t>Basis for Selection</t>
  </si>
  <si>
    <t>Step Process for Selection</t>
  </si>
  <si>
    <t>Based on 7/6 presentation of preliminary selection of preferred portfolio, the DER team added selection of this concept for final preferred portfolio selection. Although noted for low market potential, the DER team noted an acceptable combination of criteria scoring and acknowledged increasing access to particular customer class, MFU owners and tenants, that have historically had barrier to participation in DER deployment and ownership.</t>
  </si>
  <si>
    <t>Based on 7/6 presentation of preliminary selection of preferred portfolio, the DER team added selection of this concept for final preferred portfolio selection. Although noted for significantly low market potential, the DER team noted an acceptable combination of criteria scoring and acknowledged increasing access to particular customer class, MFU owners and tenants, that have historically had barrier to participation in DER deployment and ownership. Although noted for low market potential, the DER team will intend to explore options for implementation.</t>
  </si>
  <si>
    <t>Step</t>
  </si>
  <si>
    <t>Detail</t>
  </si>
  <si>
    <t>Proceed to tabs, "S6-Filter-Solar" and "S6-Filter-Battery," for further steps to select solar and battery concepts for preferred portfolio</t>
  </si>
  <si>
    <t>Refer to tabs, "Approach" and "S6-Summary," for overall selection approach/steps and prior steps taken to source the candidate solar concepts below for selection</t>
  </si>
  <si>
    <t>Rank all concepts, highest to lowest, by SCT</t>
  </si>
  <si>
    <t>Select solar concepts for preferred portfolio based on criteria established in tab, "Approach"</t>
  </si>
  <si>
    <t>Proceed to tab, "S6-Selection," for comprehensie selection of solar and battery concepts comprising the preferred portfolio</t>
  </si>
  <si>
    <t>Select battery concepts for preferred portfolio based on criteria established in tab, "Approach"</t>
  </si>
  <si>
    <t>Low AURORA rank and highest SCT, but minimal market potential; therefore, the DER team opted for other concepts could effectively meet peak capacity contribution.</t>
  </si>
  <si>
    <t>Based on 7/6 presentation of preliminary selection of preferred portfolio, similar solar concept was selected in order to broaden access of customer classes to DERs. The DER team noted that the battery concept has few industry benchmarks and therefore have tentatively opted for only the solar version of the concept.</t>
  </si>
  <si>
    <t xml:space="preserve">Selected as alternate/complement to customer-sited battery concept, 'S+S Offering,' in order to increase access/equity/options for customers. High CBI score and acceptable SCT also noted. </t>
  </si>
  <si>
    <t>Added to preliminary selection during 7/6 presentation/discussion. Added to increase accessibility for MFU customer classes that historically have had high barriers to access.</t>
  </si>
  <si>
    <t>Total MW Capacity Available for Selection:</t>
  </si>
  <si>
    <t>Total Nameplate MW Selected:</t>
  </si>
  <si>
    <t>7/29:</t>
  </si>
  <si>
    <t>Note:</t>
  </si>
  <si>
    <t>Concept split for each resource, but one CBI score used for purpose of filter</t>
  </si>
  <si>
    <t>Exclude "must take" DER concepts from selection process since these concepts will already be included in the preferred portfolio</t>
  </si>
  <si>
    <t xml:space="preserve">Adjusted market potential to remove any MWs in 2022, except for "must take" DER concepts. Basis for removal by PSE is need for investment in enabling platforms, processes, and resources prior to deployment of DER concepts. </t>
  </si>
  <si>
    <t>Selected</t>
  </si>
  <si>
    <t>Filter for "Solar" resource type to make selection of solar DER concepts</t>
  </si>
  <si>
    <t>Similar to residential version of concept, despite moderate AURORA cost rank and CBI score, sought to better fulfill peak capacity contribution obligation, as well as increase accessibility of customer classes accessible to storage concepts.</t>
  </si>
  <si>
    <t>Total MW Capacity of Solar Concepts</t>
  </si>
  <si>
    <t>Total MW Capacity of Battery Concepts</t>
  </si>
  <si>
    <t>Multi-Family Community Solar</t>
  </si>
  <si>
    <t>Zero/Reduce MWs in 2023-2025, relative to full market potential, for needed capacity and more practical scale of program roll-out by PSE.</t>
  </si>
  <si>
    <t>Zero/Reduce MWs in 2022-2024, relative to full market potential, for needed capacity and more practical scale of program roll-out by PSE.</t>
  </si>
  <si>
    <t>Based on EAG input, specific addition of targeted concept included uniquley for the preferred portfolio.</t>
  </si>
  <si>
    <t>DER Concept #</t>
  </si>
  <si>
    <t>DER Concept</t>
  </si>
  <si>
    <t>Resource</t>
  </si>
  <si>
    <t>Unweighted All CBI Score:</t>
  </si>
  <si>
    <t>Weighted All CBI Score:</t>
  </si>
  <si>
    <t>Prioritized CBI Score:</t>
  </si>
  <si>
    <t>Source:</t>
  </si>
  <si>
    <t>Concept added for purposes of preferred portfolio and increased emphasis on renewable energy concept availability for named communities. This concept shares CBI score with Community Solar - Low Income, but has unique AURORA $/w cost and SCT. As CBI score is identical to Community Solar program concept, not included as additional CBI score for determining average CBI score of all DER program concepts.</t>
  </si>
  <si>
    <t>Average</t>
  </si>
  <si>
    <t>ii</t>
  </si>
  <si>
    <t>iii</t>
  </si>
  <si>
    <t>Suite 6 Preferred Portfolio</t>
  </si>
  <si>
    <t>iv</t>
  </si>
  <si>
    <t>All CBI scores without weighting to prioritized CBIs</t>
  </si>
  <si>
    <t>All CBI scores with weighting to prioritized CBIs</t>
  </si>
  <si>
    <t>Only score with prioritized CBIs</t>
  </si>
  <si>
    <t>v</t>
  </si>
  <si>
    <t>Round-down of average applied to increase DER program concept availability to meet renewable energy and peak capacity contribution</t>
  </si>
  <si>
    <t>Filter by concepts' customer benefit indicator (CBI) score, threshold of greater than or equal to average, rounded down, unweighted CBI score</t>
  </si>
  <si>
    <t>Based on input and direction from EAG, adjustment to unweighted CBI applied to approach, as well as average, rounded down, score as threshold</t>
  </si>
  <si>
    <t>CBI score not included in determining average or median of all DER program concepts since shared CBI score between solar and battery component of concept, therefore only use CBI score once</t>
  </si>
  <si>
    <t>Median Unweighted CBI Score</t>
  </si>
  <si>
    <t>Average Unweighted CBI Score</t>
  </si>
  <si>
    <t>Median Weighted CBI Score</t>
  </si>
  <si>
    <t>Average Weighted CBI Score</t>
  </si>
  <si>
    <t>Average Prioritized CBI Score</t>
  </si>
  <si>
    <t>Program Concepts Available for Preferred Portfolio Selection per Threshold</t>
  </si>
  <si>
    <t>Median Prioritized CBI Score</t>
  </si>
  <si>
    <t>"Must take" DER program concepts for the preferred portfolio</t>
  </si>
  <si>
    <t>Total Concepts</t>
  </si>
  <si>
    <t>Basis for exclusion is prior identification as "Must Take" DER program concepts for the preferred portfolio</t>
  </si>
  <si>
    <t>Refer to final CBI scoring summary for details of scoring for each program concept:</t>
  </si>
  <si>
    <t>Original market potential provided by Black &amp; Veatch, refer to link below for Black &amp; Veatch's cost and market potential report. Note, 2022 market potential applied across years 2023-2025 for all DER program concepts that are not recognized as "Must Take" for preferred portfolio due to enablement work and investments necessary by PSE prior to potential DER program concept inception and enrollment of customers.</t>
  </si>
  <si>
    <t>Tab Performed</t>
  </si>
  <si>
    <t>S6-Summary</t>
  </si>
  <si>
    <t>S6-Filter-Solar and S6-Filter-Battery for distributed solar and distributed battery concepts, respectively</t>
  </si>
  <si>
    <t>S6-Selection</t>
  </si>
  <si>
    <t>Filter by resource type, "Solar" or "Battery" [Performed on tabs, "S6-Filter-Solar" and "S6-Filter Battery"]</t>
  </si>
  <si>
    <t>Filter by CBI score. The DER team established threshold of greater than, or equal, to the mean CBI score, rounded down, for all DER concepts [Performed on tabs, "S6-Filter-Solar" and "S6-Filter Battery"]</t>
  </si>
  <si>
    <r>
      <rPr>
        <b/>
        <sz val="10"/>
        <color rgb="FFFF0000"/>
        <rFont val="Calibri"/>
        <family val="2"/>
        <scheme val="minor"/>
      </rPr>
      <t>i</t>
    </r>
    <r>
      <rPr>
        <sz val="10"/>
        <color theme="1"/>
        <rFont val="Calibri"/>
        <family val="2"/>
        <scheme val="minor"/>
      </rPr>
      <t xml:space="preserve"> - </t>
    </r>
    <r>
      <rPr>
        <b/>
        <sz val="10"/>
        <color rgb="FFFF0000"/>
        <rFont val="Calibri"/>
        <family val="2"/>
        <scheme val="minor"/>
      </rPr>
      <t>v</t>
    </r>
  </si>
  <si>
    <t>Unhide rows 11-19 below for comments:</t>
  </si>
  <si>
    <t>Refer to columns, "Selected", and, "Basis for Selection," for documentation of DER team's selection</t>
  </si>
  <si>
    <t>Filter for "Battery" resource type to make selection of battery DER concepts</t>
  </si>
  <si>
    <t>Round-Down</t>
  </si>
  <si>
    <t>Available Concepts</t>
  </si>
  <si>
    <t>P</t>
  </si>
  <si>
    <t>Program concepts selected for preferred portfolio</t>
  </si>
  <si>
    <t>Filter for CBI score greater than the average, rounded down, CBI score for all DER program concepts. Refer to tab, "CBI" for details of process.</t>
  </si>
  <si>
    <t>https://team/sites/CleanEnergyStrategy/Shared%20Documents/DERs/Programs%20Actions/CEIP%20Final/BV_AppK_DER%20Program%20Concepts%20List_FINAL.xlsx</t>
  </si>
  <si>
    <t>Based on PSE's benefit cost analysis ("BCA") modeling by the DER team</t>
  </si>
  <si>
    <t>Based on modeling and summary fo suites by the DER team and as discussed in CEIP, Chapter 4</t>
  </si>
  <si>
    <t xml:space="preserve">Reference tab, "Approach," developed with input of internal peer adivsory group per discussion on 6/28. </t>
  </si>
  <si>
    <t>Rank all DER program concepts by capacity cost ($/W, as calculated by AURORA), from lowest to highest cost, and use as context for filtering/thresholds basis and selections in subsequent steps of approach</t>
  </si>
  <si>
    <t>Rank all concepts, lowest to highest, by capcity cost ($/W per AURORA)</t>
  </si>
  <si>
    <t>Second lowest capacity cost, third highest SCT, and CBI score. PSE intent for increased access to renewable energy by named communities and multifamily unit residents is also addressed.</t>
  </si>
  <si>
    <t xml:space="preserve">Lowest capacity cost, second highest SCT, and high CBI score. Large market potential to help fulfill renewable energy need. DER team anticipates low barrier to start-up and implementation that can support more customer-owned solar across non-residential customer base. </t>
  </si>
  <si>
    <t>Third lowest capacity cost, highest SCT, and acceptable CBI score. Good market potential and approached by DER team as another option for C&amp;I customers to access solar, as well as a varying approach to ownership model.</t>
  </si>
  <si>
    <t>Other concepts selected first based on better combination of criteria scoring, as well as variation of sited/owned model. Despite large market potential and foruth highest SCT, opted for other concepts to better optimize ownership models, named communities, and sufficient scale and options.</t>
  </si>
  <si>
    <t>Dually selected as storage concept. Highest CBI score and acceptable capacity cost and SCT. Noted by DER team for good market potential and diversifies customer options with a customer-sited/owned concept that offers both renewable energy and peak capacity contribution.</t>
  </si>
  <si>
    <t xml:space="preserve">Selected as alternate/complement to customer-sited solar concept, 'S+S Offering,' for increased access/equity/options for customers. Acceptable CBI score and SCT also noted. </t>
  </si>
  <si>
    <t>Selected as alternate/complement to customer-sited solar concept, 'S+S Offering,' for increased access/equity/options for customers. High CBI score and acceptable SCT also noted. income-eligible option is intended to increase classes of customers that can participate with PSE-owned model intended to lower barriers and incentivize targeted customers.</t>
  </si>
  <si>
    <t>High cpacity cost outweighshighest SCT and acceptable CBI score. The DER team noted no benchmarks in the industry and cited potential challenge in implementation of concept and ownership structure, and therefore, reliance on third parties to fulfill peak capacity obligations. Therefore, the DER team opted for other concepts that could fulfill peak capacity contribution and provide variety of sited/owned models.</t>
  </si>
  <si>
    <t>Lowest capacity cost and CBI score offset by low market potential so other concepts sought to better fulfill peak capacity contribution obligation, as well as increase accessibility of customer classes.</t>
  </si>
  <si>
    <t>Dually selected as a solar concept. High CBI score and second lowest capacity cost with acceptable SCT. Customer-sited/owned model that provides access to renewables, back-up power, as well as peak capacity contribution for PSE.</t>
  </si>
  <si>
    <t>Despite high capacity cost, DER team noted acceptable SCT and CBI scores, as well as high market potential to help satisfy peak capacity contribution obligation. Concept provides flexibility for broader storage deployment and incentives for C&amp;I program participation. Through a PSE-owned approach, the DER team noted further flexibility in lowering barriers for access and increasing potential community access in local outage events.</t>
  </si>
  <si>
    <t>Selected as alternate/complement to customer-sited battery concept, 'S+S Offering,' in order to increase access/equity/options for customers. High CBI score and acceptable SCT also noted. Income-eligible option is intended to increase classes of customers that can participate with PSE-owned model intended to lower barrier of cost for customers by providnig option to lease.</t>
  </si>
  <si>
    <t>https://team/sites/CleanEnergyStrategy/Shared%20Documents/DERs/Programs%20Actions/CEIP%20Final/Appendix%20D-3_DER%20CBI%20Scoring.xlsx</t>
  </si>
  <si>
    <t>https://team/sites/CleanEnergyStrategy/Shared%20Documents/DERs/Programs%20Actions/CEIP%20Final/Appendix%20K_BV%20DER%20Program%20Concepts%20List.xlsx</t>
  </si>
  <si>
    <t>Concept</t>
  </si>
  <si>
    <t>Description</t>
  </si>
  <si>
    <t>Rated Capacity (kW-AC)</t>
  </si>
  <si>
    <t>BESS Duration (hours)</t>
  </si>
  <si>
    <t>Program Life (yr)</t>
  </si>
  <si>
    <t>Utility Cost ($/kW-Yr)</t>
  </si>
  <si>
    <t>Participant Cost ($/kW-Yr)</t>
  </si>
  <si>
    <t>Third-Party C&amp;I BESS PPA</t>
  </si>
  <si>
    <t>Third Party</t>
  </si>
  <si>
    <t>Third-Party Utility-Scale BESS PPA</t>
  </si>
  <si>
    <t>C&amp;I BESS Incentive</t>
  </si>
  <si>
    <t>Customer</t>
  </si>
  <si>
    <t>C&amp;I BESS Space Lease</t>
  </si>
  <si>
    <t>-</t>
  </si>
  <si>
    <t>Multifamily BESS Incentive</t>
  </si>
  <si>
    <t>PSE Mobile BESS</t>
  </si>
  <si>
    <t>PSE Substation BESS</t>
  </si>
  <si>
    <t>PSE Utility-Scale BESS</t>
  </si>
  <si>
    <t>Residential BESS Incentive</t>
  </si>
  <si>
    <t>Residential BESS Lease</t>
  </si>
  <si>
    <t>Residential BESS Lease - Vulnerable</t>
  </si>
  <si>
    <t>C&amp;I BYOB</t>
  </si>
  <si>
    <t>Solar Rent-to- Own – Vulnerable/Low Income</t>
  </si>
  <si>
    <r>
      <rPr>
        <sz val="11"/>
        <rFont val="Calibri"/>
        <family val="2"/>
        <scheme val="minor"/>
      </rPr>
      <t>PSE Community Solar / Multifamily
Shared Solar</t>
    </r>
  </si>
  <si>
    <r>
      <rPr>
        <sz val="11"/>
        <rFont val="Calibri"/>
        <family val="2"/>
        <scheme val="minor"/>
      </rPr>
      <t>-</t>
    </r>
  </si>
  <si>
    <r>
      <rPr>
        <sz val="11"/>
        <rFont val="Calibri"/>
        <family val="2"/>
        <scheme val="minor"/>
      </rPr>
      <t>$164 /
$31</t>
    </r>
  </si>
  <si>
    <r>
      <rPr>
        <sz val="11"/>
        <rFont val="Calibri"/>
        <family val="2"/>
        <scheme val="minor"/>
      </rPr>
      <t>Customer</t>
    </r>
  </si>
  <si>
    <r>
      <rPr>
        <sz val="11"/>
        <rFont val="Calibri"/>
        <family val="2"/>
        <scheme val="minor"/>
      </rPr>
      <t>PSE Shared Solar
– Vulnerable Population/Low Income</t>
    </r>
  </si>
  <si>
    <r>
      <rPr>
        <sz val="11"/>
        <rFont val="Calibri"/>
        <family val="2"/>
        <scheme val="minor"/>
      </rPr>
      <t>Third-Party C&amp;l Solar PPA</t>
    </r>
  </si>
  <si>
    <r>
      <rPr>
        <sz val="11"/>
        <rFont val="Calibri"/>
        <family val="2"/>
        <scheme val="minor"/>
      </rPr>
      <t>Third Party</t>
    </r>
  </si>
  <si>
    <r>
      <rPr>
        <sz val="11"/>
        <rFont val="Calibri"/>
        <family val="2"/>
        <scheme val="minor"/>
      </rPr>
      <t>C&amp;I Solar Incentive</t>
    </r>
  </si>
  <si>
    <r>
      <rPr>
        <sz val="11"/>
        <rFont val="Calibri"/>
        <family val="2"/>
        <scheme val="minor"/>
      </rPr>
      <t>C&amp;I Solar Roof Lease</t>
    </r>
  </si>
  <si>
    <r>
      <rPr>
        <sz val="11"/>
        <rFont val="Calibri"/>
        <family val="2"/>
        <scheme val="minor"/>
      </rPr>
      <t>Multifamily Solar Partnership</t>
    </r>
  </si>
  <si>
    <r>
      <rPr>
        <sz val="11"/>
        <rFont val="Calibri"/>
        <family val="2"/>
        <scheme val="minor"/>
      </rPr>
      <t>Multifamily Solar Incentive</t>
    </r>
  </si>
  <si>
    <r>
      <rPr>
        <sz val="11"/>
        <rFont val="Calibri"/>
        <family val="2"/>
        <scheme val="minor"/>
      </rPr>
      <t>Residential Solar and BESS Incentive</t>
    </r>
  </si>
  <si>
    <r>
      <rPr>
        <sz val="11"/>
        <rFont val="Calibri"/>
        <family val="2"/>
        <scheme val="minor"/>
      </rPr>
      <t>Residential Solar Roof Lease</t>
    </r>
  </si>
  <si>
    <r>
      <rPr>
        <sz val="11"/>
        <rFont val="Calibri"/>
        <family val="2"/>
        <scheme val="minor"/>
      </rPr>
      <t>Residential Solar Roof Lease - Vulnerable</t>
    </r>
  </si>
  <si>
    <t>B&amp;V Program Name</t>
  </si>
  <si>
    <t>Match?</t>
  </si>
  <si>
    <t>Y</t>
  </si>
  <si>
    <t>N</t>
  </si>
  <si>
    <t>UC-CAPEX</t>
  </si>
  <si>
    <t>UC-OPEX</t>
  </si>
  <si>
    <t>UC-Programmatic</t>
  </si>
  <si>
    <t>PC-CAPEX</t>
  </si>
  <si>
    <t>PC-OPEX</t>
  </si>
  <si>
    <t>PC-Participant</t>
  </si>
  <si>
    <t>Grand Total</t>
  </si>
  <si>
    <t>Average of UC-CAPEX</t>
  </si>
  <si>
    <t>Average of PC-CAPEX</t>
  </si>
  <si>
    <t>Summary Program Name</t>
  </si>
  <si>
    <t>Not selected</t>
  </si>
  <si>
    <t>Summary ID</t>
  </si>
  <si>
    <t>Multi-family Community Solar</t>
  </si>
  <si>
    <t>B&amp;V #</t>
  </si>
  <si>
    <t>PSE Customer-Sited Solar+Storage Offering (Solar)</t>
  </si>
  <si>
    <t>PSE Customer-Sited Solar+Storage Offering (Battery)</t>
  </si>
  <si>
    <t>Residential Solar and BESS Incentive</t>
  </si>
  <si>
    <t>19a</t>
  </si>
  <si>
    <t>19b</t>
  </si>
  <si>
    <t>6 Solar</t>
  </si>
  <si>
    <t>Average of AURORA $/Watt Cost</t>
  </si>
  <si>
    <t>Average of SCT</t>
  </si>
  <si>
    <t>Average of Unweighted All CBI Score:</t>
  </si>
  <si>
    <t>Column Labels</t>
  </si>
  <si>
    <t>Average of 2022</t>
  </si>
  <si>
    <t>Average of 2023</t>
  </si>
  <si>
    <t>Average of 2024</t>
  </si>
  <si>
    <t>Average of 2025</t>
  </si>
  <si>
    <t>Average of 2026</t>
  </si>
  <si>
    <t>Average of 2027</t>
  </si>
  <si>
    <t>Average of 2028</t>
  </si>
  <si>
    <t>Average of 2029</t>
  </si>
  <si>
    <t>Average of 2030</t>
  </si>
  <si>
    <t>Equivalent DER #</t>
  </si>
  <si>
    <t>Analysis Summary</t>
  </si>
  <si>
    <t>Capacity Cost Comparison</t>
  </si>
  <si>
    <t>Capital Expense Comparison</t>
  </si>
  <si>
    <t>Societal Cost Test Comparison</t>
  </si>
  <si>
    <t>Customer Benefit Indicator Score Comparison</t>
  </si>
  <si>
    <t>Achievable Market Potential Comparison</t>
  </si>
  <si>
    <t>Summary Table (Excluding Adopted)</t>
  </si>
  <si>
    <t>Summary Table (Including Adopted)</t>
  </si>
  <si>
    <t>Overview of Programmatic and Resource Cost Per Site</t>
  </si>
  <si>
    <t>The tables below merges data from the Black &amp; Veatch (B&amp;V) programmatic and resource cost analysis, B&amp;V achievable market potential analysis, AURORA capacity cost analysis, Societal Cost Test (SCT) results, and Customer Benefit Indicator (CBI) scoring results. This summary table excludes adopted programs (net metering and community solar).</t>
  </si>
  <si>
    <t>The tables below merges data from the Black &amp; Veatch (B&amp;V) programmatic and resource cost analysis, B&amp;V achievable market potential analysis, AURORA capacity cost analysis, Societal Cost Test (SCT) results, and Customer Benefit Indicator (CBI) scoring results.</t>
  </si>
  <si>
    <t>The table below was retrieved from Appendix K of PSE's CEIP: Table 1-1-2 of Black &amp; Veatch's DER Cost and Market Potential Assessment report.</t>
  </si>
  <si>
    <t>The tables and charts below categorize the findings of the Black &amp; Veatch (B&amp;V) programmatic and resource cost analysis, B&amp;V achievable market potential analysis, AURORA capacity cost analysis, Societal Cost Test (SCT) results, and Customer Benefit Indicator (CBI) scoring results. The tables and charts below compare these findings by resource type (solar and battery) and utility preference (selected and not selected for the preferred portfolio).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</si>
</sst>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4" formatCode="_(&quot;$&quot;* #,##0.00_);_(&quot;$&quot;* \(#,##0.00\);_(&quot;$&quot;* &quot;-&quot;??_);_(@_)"/>
    <numFmt numFmtId="43" formatCode="_(* #,##0.00_);_(* \(#,##0.00\);_(* &quot;-&quot;??_);_(@_)"/>
    <numFmt numFmtId="164" formatCode="_(* #,##0.000_);_(* \(#,##0.000\);_(* &quot;-&quot;???_);_(@_)"/>
    <numFmt numFmtId="165" formatCode="0.000"/>
    <numFmt numFmtId="166" formatCode="_(* #,##0.00_);_(* \(#,##0.00\);_(* &quot;-&quot;???_);_(@_)"/>
  </numFmts>
  <fonts count="26" x14ac:knownFonts="1">
    <font>
      <sz val="11"/>
      <color theme="1"/>
      <name val="Calibri"/>
      <family val="2"/>
      <scheme val="minor"/>
    </font>
    <font>
      <sz val="10"/>
      <color theme="1"/>
      <name val="Calibri"/>
      <family val="2"/>
      <scheme val="minor"/>
    </font>
    <font>
      <b/>
      <i/>
      <sz val="10"/>
      <color theme="1"/>
      <name val="Calibri"/>
      <family val="2"/>
      <scheme val="minor"/>
    </font>
    <font>
      <b/>
      <sz val="10"/>
      <color rgb="FFFF0000"/>
      <name val="Calibri"/>
      <family val="2"/>
      <scheme val="minor"/>
    </font>
    <font>
      <b/>
      <sz val="10"/>
      <color theme="1"/>
      <name val="Calibri"/>
      <family val="2"/>
      <scheme val="minor"/>
    </font>
    <font>
      <u/>
      <sz val="11"/>
      <color theme="10"/>
      <name val="Calibri"/>
      <family val="2"/>
      <scheme val="minor"/>
    </font>
    <font>
      <sz val="10"/>
      <color rgb="FFFF0000"/>
      <name val="Calibri"/>
      <family val="2"/>
      <scheme val="minor"/>
    </font>
    <font>
      <i/>
      <sz val="10"/>
      <color theme="1"/>
      <name val="Calibri"/>
      <family val="2"/>
      <scheme val="minor"/>
    </font>
    <font>
      <sz val="8"/>
      <color theme="1"/>
      <name val="Calibri"/>
      <family val="2"/>
      <scheme val="minor"/>
    </font>
    <font>
      <u/>
      <sz val="10"/>
      <color theme="10"/>
      <name val="Calibri"/>
      <family val="2"/>
      <scheme val="minor"/>
    </font>
    <font>
      <sz val="10"/>
      <color theme="1"/>
      <name val="Wingdings 2"/>
      <family val="1"/>
      <charset val="2"/>
    </font>
    <font>
      <sz val="10"/>
      <color rgb="FFFF0000"/>
      <name val="Wingdings 2"/>
      <family val="1"/>
      <charset val="2"/>
    </font>
    <font>
      <sz val="10"/>
      <name val="Wingdings 2"/>
      <family val="1"/>
      <charset val="2"/>
    </font>
    <font>
      <sz val="10"/>
      <name val="Calibri"/>
      <family val="2"/>
      <scheme val="minor"/>
    </font>
    <font>
      <sz val="11"/>
      <color theme="1"/>
      <name val="Calibri"/>
      <family val="2"/>
      <scheme val="minor"/>
    </font>
    <font>
      <sz val="11"/>
      <color theme="0"/>
      <name val="Calibri"/>
      <family val="2"/>
      <scheme val="minor"/>
    </font>
    <font>
      <sz val="11"/>
      <name val="Calibri"/>
      <family val="2"/>
      <scheme val="minor"/>
    </font>
    <font>
      <sz val="9"/>
      <color indexed="81"/>
      <name val="Tahoma"/>
      <family val="2"/>
    </font>
    <font>
      <b/>
      <sz val="9"/>
      <color indexed="81"/>
      <name val="Tahoma"/>
      <family val="2"/>
    </font>
    <font>
      <b/>
      <sz val="11"/>
      <color theme="0"/>
      <name val="Calibri"/>
      <family val="2"/>
      <scheme val="minor"/>
    </font>
    <font>
      <sz val="11"/>
      <color rgb="FFFF0000"/>
      <name val="Calibri"/>
      <family val="2"/>
      <scheme val="minor"/>
    </font>
    <font>
      <sz val="11"/>
      <color rgb="FFC00000"/>
      <name val="Calibri"/>
      <family val="2"/>
      <scheme val="minor"/>
    </font>
    <font>
      <sz val="10"/>
      <color rgb="FFC00000"/>
      <name val="Calibri"/>
      <family val="2"/>
      <scheme val="minor"/>
    </font>
    <font>
      <b/>
      <sz val="10"/>
      <color theme="0"/>
      <name val="Calibri"/>
      <family val="2"/>
      <scheme val="minor"/>
    </font>
    <font>
      <b/>
      <sz val="15"/>
      <color theme="3"/>
      <name val="Calibri"/>
      <family val="2"/>
      <scheme val="minor"/>
    </font>
    <font>
      <b/>
      <sz val="36"/>
      <color theme="0"/>
      <name val="Calibri"/>
      <family val="2"/>
      <scheme val="minor"/>
    </font>
  </fonts>
  <fills count="9">
    <fill>
      <patternFill patternType="none"/>
    </fill>
    <fill>
      <patternFill patternType="gray125"/>
    </fill>
    <fill>
      <patternFill patternType="solid">
        <fgColor theme="9" tint="0.79998168889431442"/>
        <bgColor indexed="64"/>
      </patternFill>
    </fill>
    <fill>
      <patternFill patternType="solid">
        <fgColor theme="6"/>
      </patternFill>
    </fill>
    <fill>
      <patternFill patternType="solid">
        <fgColor theme="6" tint="0.59999389629810485"/>
        <bgColor indexed="65"/>
      </patternFill>
    </fill>
    <fill>
      <patternFill patternType="solid">
        <fgColor rgb="FFFFFF00"/>
        <bgColor indexed="64"/>
      </patternFill>
    </fill>
    <fill>
      <patternFill patternType="solid">
        <fgColor theme="6"/>
        <bgColor theme="6"/>
      </patternFill>
    </fill>
    <fill>
      <patternFill patternType="solid">
        <fgColor theme="6" tint="0.79998168889431442"/>
        <bgColor theme="6" tint="0.79998168889431442"/>
      </patternFill>
    </fill>
    <fill>
      <patternFill patternType="solid">
        <fgColor theme="8"/>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right style="thin">
        <color theme="6" tint="0.39997558519241921"/>
      </right>
      <top style="thin">
        <color theme="6" tint="0.39997558519241921"/>
      </top>
      <bottom style="thin">
        <color theme="6" tint="0.39997558519241921"/>
      </bottom>
      <diagonal/>
    </border>
    <border>
      <left style="thin">
        <color theme="6" tint="0.39997558519241921"/>
      </left>
      <right/>
      <top style="thin">
        <color theme="6" tint="0.39997558519241921"/>
      </top>
      <bottom/>
      <diagonal/>
    </border>
    <border>
      <left/>
      <right/>
      <top style="thin">
        <color theme="6" tint="0.39997558519241921"/>
      </top>
      <bottom/>
      <diagonal/>
    </border>
    <border>
      <left/>
      <right style="thin">
        <color theme="6" tint="0.39997558519241921"/>
      </right>
      <top style="thin">
        <color theme="6" tint="0.39997558519241921"/>
      </top>
      <bottom/>
      <diagonal/>
    </border>
    <border>
      <left/>
      <right/>
      <top/>
      <bottom style="thick">
        <color theme="4"/>
      </bottom>
      <diagonal/>
    </border>
  </borders>
  <cellStyleXfs count="8">
    <xf numFmtId="0" fontId="0" fillId="0" borderId="0"/>
    <xf numFmtId="0" fontId="5" fillId="0" borderId="0" applyNumberForma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0" fontId="15" fillId="3" borderId="0" applyNumberFormat="0" applyBorder="0" applyAlignment="0" applyProtection="0"/>
    <xf numFmtId="0" fontId="14" fillId="4" borderId="0" applyNumberFormat="0" applyBorder="0" applyAlignment="0" applyProtection="0"/>
    <xf numFmtId="0" fontId="24" fillId="0" borderId="16" applyNumberFormat="0" applyFill="0" applyAlignment="0" applyProtection="0"/>
    <xf numFmtId="0" fontId="15" fillId="8" borderId="0" applyNumberFormat="0" applyBorder="0" applyAlignment="0" applyProtection="0"/>
  </cellStyleXfs>
  <cellXfs count="165">
    <xf numFmtId="0" fontId="0" fillId="0" borderId="0" xfId="0"/>
    <xf numFmtId="0" fontId="1" fillId="0" borderId="0" xfId="0" applyFont="1" applyAlignment="1">
      <alignment vertical="center"/>
    </xf>
    <xf numFmtId="0" fontId="1" fillId="0" borderId="0" xfId="0" applyFont="1" applyAlignment="1">
      <alignment vertical="center" wrapText="1"/>
    </xf>
    <xf numFmtId="0" fontId="1" fillId="0" borderId="0" xfId="0" applyFont="1"/>
    <xf numFmtId="0" fontId="2" fillId="0" borderId="0" xfId="0" applyFont="1" applyAlignment="1">
      <alignment vertical="center" wrapText="1"/>
    </xf>
    <xf numFmtId="0" fontId="2" fillId="0" borderId="0" xfId="0" applyFont="1" applyAlignment="1">
      <alignment vertical="center"/>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0" fontId="1" fillId="0" borderId="0" xfId="0" applyFont="1" applyFill="1" applyAlignment="1">
      <alignment vertical="center"/>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164" fontId="1" fillId="0" borderId="1" xfId="0" applyNumberFormat="1" applyFont="1" applyBorder="1" applyAlignment="1">
      <alignment vertical="center"/>
    </xf>
    <xf numFmtId="0" fontId="3" fillId="0" borderId="0" xfId="0" applyFont="1" applyAlignment="1">
      <alignment horizontal="center" vertical="center"/>
    </xf>
    <xf numFmtId="0" fontId="4" fillId="0" borderId="0" xfId="0" applyFont="1" applyAlignment="1">
      <alignment horizontal="center" vertical="center" wrapText="1"/>
    </xf>
    <xf numFmtId="41" fontId="1" fillId="0" borderId="1" xfId="0" applyNumberFormat="1" applyFont="1" applyBorder="1" applyAlignment="1">
      <alignment vertical="center" wrapText="1"/>
    </xf>
    <xf numFmtId="164" fontId="1" fillId="0" borderId="1" xfId="0" applyNumberFormat="1" applyFont="1" applyBorder="1" applyAlignment="1">
      <alignment vertical="center" wrapText="1"/>
    </xf>
    <xf numFmtId="43" fontId="4"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164" fontId="1" fillId="2" borderId="1"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wrapText="1"/>
    </xf>
    <xf numFmtId="164" fontId="6" fillId="2" borderId="1" xfId="0" applyNumberFormat="1" applyFont="1" applyFill="1" applyBorder="1" applyAlignment="1">
      <alignment horizontal="center" vertical="center" wrapText="1"/>
    </xf>
    <xf numFmtId="0" fontId="4" fillId="0" borderId="0" xfId="0" applyFont="1" applyAlignment="1">
      <alignment horizontal="center" vertical="center"/>
    </xf>
    <xf numFmtId="0" fontId="1" fillId="0" borderId="0" xfId="0" applyFont="1" applyAlignment="1">
      <alignment horizontal="center" vertical="center"/>
    </xf>
    <xf numFmtId="164" fontId="1" fillId="2" borderId="6" xfId="0" applyNumberFormat="1" applyFont="1" applyFill="1" applyBorder="1" applyAlignment="1">
      <alignment horizontal="center" vertical="center" wrapText="1"/>
    </xf>
    <xf numFmtId="164" fontId="1" fillId="0" borderId="6" xfId="0" applyNumberFormat="1" applyFont="1" applyBorder="1" applyAlignment="1">
      <alignment horizontal="center" vertical="center" wrapText="1"/>
    </xf>
    <xf numFmtId="164" fontId="1" fillId="0" borderId="6" xfId="0" applyNumberFormat="1" applyFont="1" applyFill="1" applyBorder="1" applyAlignment="1">
      <alignment horizontal="center" vertical="center" wrapText="1"/>
    </xf>
    <xf numFmtId="164" fontId="1" fillId="0" borderId="1" xfId="0" applyNumberFormat="1" applyFont="1" applyBorder="1" applyAlignment="1">
      <alignment horizontal="left" vertical="center" wrapText="1"/>
    </xf>
    <xf numFmtId="164" fontId="1" fillId="0" borderId="1" xfId="0" applyNumberFormat="1" applyFont="1" applyFill="1" applyBorder="1" applyAlignment="1">
      <alignment horizontal="left" vertical="center" wrapText="1"/>
    </xf>
    <xf numFmtId="0" fontId="4" fillId="0" borderId="4" xfId="0" applyFont="1" applyBorder="1" applyAlignment="1">
      <alignment horizontal="center" vertical="center" wrapText="1"/>
    </xf>
    <xf numFmtId="0" fontId="7"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164" fontId="4" fillId="0" borderId="0" xfId="0" applyNumberFormat="1" applyFont="1" applyAlignment="1">
      <alignment vertical="center" wrapText="1"/>
    </xf>
    <xf numFmtId="164" fontId="1" fillId="0" borderId="0" xfId="0" applyNumberFormat="1" applyFont="1" applyAlignment="1">
      <alignment vertical="center" wrapText="1"/>
    </xf>
    <xf numFmtId="164" fontId="6" fillId="0" borderId="1" xfId="0" applyNumberFormat="1" applyFont="1" applyBorder="1" applyAlignment="1">
      <alignment vertical="center" wrapText="1"/>
    </xf>
    <xf numFmtId="44" fontId="1" fillId="2" borderId="1" xfId="0" applyNumberFormat="1" applyFont="1" applyFill="1" applyBorder="1" applyAlignment="1">
      <alignment horizontal="center" vertical="center" wrapText="1"/>
    </xf>
    <xf numFmtId="44" fontId="1" fillId="0" borderId="1" xfId="0" applyNumberFormat="1" applyFont="1" applyBorder="1" applyAlignment="1">
      <alignment horizontal="center" vertical="center" wrapText="1"/>
    </xf>
    <xf numFmtId="164" fontId="1" fillId="0" borderId="6" xfId="0" applyNumberFormat="1" applyFont="1" applyBorder="1" applyAlignment="1">
      <alignment vertical="center" wrapText="1"/>
    </xf>
    <xf numFmtId="0" fontId="1" fillId="0" borderId="1" xfId="0" applyFont="1" applyBorder="1" applyAlignment="1">
      <alignment horizontal="center" vertical="center" wrapText="1"/>
    </xf>
    <xf numFmtId="44" fontId="1" fillId="0" borderId="1" xfId="0" applyNumberFormat="1" applyFont="1" applyBorder="1" applyAlignment="1">
      <alignment vertical="center" wrapText="1"/>
    </xf>
    <xf numFmtId="164" fontId="8" fillId="2" borderId="3" xfId="0" applyNumberFormat="1" applyFont="1" applyFill="1" applyBorder="1" applyAlignment="1">
      <alignment horizontal="left" vertical="center" wrapText="1"/>
    </xf>
    <xf numFmtId="164" fontId="8" fillId="0" borderId="1" xfId="0" applyNumberFormat="1" applyFont="1" applyBorder="1" applyAlignment="1">
      <alignment horizontal="left" vertical="center" wrapText="1"/>
    </xf>
    <xf numFmtId="0" fontId="4" fillId="0" borderId="1" xfId="0" applyFont="1" applyFill="1" applyBorder="1" applyAlignment="1">
      <alignment horizontal="center" vertical="center" wrapText="1"/>
    </xf>
    <xf numFmtId="0" fontId="8" fillId="0" borderId="1" xfId="0" applyFont="1" applyBorder="1" applyAlignment="1">
      <alignment vertical="center" wrapText="1"/>
    </xf>
    <xf numFmtId="0" fontId="1" fillId="0" borderId="0" xfId="0" applyFont="1" applyAlignment="1">
      <alignment horizontal="center" vertical="center" wrapText="1"/>
    </xf>
    <xf numFmtId="0" fontId="1" fillId="0" borderId="0" xfId="0" applyFont="1" applyAlignment="1">
      <alignment horizontal="left" vertical="center"/>
    </xf>
    <xf numFmtId="0" fontId="1" fillId="0" borderId="0" xfId="0" quotePrefix="1" applyFont="1" applyAlignment="1">
      <alignment horizontal="center" vertical="center" wrapText="1"/>
    </xf>
    <xf numFmtId="165" fontId="1" fillId="0" borderId="0" xfId="0" applyNumberFormat="1" applyFont="1" applyAlignment="1">
      <alignment vertical="center" wrapText="1"/>
    </xf>
    <xf numFmtId="0" fontId="1" fillId="0" borderId="4" xfId="0" applyFont="1" applyBorder="1" applyAlignment="1">
      <alignment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NumberFormat="1" applyFont="1" applyFill="1" applyBorder="1" applyAlignment="1">
      <alignment horizontal="center" vertical="center" wrapText="1"/>
    </xf>
    <xf numFmtId="165" fontId="1" fillId="2" borderId="1" xfId="0" applyNumberFormat="1" applyFont="1" applyFill="1" applyBorder="1" applyAlignment="1">
      <alignment horizontal="center" vertical="center" wrapText="1"/>
    </xf>
    <xf numFmtId="0" fontId="1" fillId="0" borderId="1" xfId="0" applyNumberFormat="1" applyFont="1" applyBorder="1" applyAlignment="1">
      <alignment horizontal="center" vertical="center" wrapText="1"/>
    </xf>
    <xf numFmtId="165" fontId="1" fillId="0" borderId="1" xfId="0" applyNumberFormat="1" applyFont="1" applyBorder="1" applyAlignment="1">
      <alignment horizontal="center" vertical="center" wrapText="1"/>
    </xf>
    <xf numFmtId="0" fontId="1" fillId="0" borderId="0" xfId="0" applyFont="1" applyAlignment="1">
      <alignment horizontal="right" vertical="center"/>
    </xf>
    <xf numFmtId="0" fontId="4" fillId="0" borderId="0" xfId="0" applyFont="1" applyAlignment="1">
      <alignment horizontal="right" vertical="center"/>
    </xf>
    <xf numFmtId="0" fontId="4" fillId="0" borderId="0" xfId="0" applyFont="1" applyBorder="1" applyAlignment="1">
      <alignment vertical="center" wrapText="1"/>
    </xf>
    <xf numFmtId="0" fontId="1" fillId="0" borderId="0" xfId="0" applyFont="1" applyBorder="1" applyAlignment="1">
      <alignment vertical="center" wrapText="1"/>
    </xf>
    <xf numFmtId="0" fontId="8" fillId="0" borderId="1" xfId="0" applyFont="1" applyFill="1" applyBorder="1" applyAlignment="1">
      <alignment vertical="center" wrapText="1"/>
    </xf>
    <xf numFmtId="43" fontId="1" fillId="0" borderId="0" xfId="0" applyNumberFormat="1" applyFont="1" applyAlignment="1">
      <alignment vertical="center"/>
    </xf>
    <xf numFmtId="0" fontId="6" fillId="0" borderId="0" xfId="0" applyFont="1" applyAlignment="1">
      <alignment horizontal="center" vertical="center"/>
    </xf>
    <xf numFmtId="0" fontId="6" fillId="0" borderId="0" xfId="0" applyFont="1" applyBorder="1" applyAlignment="1">
      <alignment vertical="center" wrapText="1"/>
    </xf>
    <xf numFmtId="0" fontId="3" fillId="0" borderId="4" xfId="0" applyFont="1" applyBorder="1" applyAlignment="1">
      <alignment horizontal="center" vertical="center" wrapText="1"/>
    </xf>
    <xf numFmtId="0" fontId="9" fillId="0" borderId="0" xfId="1" applyFont="1" applyAlignment="1">
      <alignment vertical="center"/>
    </xf>
    <xf numFmtId="0" fontId="1" fillId="0" borderId="0" xfId="0" applyFont="1" applyAlignment="1">
      <alignment vertical="center" wrapText="1"/>
    </xf>
    <xf numFmtId="0" fontId="1" fillId="0" borderId="1" xfId="0" applyFont="1" applyBorder="1" applyAlignment="1">
      <alignment horizontal="center" vertical="center" wrapText="1"/>
    </xf>
    <xf numFmtId="166" fontId="1" fillId="0" borderId="1" xfId="0" applyNumberFormat="1" applyFont="1" applyBorder="1" applyAlignment="1">
      <alignment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164" fontId="13" fillId="0" borderId="1" xfId="0" applyNumberFormat="1" applyFont="1" applyBorder="1" applyAlignment="1">
      <alignment horizontal="center" vertical="center" wrapText="1"/>
    </xf>
    <xf numFmtId="164" fontId="13" fillId="0" borderId="1" xfId="0" applyNumberFormat="1" applyFont="1" applyBorder="1" applyAlignment="1">
      <alignment vertical="center" wrapText="1"/>
    </xf>
    <xf numFmtId="0" fontId="1" fillId="0" borderId="2"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2"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0" xfId="0" applyFont="1"/>
    <xf numFmtId="0" fontId="14" fillId="4" borderId="0" xfId="5"/>
    <xf numFmtId="0" fontId="15" fillId="3" borderId="0" xfId="4"/>
    <xf numFmtId="44" fontId="0" fillId="0" borderId="0" xfId="3" applyFont="1"/>
    <xf numFmtId="0" fontId="0" fillId="0" borderId="0" xfId="2" applyNumberFormat="1" applyFont="1"/>
    <xf numFmtId="0" fontId="0" fillId="0" borderId="0" xfId="0" applyNumberFormat="1" applyFont="1"/>
    <xf numFmtId="0" fontId="4" fillId="0" borderId="9" xfId="0" applyFont="1" applyFill="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0" fillId="4" borderId="0" xfId="5" applyFont="1"/>
    <xf numFmtId="0" fontId="0" fillId="0" borderId="0" xfId="0" applyNumberFormat="1"/>
    <xf numFmtId="0" fontId="0" fillId="0" borderId="0" xfId="0" pivotButton="1"/>
    <xf numFmtId="0" fontId="0" fillId="0" borderId="0" xfId="0" applyAlignment="1">
      <alignment horizontal="left"/>
    </xf>
    <xf numFmtId="0" fontId="4" fillId="5"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vertical="center"/>
    </xf>
    <xf numFmtId="0" fontId="1" fillId="0" borderId="3" xfId="0" applyFont="1" applyBorder="1" applyAlignment="1">
      <alignment vertical="center"/>
    </xf>
    <xf numFmtId="0" fontId="1" fillId="0" borderId="2" xfId="0" applyFont="1" applyFill="1" applyBorder="1" applyAlignment="1">
      <alignment vertical="center" wrapText="1"/>
    </xf>
    <xf numFmtId="0" fontId="1" fillId="0" borderId="2" xfId="0" applyFont="1" applyFill="1" applyBorder="1" applyAlignment="1">
      <alignment vertical="center"/>
    </xf>
    <xf numFmtId="0" fontId="1" fillId="0" borderId="3" xfId="0" applyFont="1" applyFill="1" applyBorder="1" applyAlignment="1">
      <alignment vertical="center"/>
    </xf>
    <xf numFmtId="0" fontId="13" fillId="0" borderId="1" xfId="0" applyFont="1" applyFill="1" applyBorder="1" applyAlignment="1">
      <alignment horizontal="center" vertical="center"/>
    </xf>
    <xf numFmtId="0" fontId="21" fillId="0" borderId="0" xfId="0" applyFont="1"/>
    <xf numFmtId="0" fontId="21" fillId="0" borderId="0" xfId="2" applyNumberFormat="1" applyFont="1"/>
    <xf numFmtId="0" fontId="21" fillId="0" borderId="0" xfId="0" applyNumberFormat="1" applyFont="1"/>
    <xf numFmtId="44" fontId="21" fillId="0" borderId="0" xfId="3" applyFont="1"/>
    <xf numFmtId="0" fontId="22" fillId="0" borderId="0" xfId="0" applyFont="1" applyAlignment="1">
      <alignment horizontal="center" vertical="center" wrapText="1"/>
    </xf>
    <xf numFmtId="0" fontId="0" fillId="0" borderId="10" xfId="0" applyFont="1" applyBorder="1"/>
    <xf numFmtId="0" fontId="0" fillId="0" borderId="11" xfId="0" applyFont="1" applyBorder="1"/>
    <xf numFmtId="44" fontId="0" fillId="0" borderId="11" xfId="3" applyNumberFormat="1" applyFont="1" applyBorder="1"/>
    <xf numFmtId="0" fontId="0" fillId="0" borderId="12" xfId="0" applyFont="1" applyBorder="1"/>
    <xf numFmtId="41" fontId="1" fillId="0" borderId="11" xfId="0" applyNumberFormat="1" applyFont="1" applyBorder="1" applyAlignment="1">
      <alignment vertical="center" wrapText="1"/>
    </xf>
    <xf numFmtId="0" fontId="19" fillId="6" borderId="13" xfId="0" applyFont="1" applyFill="1" applyBorder="1"/>
    <xf numFmtId="0" fontId="19" fillId="3" borderId="14" xfId="4" applyFont="1" applyFill="1" applyBorder="1" applyAlignment="1">
      <alignment horizontal="center" vertical="center" wrapText="1"/>
    </xf>
    <xf numFmtId="0" fontId="19" fillId="3" borderId="14" xfId="4" applyFont="1" applyFill="1" applyBorder="1" applyAlignment="1">
      <alignment wrapText="1"/>
    </xf>
    <xf numFmtId="0" fontId="23" fillId="6" borderId="14" xfId="0" applyFont="1" applyFill="1" applyBorder="1" applyAlignment="1">
      <alignment horizontal="center" vertical="center" wrapText="1"/>
    </xf>
    <xf numFmtId="0" fontId="23" fillId="6" borderId="15" xfId="0" applyFont="1" applyFill="1" applyBorder="1" applyAlignment="1">
      <alignment horizontal="center" vertical="center" wrapText="1"/>
    </xf>
    <xf numFmtId="0" fontId="0" fillId="7" borderId="13" xfId="0" applyFont="1" applyFill="1" applyBorder="1"/>
    <xf numFmtId="0" fontId="0" fillId="7" borderId="14" xfId="0" applyFont="1" applyFill="1" applyBorder="1"/>
    <xf numFmtId="44" fontId="0" fillId="7" borderId="14" xfId="3" applyNumberFormat="1" applyFont="1" applyFill="1" applyBorder="1"/>
    <xf numFmtId="41" fontId="1" fillId="7" borderId="14" xfId="0" applyNumberFormat="1" applyFont="1" applyFill="1" applyBorder="1" applyAlignment="1">
      <alignment vertical="center" wrapText="1"/>
    </xf>
    <xf numFmtId="0" fontId="0" fillId="7" borderId="15" xfId="0" applyFont="1" applyFill="1" applyBorder="1"/>
    <xf numFmtId="0" fontId="0" fillId="0" borderId="13" xfId="0" applyFont="1" applyBorder="1"/>
    <xf numFmtId="0" fontId="0" fillId="0" borderId="14" xfId="0" applyFont="1" applyBorder="1"/>
    <xf numFmtId="41" fontId="1" fillId="0" borderId="14" xfId="0" applyNumberFormat="1" applyFont="1" applyBorder="1" applyAlignment="1">
      <alignment vertical="center" wrapText="1"/>
    </xf>
    <xf numFmtId="0" fontId="0" fillId="0" borderId="15" xfId="0" applyFont="1" applyBorder="1"/>
    <xf numFmtId="0" fontId="20" fillId="0" borderId="14" xfId="0" applyFont="1" applyBorder="1"/>
    <xf numFmtId="44" fontId="0" fillId="7" borderId="14" xfId="3" applyFont="1" applyFill="1" applyBorder="1"/>
    <xf numFmtId="0" fontId="1" fillId="0" borderId="1" xfId="0" applyFont="1" applyBorder="1" applyAlignment="1">
      <alignment horizontal="center" vertical="center" wrapText="1"/>
    </xf>
    <xf numFmtId="0" fontId="0" fillId="0" borderId="1" xfId="0" applyBorder="1"/>
    <xf numFmtId="0" fontId="1" fillId="0" borderId="1" xfId="0" applyFont="1" applyFill="1" applyBorder="1" applyAlignment="1">
      <alignment horizontal="center" vertical="center"/>
    </xf>
    <xf numFmtId="2" fontId="0" fillId="0" borderId="0" xfId="0" applyNumberFormat="1"/>
    <xf numFmtId="1" fontId="0" fillId="0" borderId="0" xfId="0" applyNumberFormat="1"/>
    <xf numFmtId="0" fontId="0" fillId="0" borderId="0" xfId="0" applyAlignment="1">
      <alignment horizontal="left" indent="1"/>
    </xf>
    <xf numFmtId="0" fontId="15" fillId="8" borderId="0" xfId="7"/>
    <xf numFmtId="0" fontId="24" fillId="0" borderId="16" xfId="6"/>
    <xf numFmtId="0" fontId="25" fillId="8" borderId="0" xfId="7" applyFont="1" applyAlignment="1">
      <alignment horizontal="left"/>
    </xf>
    <xf numFmtId="0" fontId="24" fillId="0" borderId="16" xfId="6" applyNumberFormat="1"/>
    <xf numFmtId="0" fontId="24" fillId="0" borderId="16" xfId="6" applyAlignment="1">
      <alignment horizontal="left"/>
    </xf>
    <xf numFmtId="0" fontId="20" fillId="0" borderId="13" xfId="0" applyFont="1" applyBorder="1"/>
    <xf numFmtId="0" fontId="20" fillId="7" borderId="14" xfId="0" applyFont="1" applyFill="1" applyBorder="1"/>
    <xf numFmtId="44" fontId="20" fillId="7" borderId="14" xfId="3" applyFont="1" applyFill="1" applyBorder="1"/>
    <xf numFmtId="41" fontId="6" fillId="0" borderId="14" xfId="0" applyNumberFormat="1" applyFont="1" applyBorder="1" applyAlignment="1">
      <alignment vertical="center" wrapText="1"/>
    </xf>
    <xf numFmtId="0" fontId="20" fillId="0" borderId="15" xfId="0" applyFont="1" applyBorder="1"/>
    <xf numFmtId="0" fontId="15" fillId="8" borderId="0" xfId="7" applyAlignment="1">
      <alignment horizontal="left" wrapText="1"/>
    </xf>
    <xf numFmtId="0" fontId="15" fillId="3" borderId="0" xfId="4" applyAlignment="1">
      <alignment horizontal="center"/>
    </xf>
    <xf numFmtId="0" fontId="4" fillId="0" borderId="1" xfId="0" applyFont="1" applyBorder="1" applyAlignment="1">
      <alignment horizontal="center" vertical="center"/>
    </xf>
    <xf numFmtId="0" fontId="1" fillId="0" borderId="0" xfId="0" applyFont="1" applyAlignment="1">
      <alignment horizontal="center" vertical="center" wrapText="1"/>
    </xf>
    <xf numFmtId="0" fontId="3" fillId="0" borderId="4" xfId="0" applyFont="1" applyBorder="1" applyAlignment="1">
      <alignment horizontal="center" vertical="center" wrapText="1"/>
    </xf>
    <xf numFmtId="0" fontId="1" fillId="0" borderId="0" xfId="0" applyFont="1" applyAlignment="1">
      <alignment vertical="center" wrapText="1"/>
    </xf>
    <xf numFmtId="0" fontId="1" fillId="0" borderId="4" xfId="0" applyFont="1" applyBorder="1" applyAlignment="1">
      <alignment horizontal="center" vertical="center" wrapText="1"/>
    </xf>
    <xf numFmtId="0" fontId="4" fillId="0" borderId="8" xfId="0" applyFont="1" applyBorder="1" applyAlignment="1">
      <alignment horizontal="center" vertic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xf>
  </cellXfs>
  <cellStyles count="8">
    <cellStyle name="40% - Accent3" xfId="5" builtinId="39"/>
    <cellStyle name="Accent3" xfId="4" builtinId="37"/>
    <cellStyle name="Accent5" xfId="7" builtinId="45"/>
    <cellStyle name="Comma" xfId="2" builtinId="3"/>
    <cellStyle name="Currency" xfId="3" builtinId="4"/>
    <cellStyle name="Heading 1" xfId="6" builtinId="16"/>
    <cellStyle name="Hyperlink" xfId="1" builtinId="8"/>
    <cellStyle name="Normal" xfId="0" builtinId="0"/>
  </cellStyles>
  <dxfs count="19">
    <dxf>
      <fill>
        <patternFill>
          <bgColor theme="9" tint="0.59996337778862885"/>
        </patternFill>
      </fill>
    </dxf>
    <dxf>
      <fill>
        <patternFill>
          <bgColor theme="9" tint="0.59996337778862885"/>
        </patternFill>
      </fill>
    </dxf>
    <dxf>
      <numFmt numFmtId="1" formatCode="0"/>
    </dxf>
    <dxf>
      <numFmt numFmtId="170" formatCode="0.0"/>
    </dxf>
    <dxf>
      <numFmt numFmtId="2" formatCode="0.00"/>
    </dxf>
    <dxf>
      <numFmt numFmtId="1" formatCode="0"/>
    </dxf>
    <dxf>
      <numFmt numFmtId="170" formatCode="0.0"/>
    </dxf>
    <dxf>
      <numFmt numFmtId="2" formatCode="0.00"/>
    </dxf>
    <dxf>
      <numFmt numFmtId="2" formatCode="0.00"/>
    </dxf>
    <dxf>
      <numFmt numFmtId="165" formatCode="0.000"/>
    </dxf>
    <dxf>
      <numFmt numFmtId="167" formatCode="0.0000"/>
    </dxf>
    <dxf>
      <numFmt numFmtId="168" formatCode="0.00000"/>
    </dxf>
    <dxf>
      <numFmt numFmtId="169" formatCode="0.000000"/>
    </dxf>
    <dxf>
      <numFmt numFmtId="168" formatCode="0.00000"/>
    </dxf>
    <dxf>
      <numFmt numFmtId="167" formatCode="0.0000"/>
    </dxf>
    <dxf>
      <numFmt numFmtId="165" formatCode="0.000"/>
    </dxf>
    <dxf>
      <numFmt numFmtId="2" formatCode="0.00"/>
    </dxf>
    <dxf>
      <numFmt numFmtId="170" formatCode="0.0"/>
    </dxf>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[210795 PSE CEIP Draft PC Comments_Appendix-B-Cost-Analysis.xlsx]Analysis Summary!PivotTable2</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pivotFmt>
    </c:pivotFmts>
    <c:plotArea>
      <c:layout/>
      <c:barChart>
        <c:barDir val="bar"/>
        <c:grouping val="stacked"/>
        <c:varyColors val="0"/>
        <c:ser>
          <c:idx val="0"/>
          <c:order val="0"/>
          <c:tx>
            <c:strRef>
              <c:f>'Analysis Summary'!$C$10:$C$11</c:f>
              <c:strCache>
                <c:ptCount val="1"/>
                <c:pt idx="0">
                  <c:v>Not selected</c:v>
                </c:pt>
              </c:strCache>
            </c:strRef>
          </c:tx>
          <c:spPr>
            <a:solidFill>
              <a:schemeClr val="accent1"/>
            </a:solidFill>
            <a:ln>
              <a:noFill/>
            </a:ln>
            <a:effectLst/>
          </c:spPr>
          <c:invertIfNegative val="0"/>
          <c:cat>
            <c:strRef>
              <c:f>'Analysis Summary'!$B$12:$B$16</c:f>
              <c:strCache>
                <c:ptCount val="4"/>
                <c:pt idx="0">
                  <c:v>Multi-family Community Solar</c:v>
                </c:pt>
                <c:pt idx="1">
                  <c:v>C&amp;I Roof-top Solar Leasing</c:v>
                </c:pt>
                <c:pt idx="2">
                  <c:v>Residential Roof-top Solar Leasing</c:v>
                </c:pt>
                <c:pt idx="3">
                  <c:v>Residential Roof-top Solar Leasing - Low Income</c:v>
                </c:pt>
              </c:strCache>
            </c:strRef>
          </c:cat>
          <c:val>
            <c:numRef>
              <c:f>'Analysis Summary'!$C$12:$C$16</c:f>
              <c:numCache>
                <c:formatCode>General</c:formatCode>
                <c:ptCount val="4"/>
                <c:pt idx="0">
                  <c:v>1408</c:v>
                </c:pt>
                <c:pt idx="1">
                  <c:v>2162</c:v>
                </c:pt>
              </c:numCache>
            </c:numRef>
          </c:val>
          <c:extLst>
            <c:ext xmlns:c16="http://schemas.microsoft.com/office/drawing/2014/chart" uri="{C3380CC4-5D6E-409C-BE32-E72D297353CC}">
              <c16:uniqueId val="{00000000-4A09-4BC1-9473-639AA35FD29D}"/>
            </c:ext>
          </c:extLst>
        </c:ser>
        <c:ser>
          <c:idx val="1"/>
          <c:order val="1"/>
          <c:tx>
            <c:strRef>
              <c:f>'Analysis Summary'!$D$10:$D$11</c:f>
              <c:strCache>
                <c:ptCount val="1"/>
                <c:pt idx="0">
                  <c:v>Selected</c:v>
                </c:pt>
              </c:strCache>
            </c:strRef>
          </c:tx>
          <c:spPr>
            <a:solidFill>
              <a:schemeClr val="accent2"/>
            </a:solidFill>
            <a:ln>
              <a:noFill/>
            </a:ln>
            <a:effectLst/>
          </c:spPr>
          <c:invertIfNegative val="0"/>
          <c:cat>
            <c:strRef>
              <c:f>'Analysis Summary'!$B$12:$B$16</c:f>
              <c:strCache>
                <c:ptCount val="4"/>
                <c:pt idx="0">
                  <c:v>Multi-family Community Solar</c:v>
                </c:pt>
                <c:pt idx="1">
                  <c:v>C&amp;I Roof-top Solar Leasing</c:v>
                </c:pt>
                <c:pt idx="2">
                  <c:v>Residential Roof-top Solar Leasing</c:v>
                </c:pt>
                <c:pt idx="3">
                  <c:v>Residential Roof-top Solar Leasing - Low Income</c:v>
                </c:pt>
              </c:strCache>
            </c:strRef>
          </c:cat>
          <c:val>
            <c:numRef>
              <c:f>'Analysis Summary'!$D$12:$D$16</c:f>
              <c:numCache>
                <c:formatCode>General</c:formatCode>
                <c:ptCount val="4"/>
                <c:pt idx="2">
                  <c:v>3547</c:v>
                </c:pt>
                <c:pt idx="3">
                  <c:v>4439</c:v>
                </c:pt>
              </c:numCache>
            </c:numRef>
          </c:val>
          <c:extLst>
            <c:ext xmlns:c16="http://schemas.microsoft.com/office/drawing/2014/chart" uri="{C3380CC4-5D6E-409C-BE32-E72D297353CC}">
              <c16:uniqueId val="{00000001-4A09-4BC1-9473-639AA35FD29D}"/>
            </c:ext>
          </c:extLst>
        </c:ser>
        <c:dLbls>
          <c:showLegendKey val="0"/>
          <c:showVal val="0"/>
          <c:showCatName val="0"/>
          <c:showSerName val="0"/>
          <c:showPercent val="0"/>
          <c:showBubbleSize val="0"/>
        </c:dLbls>
        <c:gapWidth val="182"/>
        <c:overlap val="100"/>
        <c:axId val="548291936"/>
        <c:axId val="548292264"/>
      </c:barChart>
      <c:catAx>
        <c:axId val="5482919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8292264"/>
        <c:crosses val="autoZero"/>
        <c:auto val="1"/>
        <c:lblAlgn val="ctr"/>
        <c:lblOffset val="100"/>
        <c:noMultiLvlLbl val="0"/>
      </c:catAx>
      <c:valAx>
        <c:axId val="548292264"/>
        <c:scaling>
          <c:orientation val="minMax"/>
          <c:max val="45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Utility</a:t>
                </a:r>
                <a:r>
                  <a:rPr lang="en-US" baseline="0"/>
                  <a:t> Cost (</a:t>
                </a:r>
                <a:r>
                  <a:rPr lang="en-US"/>
                  <a:t>$/kW-Yr)</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8291936"/>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[210795 PSE CEIP Draft PC Comments_Appendix-B-Cost-Analysis.xlsx]Analysis Summary!PivotTable11</c:name>
    <c:fmtId val="38"/>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s>
    <c:plotArea>
      <c:layout/>
      <c:barChart>
        <c:barDir val="bar"/>
        <c:grouping val="clustered"/>
        <c:varyColors val="0"/>
        <c:ser>
          <c:idx val="0"/>
          <c:order val="0"/>
          <c:tx>
            <c:strRef>
              <c:f>'Analysis Summary'!$C$168:$C$169</c:f>
              <c:strCache>
                <c:ptCount val="1"/>
                <c:pt idx="0">
                  <c:v>Not selected</c:v>
                </c:pt>
              </c:strCache>
            </c:strRef>
          </c:tx>
          <c:spPr>
            <a:solidFill>
              <a:schemeClr val="accent1"/>
            </a:solidFill>
            <a:ln>
              <a:noFill/>
            </a:ln>
            <a:effectLst/>
          </c:spPr>
          <c:invertIfNegative val="0"/>
          <c:cat>
            <c:strRef>
              <c:f>'Analysis Summary'!$B$170:$B$183</c:f>
              <c:strCache>
                <c:ptCount val="13"/>
                <c:pt idx="0">
                  <c:v>PSE Mobile Batteries</c:v>
                </c:pt>
                <c:pt idx="1">
                  <c:v>PSE Substation Batteries</c:v>
                </c:pt>
                <c:pt idx="2">
                  <c:v>C&amp;I Battery Install Incentive</c:v>
                </c:pt>
                <c:pt idx="3">
                  <c:v>C&amp;I Battery BYO</c:v>
                </c:pt>
                <c:pt idx="4">
                  <c:v>3rd Party Utility-scale Distributed Battery PPA</c:v>
                </c:pt>
                <c:pt idx="5">
                  <c:v>PSE Utility-Scale Distributed Battery Stations</c:v>
                </c:pt>
                <c:pt idx="6">
                  <c:v>Residential Battery Install Incentive</c:v>
                </c:pt>
                <c:pt idx="7">
                  <c:v>3rd Party Customer-Sited Distributed Battery PPA</c:v>
                </c:pt>
                <c:pt idx="8">
                  <c:v>Multi-Family Unit Battery Program</c:v>
                </c:pt>
                <c:pt idx="9">
                  <c:v>C&amp;I Space Leasing for Batteries</c:v>
                </c:pt>
                <c:pt idx="10">
                  <c:v>PSE Customer-Sited Solar+Storage Offering (Battery)</c:v>
                </c:pt>
                <c:pt idx="11">
                  <c:v>Residential PSE Battery Leasing</c:v>
                </c:pt>
                <c:pt idx="12">
                  <c:v>Residential PSE Battery Leasing - Low Income</c:v>
                </c:pt>
              </c:strCache>
            </c:strRef>
          </c:cat>
          <c:val>
            <c:numRef>
              <c:f>'Analysis Summary'!$C$170:$C$183</c:f>
              <c:numCache>
                <c:formatCode>General</c:formatCode>
                <c:ptCount val="13"/>
                <c:pt idx="0">
                  <c:v>12</c:v>
                </c:pt>
                <c:pt idx="1">
                  <c:v>12</c:v>
                </c:pt>
                <c:pt idx="2">
                  <c:v>13</c:v>
                </c:pt>
                <c:pt idx="3">
                  <c:v>13</c:v>
                </c:pt>
                <c:pt idx="4">
                  <c:v>14</c:v>
                </c:pt>
                <c:pt idx="5">
                  <c:v>14</c:v>
                </c:pt>
                <c:pt idx="6">
                  <c:v>15</c:v>
                </c:pt>
                <c:pt idx="7">
                  <c:v>16</c:v>
                </c:pt>
                <c:pt idx="8">
                  <c:v>17</c:v>
                </c:pt>
              </c:numCache>
            </c:numRef>
          </c:val>
          <c:extLst>
            <c:ext xmlns:c16="http://schemas.microsoft.com/office/drawing/2014/chart" uri="{C3380CC4-5D6E-409C-BE32-E72D297353CC}">
              <c16:uniqueId val="{00000000-6F34-47F4-8E32-2BCE0094A757}"/>
            </c:ext>
          </c:extLst>
        </c:ser>
        <c:ser>
          <c:idx val="1"/>
          <c:order val="1"/>
          <c:tx>
            <c:strRef>
              <c:f>'Analysis Summary'!$D$168:$D$169</c:f>
              <c:strCache>
                <c:ptCount val="1"/>
                <c:pt idx="0">
                  <c:v>Selected</c:v>
                </c:pt>
              </c:strCache>
            </c:strRef>
          </c:tx>
          <c:spPr>
            <a:solidFill>
              <a:schemeClr val="accent2"/>
            </a:solidFill>
            <a:ln>
              <a:noFill/>
            </a:ln>
            <a:effectLst/>
          </c:spPr>
          <c:invertIfNegative val="0"/>
          <c:cat>
            <c:strRef>
              <c:f>'Analysis Summary'!$B$170:$B$183</c:f>
              <c:strCache>
                <c:ptCount val="13"/>
                <c:pt idx="0">
                  <c:v>PSE Mobile Batteries</c:v>
                </c:pt>
                <c:pt idx="1">
                  <c:v>PSE Substation Batteries</c:v>
                </c:pt>
                <c:pt idx="2">
                  <c:v>C&amp;I Battery Install Incentive</c:v>
                </c:pt>
                <c:pt idx="3">
                  <c:v>C&amp;I Battery BYO</c:v>
                </c:pt>
                <c:pt idx="4">
                  <c:v>3rd Party Utility-scale Distributed Battery PPA</c:v>
                </c:pt>
                <c:pt idx="5">
                  <c:v>PSE Utility-Scale Distributed Battery Stations</c:v>
                </c:pt>
                <c:pt idx="6">
                  <c:v>Residential Battery Install Incentive</c:v>
                </c:pt>
                <c:pt idx="7">
                  <c:v>3rd Party Customer-Sited Distributed Battery PPA</c:v>
                </c:pt>
                <c:pt idx="8">
                  <c:v>Multi-Family Unit Battery Program</c:v>
                </c:pt>
                <c:pt idx="9">
                  <c:v>C&amp;I Space Leasing for Batteries</c:v>
                </c:pt>
                <c:pt idx="10">
                  <c:v>PSE Customer-Sited Solar+Storage Offering (Battery)</c:v>
                </c:pt>
                <c:pt idx="11">
                  <c:v>Residential PSE Battery Leasing</c:v>
                </c:pt>
                <c:pt idx="12">
                  <c:v>Residential PSE Battery Leasing - Low Income</c:v>
                </c:pt>
              </c:strCache>
            </c:strRef>
          </c:cat>
          <c:val>
            <c:numRef>
              <c:f>'Analysis Summary'!$D$170:$D$183</c:f>
              <c:numCache>
                <c:formatCode>General</c:formatCode>
                <c:ptCount val="13"/>
                <c:pt idx="9">
                  <c:v>17</c:v>
                </c:pt>
                <c:pt idx="10">
                  <c:v>19</c:v>
                </c:pt>
                <c:pt idx="11">
                  <c:v>19</c:v>
                </c:pt>
                <c:pt idx="12">
                  <c:v>20</c:v>
                </c:pt>
              </c:numCache>
            </c:numRef>
          </c:val>
          <c:extLst>
            <c:ext xmlns:c16="http://schemas.microsoft.com/office/drawing/2014/chart" uri="{C3380CC4-5D6E-409C-BE32-E72D297353CC}">
              <c16:uniqueId val="{00000001-6F34-47F4-8E32-2BCE0094A757}"/>
            </c:ext>
          </c:extLst>
        </c:ser>
        <c:dLbls>
          <c:showLegendKey val="0"/>
          <c:showVal val="0"/>
          <c:showCatName val="0"/>
          <c:showSerName val="0"/>
          <c:showPercent val="0"/>
          <c:showBubbleSize val="0"/>
        </c:dLbls>
        <c:gapWidth val="182"/>
        <c:axId val="658830920"/>
        <c:axId val="658836496"/>
      </c:barChart>
      <c:catAx>
        <c:axId val="6588309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8836496"/>
        <c:crosses val="autoZero"/>
        <c:auto val="1"/>
        <c:lblAlgn val="ctr"/>
        <c:lblOffset val="100"/>
        <c:noMultiLvlLbl val="0"/>
      </c:catAx>
      <c:valAx>
        <c:axId val="658836496"/>
        <c:scaling>
          <c:orientation val="minMax"/>
          <c:max val="2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883092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pivotSource>
    <c:name>[210795 PSE CEIP Draft PC Comments_Appendix-B-Cost-Analysis.xlsx]Analysis Summary!PivotTable12</c:name>
    <c:fmtId val="48"/>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1"/>
          </a:solidFill>
          <a:ln>
            <a:noFill/>
          </a:ln>
          <a:effectLst/>
        </c:spPr>
        <c:marker>
          <c:symbol val="none"/>
        </c:marker>
      </c:pivotFmt>
      <c:pivotFmt>
        <c:idx val="25"/>
        <c:spPr>
          <a:solidFill>
            <a:schemeClr val="accent1"/>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1"/>
          </a:solidFill>
          <a:ln>
            <a:noFill/>
          </a:ln>
          <a:effectLst/>
        </c:spPr>
        <c:marker>
          <c:symbol val="none"/>
        </c:marker>
      </c:pivotFmt>
      <c:pivotFmt>
        <c:idx val="28"/>
        <c:spPr>
          <a:solidFill>
            <a:schemeClr val="accent1"/>
          </a:solidFill>
          <a:ln>
            <a:noFill/>
          </a:ln>
          <a:effectLst/>
        </c:spPr>
        <c:marker>
          <c:symbol val="none"/>
        </c:marker>
      </c:pivotFmt>
      <c:pivotFmt>
        <c:idx val="29"/>
        <c:spPr>
          <a:solidFill>
            <a:schemeClr val="accent1"/>
          </a:solidFill>
          <a:ln>
            <a:noFill/>
          </a:ln>
          <a:effectLst/>
        </c:spPr>
        <c:marker>
          <c:symbol val="none"/>
        </c:marker>
      </c:pivotFmt>
      <c:pivotFmt>
        <c:idx val="30"/>
        <c:spPr>
          <a:solidFill>
            <a:schemeClr val="accent1"/>
          </a:solidFill>
          <a:ln>
            <a:noFill/>
          </a:ln>
          <a:effectLst/>
        </c:spPr>
        <c:marker>
          <c:symbol val="none"/>
        </c:marker>
      </c:pivotFmt>
      <c:pivotFmt>
        <c:idx val="31"/>
        <c:spPr>
          <a:solidFill>
            <a:schemeClr val="accent1"/>
          </a:solidFill>
          <a:ln>
            <a:noFill/>
          </a:ln>
          <a:effectLst/>
        </c:spPr>
        <c:marker>
          <c:symbol val="none"/>
        </c:marker>
      </c:pivotFmt>
      <c:pivotFmt>
        <c:idx val="32"/>
        <c:spPr>
          <a:solidFill>
            <a:schemeClr val="accent1"/>
          </a:solidFill>
          <a:ln>
            <a:noFill/>
          </a:ln>
          <a:effectLst/>
        </c:spPr>
        <c:marker>
          <c:symbol val="none"/>
        </c:marker>
      </c:pivotFmt>
      <c:pivotFmt>
        <c:idx val="33"/>
        <c:spPr>
          <a:solidFill>
            <a:schemeClr val="accent1"/>
          </a:solidFill>
          <a:ln>
            <a:noFill/>
          </a:ln>
          <a:effectLst/>
        </c:spPr>
        <c:marker>
          <c:symbol val="none"/>
        </c:marker>
      </c:pivotFmt>
      <c:pivotFmt>
        <c:idx val="34"/>
        <c:spPr>
          <a:solidFill>
            <a:schemeClr val="accent1"/>
          </a:solidFill>
          <a:ln>
            <a:noFill/>
          </a:ln>
          <a:effectLst/>
        </c:spPr>
        <c:marker>
          <c:symbol val="none"/>
        </c:marker>
      </c:pivotFmt>
      <c:pivotFmt>
        <c:idx val="35"/>
        <c:spPr>
          <a:solidFill>
            <a:schemeClr val="accent1"/>
          </a:solidFill>
          <a:ln>
            <a:noFill/>
          </a:ln>
          <a:effectLst/>
        </c:spPr>
        <c:marker>
          <c:symbol val="none"/>
        </c:marker>
      </c:pivotFmt>
      <c:pivotFmt>
        <c:idx val="36"/>
        <c:spPr>
          <a:solidFill>
            <a:schemeClr val="accent1"/>
          </a:solidFill>
          <a:ln>
            <a:noFill/>
          </a:ln>
          <a:effectLst/>
        </c:spPr>
        <c:marker>
          <c:symbol val="none"/>
        </c:marker>
      </c:pivotFmt>
      <c:pivotFmt>
        <c:idx val="37"/>
        <c:spPr>
          <a:solidFill>
            <a:schemeClr val="accent1"/>
          </a:solidFill>
          <a:ln>
            <a:noFill/>
          </a:ln>
          <a:effectLst/>
        </c:spPr>
        <c:marker>
          <c:symbol val="none"/>
        </c:marker>
      </c:pivotFmt>
      <c:pivotFmt>
        <c:idx val="38"/>
        <c:spPr>
          <a:solidFill>
            <a:schemeClr val="accent1"/>
          </a:solidFill>
          <a:ln>
            <a:noFill/>
          </a:ln>
          <a:effectLst/>
        </c:spPr>
        <c:marker>
          <c:symbol val="none"/>
        </c:marker>
      </c:pivotFmt>
      <c:pivotFmt>
        <c:idx val="39"/>
        <c:spPr>
          <a:solidFill>
            <a:schemeClr val="accent1"/>
          </a:solidFill>
          <a:ln>
            <a:noFill/>
          </a:ln>
          <a:effectLst/>
        </c:spPr>
        <c:marker>
          <c:symbol val="none"/>
        </c:marker>
      </c:pivotFmt>
      <c:pivotFmt>
        <c:idx val="40"/>
        <c:spPr>
          <a:solidFill>
            <a:schemeClr val="accent1"/>
          </a:solidFill>
          <a:ln>
            <a:noFill/>
          </a:ln>
          <a:effectLst/>
        </c:spPr>
        <c:marker>
          <c:symbol val="none"/>
        </c:marker>
      </c:pivotFmt>
      <c:pivotFmt>
        <c:idx val="41"/>
        <c:spPr>
          <a:solidFill>
            <a:schemeClr val="accent1"/>
          </a:solidFill>
          <a:ln>
            <a:noFill/>
          </a:ln>
          <a:effectLst/>
        </c:spPr>
        <c:marker>
          <c:symbol val="none"/>
        </c:marker>
      </c:pivotFmt>
      <c:pivotFmt>
        <c:idx val="42"/>
        <c:spPr>
          <a:solidFill>
            <a:schemeClr val="accent1"/>
          </a:solidFill>
          <a:ln>
            <a:noFill/>
          </a:ln>
          <a:effectLst/>
        </c:spPr>
        <c:marker>
          <c:symbol val="none"/>
        </c:marker>
      </c:pivotFmt>
      <c:pivotFmt>
        <c:idx val="43"/>
        <c:spPr>
          <a:solidFill>
            <a:schemeClr val="accent1"/>
          </a:solidFill>
          <a:ln>
            <a:noFill/>
          </a:ln>
          <a:effectLst/>
        </c:spPr>
        <c:marker>
          <c:symbol val="none"/>
        </c:marker>
      </c:pivotFmt>
      <c:pivotFmt>
        <c:idx val="44"/>
        <c:spPr>
          <a:solidFill>
            <a:schemeClr val="accent1"/>
          </a:solidFill>
          <a:ln>
            <a:noFill/>
          </a:ln>
          <a:effectLst/>
        </c:spPr>
        <c:marker>
          <c:symbol val="none"/>
        </c:marker>
      </c:pivotFmt>
      <c:pivotFmt>
        <c:idx val="45"/>
        <c:spPr>
          <a:solidFill>
            <a:schemeClr val="accent1"/>
          </a:solidFill>
          <a:ln>
            <a:noFill/>
          </a:ln>
          <a:effectLst/>
        </c:spPr>
        <c:marker>
          <c:symbol val="none"/>
        </c:marker>
      </c:pivotFmt>
      <c:pivotFmt>
        <c:idx val="46"/>
        <c:spPr>
          <a:solidFill>
            <a:schemeClr val="accent1"/>
          </a:solidFill>
          <a:ln>
            <a:noFill/>
          </a:ln>
          <a:effectLst/>
        </c:spPr>
        <c:marker>
          <c:symbol val="none"/>
        </c:marker>
      </c:pivotFmt>
      <c:pivotFmt>
        <c:idx val="47"/>
        <c:spPr>
          <a:solidFill>
            <a:schemeClr val="accent1"/>
          </a:solidFill>
          <a:ln>
            <a:noFill/>
          </a:ln>
          <a:effectLst/>
        </c:spPr>
        <c:marker>
          <c:symbol val="none"/>
        </c:marker>
      </c:pivotFmt>
      <c:pivotFmt>
        <c:idx val="48"/>
        <c:spPr>
          <a:solidFill>
            <a:schemeClr val="accent1"/>
          </a:solidFill>
          <a:ln>
            <a:noFill/>
          </a:ln>
          <a:effectLst/>
        </c:spPr>
        <c:marker>
          <c:symbol val="none"/>
        </c:marker>
      </c:pivotFmt>
      <c:pivotFmt>
        <c:idx val="49"/>
        <c:spPr>
          <a:solidFill>
            <a:schemeClr val="accent1"/>
          </a:solidFill>
          <a:ln>
            <a:noFill/>
          </a:ln>
          <a:effectLst/>
        </c:spPr>
        <c:marker>
          <c:symbol val="none"/>
        </c:marker>
      </c:pivotFmt>
      <c:pivotFmt>
        <c:idx val="50"/>
        <c:spPr>
          <a:solidFill>
            <a:schemeClr val="accent1"/>
          </a:solidFill>
          <a:ln>
            <a:noFill/>
          </a:ln>
          <a:effectLst/>
        </c:spPr>
        <c:marker>
          <c:symbol val="none"/>
        </c:marker>
      </c:pivotFmt>
      <c:pivotFmt>
        <c:idx val="51"/>
        <c:spPr>
          <a:solidFill>
            <a:schemeClr val="accent1"/>
          </a:solidFill>
          <a:ln>
            <a:noFill/>
          </a:ln>
          <a:effectLst/>
        </c:spPr>
        <c:marker>
          <c:symbol val="none"/>
        </c:marker>
      </c:pivotFmt>
      <c:pivotFmt>
        <c:idx val="52"/>
        <c:spPr>
          <a:solidFill>
            <a:schemeClr val="accent1"/>
          </a:solidFill>
          <a:ln>
            <a:noFill/>
          </a:ln>
          <a:effectLst/>
        </c:spPr>
        <c:marker>
          <c:symbol val="none"/>
        </c:marker>
      </c:pivotFmt>
      <c:pivotFmt>
        <c:idx val="53"/>
        <c:spPr>
          <a:solidFill>
            <a:schemeClr val="accent1"/>
          </a:solidFill>
          <a:ln>
            <a:noFill/>
          </a:ln>
          <a:effectLst/>
        </c:spPr>
        <c:marker>
          <c:symbol val="none"/>
        </c:marker>
      </c:pivotFmt>
      <c:pivotFmt>
        <c:idx val="54"/>
        <c:spPr>
          <a:solidFill>
            <a:schemeClr val="accent1"/>
          </a:solidFill>
          <a:ln>
            <a:noFill/>
          </a:ln>
          <a:effectLst/>
        </c:spPr>
        <c:marker>
          <c:symbol val="none"/>
        </c:marker>
      </c:pivotFmt>
      <c:pivotFmt>
        <c:idx val="55"/>
        <c:spPr>
          <a:solidFill>
            <a:schemeClr val="accent1"/>
          </a:solidFill>
          <a:ln>
            <a:noFill/>
          </a:ln>
          <a:effectLst/>
        </c:spPr>
        <c:marker>
          <c:symbol val="none"/>
        </c:marker>
      </c:pivotFmt>
      <c:pivotFmt>
        <c:idx val="56"/>
        <c:spPr>
          <a:solidFill>
            <a:schemeClr val="accent1"/>
          </a:solidFill>
          <a:ln>
            <a:noFill/>
          </a:ln>
          <a:effectLst/>
        </c:spPr>
        <c:marker>
          <c:symbol val="none"/>
        </c:marker>
      </c:pivotFmt>
      <c:pivotFmt>
        <c:idx val="57"/>
        <c:spPr>
          <a:solidFill>
            <a:schemeClr val="accent1"/>
          </a:solidFill>
          <a:ln>
            <a:noFill/>
          </a:ln>
          <a:effectLst/>
        </c:spPr>
        <c:marker>
          <c:symbol val="none"/>
        </c:marker>
      </c:pivotFmt>
      <c:pivotFmt>
        <c:idx val="58"/>
        <c:spPr>
          <a:solidFill>
            <a:schemeClr val="accent1"/>
          </a:solidFill>
          <a:ln>
            <a:noFill/>
          </a:ln>
          <a:effectLst/>
        </c:spPr>
        <c:marker>
          <c:symbol val="none"/>
        </c:marker>
      </c:pivotFmt>
      <c:pivotFmt>
        <c:idx val="59"/>
        <c:spPr>
          <a:solidFill>
            <a:schemeClr val="accent1"/>
          </a:solidFill>
          <a:ln>
            <a:noFill/>
          </a:ln>
          <a:effectLst/>
        </c:spPr>
        <c:marker>
          <c:symbol val="none"/>
        </c:marker>
      </c:pivotFmt>
      <c:pivotFmt>
        <c:idx val="60"/>
        <c:spPr>
          <a:solidFill>
            <a:schemeClr val="accent1"/>
          </a:solidFill>
          <a:ln>
            <a:noFill/>
          </a:ln>
          <a:effectLst/>
        </c:spPr>
        <c:marker>
          <c:symbol val="none"/>
        </c:marker>
      </c:pivotFmt>
      <c:pivotFmt>
        <c:idx val="61"/>
        <c:spPr>
          <a:solidFill>
            <a:schemeClr val="accent1"/>
          </a:solidFill>
          <a:ln>
            <a:noFill/>
          </a:ln>
          <a:effectLst/>
        </c:spPr>
        <c:marker>
          <c:symbol val="none"/>
        </c:marker>
      </c:pivotFmt>
      <c:pivotFmt>
        <c:idx val="62"/>
        <c:spPr>
          <a:solidFill>
            <a:schemeClr val="accent1"/>
          </a:solidFill>
          <a:ln>
            <a:noFill/>
          </a:ln>
          <a:effectLst/>
        </c:spPr>
        <c:marker>
          <c:symbol val="none"/>
        </c:marker>
      </c:pivotFmt>
      <c:pivotFmt>
        <c:idx val="63"/>
        <c:spPr>
          <a:solidFill>
            <a:schemeClr val="accent1"/>
          </a:solidFill>
          <a:ln>
            <a:noFill/>
          </a:ln>
          <a:effectLst/>
        </c:spPr>
        <c:marker>
          <c:symbol val="none"/>
        </c:marker>
      </c:pivotFmt>
      <c:pivotFmt>
        <c:idx val="64"/>
        <c:spPr>
          <a:solidFill>
            <a:schemeClr val="accent1"/>
          </a:solidFill>
          <a:ln>
            <a:noFill/>
          </a:ln>
          <a:effectLst/>
        </c:spPr>
        <c:marker>
          <c:symbol val="none"/>
        </c:marker>
      </c:pivotFmt>
      <c:pivotFmt>
        <c:idx val="65"/>
        <c:spPr>
          <a:solidFill>
            <a:schemeClr val="accent1"/>
          </a:solidFill>
          <a:ln>
            <a:noFill/>
          </a:ln>
          <a:effectLst/>
        </c:spPr>
        <c:marker>
          <c:symbol val="none"/>
        </c:marker>
      </c:pivotFmt>
      <c:pivotFmt>
        <c:idx val="66"/>
        <c:spPr>
          <a:solidFill>
            <a:schemeClr val="accent1"/>
          </a:solidFill>
          <a:ln>
            <a:noFill/>
          </a:ln>
          <a:effectLst/>
        </c:spPr>
        <c:marker>
          <c:symbol val="none"/>
        </c:marker>
      </c:pivotFmt>
      <c:pivotFmt>
        <c:idx val="67"/>
        <c:spPr>
          <a:solidFill>
            <a:schemeClr val="accent1"/>
          </a:solidFill>
          <a:ln>
            <a:noFill/>
          </a:ln>
          <a:effectLst/>
        </c:spPr>
        <c:marker>
          <c:symbol val="none"/>
        </c:marker>
      </c:pivotFmt>
      <c:pivotFmt>
        <c:idx val="68"/>
        <c:spPr>
          <a:solidFill>
            <a:schemeClr val="accent1"/>
          </a:solidFill>
          <a:ln>
            <a:noFill/>
          </a:ln>
          <a:effectLst/>
        </c:spPr>
        <c:marker>
          <c:symbol val="none"/>
        </c:marker>
      </c:pivotFmt>
      <c:pivotFmt>
        <c:idx val="69"/>
        <c:spPr>
          <a:solidFill>
            <a:schemeClr val="accent1"/>
          </a:solidFill>
          <a:ln>
            <a:noFill/>
          </a:ln>
          <a:effectLst/>
        </c:spPr>
        <c:marker>
          <c:symbol val="none"/>
        </c:marker>
      </c:pivotFmt>
      <c:pivotFmt>
        <c:idx val="70"/>
        <c:spPr>
          <a:solidFill>
            <a:schemeClr val="accent1"/>
          </a:solidFill>
          <a:ln>
            <a:noFill/>
          </a:ln>
          <a:effectLst/>
        </c:spPr>
        <c:marker>
          <c:symbol val="none"/>
        </c:marker>
      </c:pivotFmt>
      <c:pivotFmt>
        <c:idx val="71"/>
        <c:spPr>
          <a:solidFill>
            <a:schemeClr val="accent1"/>
          </a:solidFill>
          <a:ln>
            <a:noFill/>
          </a:ln>
          <a:effectLst/>
        </c:spPr>
        <c:marker>
          <c:symbol val="none"/>
        </c:marker>
      </c:pivotFmt>
      <c:pivotFmt>
        <c:idx val="72"/>
        <c:spPr>
          <a:solidFill>
            <a:schemeClr val="accent1"/>
          </a:solidFill>
          <a:ln>
            <a:noFill/>
          </a:ln>
          <a:effectLst/>
        </c:spPr>
        <c:marker>
          <c:symbol val="none"/>
        </c:marker>
      </c:pivotFmt>
      <c:pivotFmt>
        <c:idx val="73"/>
        <c:spPr>
          <a:solidFill>
            <a:schemeClr val="accent1"/>
          </a:solidFill>
          <a:ln>
            <a:noFill/>
          </a:ln>
          <a:effectLst/>
        </c:spPr>
        <c:marker>
          <c:symbol val="none"/>
        </c:marker>
      </c:pivotFmt>
      <c:pivotFmt>
        <c:idx val="74"/>
        <c:spPr>
          <a:solidFill>
            <a:schemeClr val="accent1"/>
          </a:solidFill>
          <a:ln>
            <a:noFill/>
          </a:ln>
          <a:effectLst/>
        </c:spPr>
        <c:marker>
          <c:symbol val="none"/>
        </c:marker>
      </c:pivotFmt>
      <c:pivotFmt>
        <c:idx val="75"/>
        <c:spPr>
          <a:solidFill>
            <a:schemeClr val="accent1"/>
          </a:solidFill>
          <a:ln>
            <a:noFill/>
          </a:ln>
          <a:effectLst/>
        </c:spPr>
        <c:marker>
          <c:symbol val="none"/>
        </c:marker>
      </c:pivotFmt>
      <c:pivotFmt>
        <c:idx val="76"/>
        <c:spPr>
          <a:solidFill>
            <a:schemeClr val="accent1"/>
          </a:solidFill>
          <a:ln>
            <a:noFill/>
          </a:ln>
          <a:effectLst/>
        </c:spPr>
        <c:marker>
          <c:symbol val="none"/>
        </c:marker>
      </c:pivotFmt>
      <c:pivotFmt>
        <c:idx val="77"/>
        <c:spPr>
          <a:solidFill>
            <a:schemeClr val="accent1"/>
          </a:solidFill>
          <a:ln>
            <a:noFill/>
          </a:ln>
          <a:effectLst/>
        </c:spPr>
        <c:marker>
          <c:symbol val="none"/>
        </c:marker>
      </c:pivotFmt>
      <c:pivotFmt>
        <c:idx val="78"/>
        <c:spPr>
          <a:solidFill>
            <a:schemeClr val="accent1"/>
          </a:solidFill>
          <a:ln>
            <a:noFill/>
          </a:ln>
          <a:effectLst/>
        </c:spPr>
        <c:marker>
          <c:symbol val="none"/>
        </c:marker>
      </c:pivotFmt>
      <c:pivotFmt>
        <c:idx val="79"/>
        <c:spPr>
          <a:solidFill>
            <a:schemeClr val="accent1"/>
          </a:solidFill>
          <a:ln>
            <a:noFill/>
          </a:ln>
          <a:effectLst/>
        </c:spPr>
        <c:marker>
          <c:symbol val="none"/>
        </c:marker>
      </c:pivotFmt>
      <c:pivotFmt>
        <c:idx val="80"/>
        <c:spPr>
          <a:solidFill>
            <a:schemeClr val="accent1"/>
          </a:solidFill>
          <a:ln>
            <a:noFill/>
          </a:ln>
          <a:effectLst/>
        </c:spPr>
        <c:marker>
          <c:symbol val="none"/>
        </c:marker>
      </c:pivotFmt>
      <c:pivotFmt>
        <c:idx val="81"/>
        <c:spPr>
          <a:solidFill>
            <a:schemeClr val="accent1"/>
          </a:solidFill>
          <a:ln>
            <a:noFill/>
          </a:ln>
          <a:effectLst/>
        </c:spPr>
        <c:marker>
          <c:symbol val="none"/>
        </c:marker>
      </c:pivotFmt>
      <c:pivotFmt>
        <c:idx val="82"/>
        <c:spPr>
          <a:solidFill>
            <a:schemeClr val="accent1"/>
          </a:solidFill>
          <a:ln>
            <a:noFill/>
          </a:ln>
          <a:effectLst/>
        </c:spPr>
        <c:marker>
          <c:symbol val="none"/>
        </c:marker>
      </c:pivotFmt>
      <c:pivotFmt>
        <c:idx val="83"/>
        <c:spPr>
          <a:solidFill>
            <a:schemeClr val="accent1"/>
          </a:solidFill>
          <a:ln>
            <a:noFill/>
          </a:ln>
          <a:effectLst/>
        </c:spPr>
        <c:marker>
          <c:symbol val="none"/>
        </c:marker>
      </c:pivotFmt>
      <c:pivotFmt>
        <c:idx val="84"/>
        <c:spPr>
          <a:solidFill>
            <a:schemeClr val="accent1"/>
          </a:solidFill>
          <a:ln>
            <a:noFill/>
          </a:ln>
          <a:effectLst/>
        </c:spPr>
        <c:marker>
          <c:symbol val="none"/>
        </c:marker>
      </c:pivotFmt>
      <c:pivotFmt>
        <c:idx val="85"/>
        <c:spPr>
          <a:solidFill>
            <a:schemeClr val="accent1"/>
          </a:solidFill>
          <a:ln>
            <a:noFill/>
          </a:ln>
          <a:effectLst/>
        </c:spPr>
        <c:marker>
          <c:symbol val="none"/>
        </c:marker>
      </c:pivotFmt>
      <c:pivotFmt>
        <c:idx val="86"/>
        <c:spPr>
          <a:solidFill>
            <a:schemeClr val="accent1"/>
          </a:solidFill>
          <a:ln>
            <a:noFill/>
          </a:ln>
          <a:effectLst/>
        </c:spPr>
        <c:marker>
          <c:symbol val="none"/>
        </c:marker>
      </c:pivotFmt>
      <c:pivotFmt>
        <c:idx val="87"/>
        <c:spPr>
          <a:solidFill>
            <a:schemeClr val="accent1"/>
          </a:solidFill>
          <a:ln>
            <a:noFill/>
          </a:ln>
          <a:effectLst/>
        </c:spPr>
        <c:marker>
          <c:symbol val="none"/>
        </c:marker>
      </c:pivotFmt>
      <c:pivotFmt>
        <c:idx val="88"/>
        <c:spPr>
          <a:solidFill>
            <a:schemeClr val="accent1"/>
          </a:solidFill>
          <a:ln>
            <a:noFill/>
          </a:ln>
          <a:effectLst/>
        </c:spPr>
        <c:marker>
          <c:symbol val="none"/>
        </c:marker>
      </c:pivotFmt>
      <c:pivotFmt>
        <c:idx val="89"/>
        <c:spPr>
          <a:solidFill>
            <a:schemeClr val="accent1"/>
          </a:solidFill>
          <a:ln>
            <a:noFill/>
          </a:ln>
          <a:effectLst/>
        </c:spPr>
        <c:marker>
          <c:symbol val="none"/>
        </c:marker>
      </c:pivotFmt>
      <c:pivotFmt>
        <c:idx val="90"/>
        <c:spPr>
          <a:solidFill>
            <a:schemeClr val="accent1"/>
          </a:solidFill>
          <a:ln>
            <a:noFill/>
          </a:ln>
          <a:effectLst/>
        </c:spPr>
        <c:marker>
          <c:symbol val="none"/>
        </c:marker>
      </c:pivotFmt>
      <c:pivotFmt>
        <c:idx val="91"/>
        <c:spPr>
          <a:solidFill>
            <a:schemeClr val="accent1"/>
          </a:solidFill>
          <a:ln>
            <a:noFill/>
          </a:ln>
          <a:effectLst/>
        </c:spPr>
        <c:marker>
          <c:symbol val="none"/>
        </c:marker>
      </c:pivotFmt>
      <c:pivotFmt>
        <c:idx val="92"/>
        <c:spPr>
          <a:solidFill>
            <a:schemeClr val="accent1"/>
          </a:solidFill>
          <a:ln>
            <a:noFill/>
          </a:ln>
          <a:effectLst/>
        </c:spPr>
        <c:marker>
          <c:symbol val="none"/>
        </c:marker>
      </c:pivotFmt>
      <c:pivotFmt>
        <c:idx val="93"/>
        <c:spPr>
          <a:solidFill>
            <a:schemeClr val="accent1"/>
          </a:solidFill>
          <a:ln>
            <a:noFill/>
          </a:ln>
          <a:effectLst/>
        </c:spPr>
        <c:marker>
          <c:symbol val="none"/>
        </c:marker>
      </c:pivotFmt>
      <c:pivotFmt>
        <c:idx val="94"/>
        <c:spPr>
          <a:solidFill>
            <a:schemeClr val="accent1"/>
          </a:solidFill>
          <a:ln>
            <a:noFill/>
          </a:ln>
          <a:effectLst/>
        </c:spPr>
        <c:marker>
          <c:symbol val="none"/>
        </c:marker>
      </c:pivotFmt>
      <c:pivotFmt>
        <c:idx val="95"/>
        <c:spPr>
          <a:solidFill>
            <a:schemeClr val="accent1"/>
          </a:solidFill>
          <a:ln>
            <a:noFill/>
          </a:ln>
          <a:effectLst/>
        </c:spPr>
        <c:marker>
          <c:symbol val="none"/>
        </c:marker>
      </c:pivotFmt>
      <c:pivotFmt>
        <c:idx val="96"/>
        <c:spPr>
          <a:solidFill>
            <a:schemeClr val="accent1"/>
          </a:solidFill>
          <a:ln>
            <a:noFill/>
          </a:ln>
          <a:effectLst/>
        </c:spPr>
        <c:marker>
          <c:symbol val="none"/>
        </c:marker>
      </c:pivotFmt>
      <c:pivotFmt>
        <c:idx val="97"/>
        <c:spPr>
          <a:solidFill>
            <a:schemeClr val="accent1"/>
          </a:solidFill>
          <a:ln>
            <a:noFill/>
          </a:ln>
          <a:effectLst/>
        </c:spPr>
        <c:marker>
          <c:symbol val="none"/>
        </c:marker>
      </c:pivotFmt>
      <c:pivotFmt>
        <c:idx val="98"/>
        <c:spPr>
          <a:solidFill>
            <a:schemeClr val="accent1"/>
          </a:solidFill>
          <a:ln>
            <a:noFill/>
          </a:ln>
          <a:effectLst/>
        </c:spPr>
        <c:marker>
          <c:symbol val="none"/>
        </c:marker>
      </c:pivotFmt>
      <c:pivotFmt>
        <c:idx val="99"/>
        <c:spPr>
          <a:solidFill>
            <a:schemeClr val="accent1"/>
          </a:solidFill>
          <a:ln>
            <a:noFill/>
          </a:ln>
          <a:effectLst/>
        </c:spPr>
        <c:marker>
          <c:symbol val="none"/>
        </c:marker>
      </c:pivotFmt>
      <c:pivotFmt>
        <c:idx val="100"/>
        <c:spPr>
          <a:solidFill>
            <a:schemeClr val="accent1"/>
          </a:solidFill>
          <a:ln>
            <a:noFill/>
          </a:ln>
          <a:effectLst/>
        </c:spPr>
        <c:marker>
          <c:symbol val="none"/>
        </c:marker>
      </c:pivotFmt>
      <c:pivotFmt>
        <c:idx val="101"/>
        <c:spPr>
          <a:solidFill>
            <a:schemeClr val="accent1"/>
          </a:solidFill>
          <a:ln>
            <a:noFill/>
          </a:ln>
          <a:effectLst/>
        </c:spPr>
        <c:marker>
          <c:symbol val="none"/>
        </c:marker>
      </c:pivotFmt>
      <c:pivotFmt>
        <c:idx val="102"/>
        <c:spPr>
          <a:solidFill>
            <a:schemeClr val="accent1"/>
          </a:solidFill>
          <a:ln>
            <a:noFill/>
          </a:ln>
          <a:effectLst/>
        </c:spPr>
        <c:marker>
          <c:symbol val="none"/>
        </c:marker>
      </c:pivotFmt>
      <c:pivotFmt>
        <c:idx val="103"/>
        <c:spPr>
          <a:solidFill>
            <a:schemeClr val="accent1"/>
          </a:solidFill>
          <a:ln>
            <a:noFill/>
          </a:ln>
          <a:effectLst/>
        </c:spPr>
        <c:marker>
          <c:symbol val="none"/>
        </c:marker>
      </c:pivotFmt>
      <c:pivotFmt>
        <c:idx val="104"/>
        <c:spPr>
          <a:solidFill>
            <a:schemeClr val="accent1"/>
          </a:solidFill>
          <a:ln>
            <a:noFill/>
          </a:ln>
          <a:effectLst/>
        </c:spPr>
        <c:marker>
          <c:symbol val="none"/>
        </c:marker>
      </c:pivotFmt>
      <c:pivotFmt>
        <c:idx val="105"/>
        <c:spPr>
          <a:solidFill>
            <a:schemeClr val="accent1"/>
          </a:solidFill>
          <a:ln>
            <a:noFill/>
          </a:ln>
          <a:effectLst/>
        </c:spPr>
        <c:marker>
          <c:symbol val="none"/>
        </c:marker>
      </c:pivotFmt>
      <c:pivotFmt>
        <c:idx val="106"/>
        <c:spPr>
          <a:solidFill>
            <a:schemeClr val="accent1"/>
          </a:solidFill>
          <a:ln>
            <a:noFill/>
          </a:ln>
          <a:effectLst/>
        </c:spPr>
        <c:marker>
          <c:symbol val="none"/>
        </c:marker>
      </c:pivotFmt>
      <c:pivotFmt>
        <c:idx val="107"/>
        <c:spPr>
          <a:solidFill>
            <a:schemeClr val="accent1"/>
          </a:solidFill>
          <a:ln>
            <a:noFill/>
          </a:ln>
          <a:effectLst/>
        </c:spPr>
        <c:marker>
          <c:symbol val="none"/>
        </c:marker>
      </c:pivotFmt>
      <c:pivotFmt>
        <c:idx val="108"/>
        <c:spPr>
          <a:solidFill>
            <a:schemeClr val="accent1"/>
          </a:solidFill>
          <a:ln>
            <a:noFill/>
          </a:ln>
          <a:effectLst/>
        </c:spPr>
        <c:marker>
          <c:symbol val="none"/>
        </c:marker>
      </c:pivotFmt>
      <c:pivotFmt>
        <c:idx val="109"/>
        <c:spPr>
          <a:solidFill>
            <a:schemeClr val="accent1"/>
          </a:solidFill>
          <a:ln>
            <a:noFill/>
          </a:ln>
          <a:effectLst/>
        </c:spPr>
        <c:marker>
          <c:symbol val="none"/>
        </c:marker>
      </c:pivotFmt>
      <c:pivotFmt>
        <c:idx val="110"/>
        <c:spPr>
          <a:solidFill>
            <a:schemeClr val="accent1"/>
          </a:solidFill>
          <a:ln>
            <a:noFill/>
          </a:ln>
          <a:effectLst/>
        </c:spPr>
        <c:marker>
          <c:symbol val="none"/>
        </c:marker>
      </c:pivotFmt>
      <c:pivotFmt>
        <c:idx val="111"/>
        <c:spPr>
          <a:solidFill>
            <a:schemeClr val="accent1"/>
          </a:solidFill>
          <a:ln>
            <a:noFill/>
          </a:ln>
          <a:effectLst/>
        </c:spPr>
        <c:marker>
          <c:symbol val="none"/>
        </c:marker>
      </c:pivotFmt>
      <c:pivotFmt>
        <c:idx val="112"/>
        <c:spPr>
          <a:solidFill>
            <a:schemeClr val="accent1"/>
          </a:solidFill>
          <a:ln>
            <a:noFill/>
          </a:ln>
          <a:effectLst/>
        </c:spPr>
        <c:marker>
          <c:symbol val="none"/>
        </c:marker>
      </c:pivotFmt>
      <c:pivotFmt>
        <c:idx val="113"/>
        <c:spPr>
          <a:solidFill>
            <a:schemeClr val="accent1"/>
          </a:solidFill>
          <a:ln>
            <a:noFill/>
          </a:ln>
          <a:effectLst/>
        </c:spPr>
        <c:marker>
          <c:symbol val="none"/>
        </c:marker>
      </c:pivotFmt>
      <c:pivotFmt>
        <c:idx val="114"/>
        <c:spPr>
          <a:solidFill>
            <a:schemeClr val="accent1"/>
          </a:solidFill>
          <a:ln>
            <a:noFill/>
          </a:ln>
          <a:effectLst/>
        </c:spPr>
        <c:marker>
          <c:symbol val="none"/>
        </c:marker>
      </c:pivotFmt>
      <c:pivotFmt>
        <c:idx val="115"/>
        <c:spPr>
          <a:solidFill>
            <a:schemeClr val="accent1"/>
          </a:solidFill>
          <a:ln>
            <a:noFill/>
          </a:ln>
          <a:effectLst/>
        </c:spPr>
        <c:marker>
          <c:symbol val="none"/>
        </c:marker>
      </c:pivotFmt>
      <c:pivotFmt>
        <c:idx val="116"/>
        <c:spPr>
          <a:solidFill>
            <a:schemeClr val="accent1"/>
          </a:solidFill>
          <a:ln>
            <a:noFill/>
          </a:ln>
          <a:effectLst/>
        </c:spPr>
        <c:marker>
          <c:symbol val="none"/>
        </c:marker>
      </c:pivotFmt>
      <c:pivotFmt>
        <c:idx val="117"/>
        <c:spPr>
          <a:solidFill>
            <a:schemeClr val="accent1"/>
          </a:solidFill>
          <a:ln>
            <a:noFill/>
          </a:ln>
          <a:effectLst/>
        </c:spPr>
        <c:marker>
          <c:symbol val="none"/>
        </c:marker>
      </c:pivotFmt>
      <c:pivotFmt>
        <c:idx val="118"/>
        <c:spPr>
          <a:solidFill>
            <a:schemeClr val="accent1"/>
          </a:solidFill>
          <a:ln>
            <a:noFill/>
          </a:ln>
          <a:effectLst/>
        </c:spPr>
        <c:marker>
          <c:symbol val="none"/>
        </c:marker>
      </c:pivotFmt>
      <c:pivotFmt>
        <c:idx val="119"/>
        <c:spPr>
          <a:solidFill>
            <a:schemeClr val="accent1"/>
          </a:solidFill>
          <a:ln>
            <a:noFill/>
          </a:ln>
          <a:effectLst/>
        </c:spPr>
        <c:marker>
          <c:symbol val="none"/>
        </c:marker>
      </c:pivotFmt>
      <c:pivotFmt>
        <c:idx val="120"/>
        <c:spPr>
          <a:solidFill>
            <a:schemeClr val="accent1"/>
          </a:solidFill>
          <a:ln>
            <a:noFill/>
          </a:ln>
          <a:effectLst/>
        </c:spPr>
        <c:marker>
          <c:symbol val="none"/>
        </c:marker>
      </c:pivotFmt>
      <c:pivotFmt>
        <c:idx val="121"/>
        <c:spPr>
          <a:solidFill>
            <a:schemeClr val="accent1"/>
          </a:solidFill>
          <a:ln>
            <a:noFill/>
          </a:ln>
          <a:effectLst/>
        </c:spPr>
        <c:marker>
          <c:symbol val="none"/>
        </c:marker>
      </c:pivotFmt>
      <c:pivotFmt>
        <c:idx val="122"/>
        <c:spPr>
          <a:solidFill>
            <a:schemeClr val="accent1"/>
          </a:solidFill>
          <a:ln>
            <a:noFill/>
          </a:ln>
          <a:effectLst/>
        </c:spPr>
        <c:marker>
          <c:symbol val="none"/>
        </c:marker>
      </c:pivotFmt>
      <c:pivotFmt>
        <c:idx val="123"/>
        <c:spPr>
          <a:solidFill>
            <a:schemeClr val="accent1"/>
          </a:solidFill>
          <a:ln>
            <a:noFill/>
          </a:ln>
          <a:effectLst/>
        </c:spPr>
        <c:marker>
          <c:symbol val="none"/>
        </c:marker>
      </c:pivotFmt>
      <c:pivotFmt>
        <c:idx val="124"/>
        <c:spPr>
          <a:solidFill>
            <a:schemeClr val="accent1"/>
          </a:solidFill>
          <a:ln>
            <a:noFill/>
          </a:ln>
          <a:effectLst/>
        </c:spPr>
        <c:marker>
          <c:symbol val="none"/>
        </c:marker>
      </c:pivotFmt>
      <c:pivotFmt>
        <c:idx val="125"/>
        <c:spPr>
          <a:solidFill>
            <a:schemeClr val="accent1"/>
          </a:solidFill>
          <a:ln>
            <a:noFill/>
          </a:ln>
          <a:effectLst/>
        </c:spPr>
        <c:marker>
          <c:symbol val="none"/>
        </c:marker>
      </c:pivotFmt>
      <c:pivotFmt>
        <c:idx val="126"/>
        <c:spPr>
          <a:solidFill>
            <a:schemeClr val="accent1"/>
          </a:solidFill>
          <a:ln>
            <a:noFill/>
          </a:ln>
          <a:effectLst/>
        </c:spPr>
        <c:marker>
          <c:symbol val="none"/>
        </c:marker>
      </c:pivotFmt>
      <c:pivotFmt>
        <c:idx val="127"/>
        <c:spPr>
          <a:solidFill>
            <a:schemeClr val="accent1"/>
          </a:solidFill>
          <a:ln>
            <a:noFill/>
          </a:ln>
          <a:effectLst/>
        </c:spPr>
        <c:marker>
          <c:symbol val="none"/>
        </c:marker>
      </c:pivotFmt>
      <c:pivotFmt>
        <c:idx val="128"/>
        <c:spPr>
          <a:solidFill>
            <a:schemeClr val="accent1"/>
          </a:solidFill>
          <a:ln>
            <a:noFill/>
          </a:ln>
          <a:effectLst/>
        </c:spPr>
        <c:marker>
          <c:symbol val="none"/>
        </c:marker>
      </c:pivotFmt>
      <c:pivotFmt>
        <c:idx val="129"/>
        <c:spPr>
          <a:solidFill>
            <a:schemeClr val="accent1"/>
          </a:solidFill>
          <a:ln>
            <a:noFill/>
          </a:ln>
          <a:effectLst/>
        </c:spPr>
        <c:marker>
          <c:symbol val="none"/>
        </c:marker>
      </c:pivotFmt>
      <c:pivotFmt>
        <c:idx val="130"/>
        <c:spPr>
          <a:solidFill>
            <a:schemeClr val="accent1"/>
          </a:solidFill>
          <a:ln>
            <a:noFill/>
          </a:ln>
          <a:effectLst/>
        </c:spPr>
        <c:marker>
          <c:symbol val="none"/>
        </c:marker>
      </c:pivotFmt>
      <c:pivotFmt>
        <c:idx val="131"/>
        <c:spPr>
          <a:solidFill>
            <a:schemeClr val="accent1"/>
          </a:solidFill>
          <a:ln>
            <a:noFill/>
          </a:ln>
          <a:effectLst/>
        </c:spPr>
        <c:marker>
          <c:symbol val="none"/>
        </c:marker>
      </c:pivotFmt>
      <c:pivotFmt>
        <c:idx val="132"/>
        <c:spPr>
          <a:solidFill>
            <a:schemeClr val="accent1"/>
          </a:solidFill>
          <a:ln>
            <a:noFill/>
          </a:ln>
          <a:effectLst/>
        </c:spPr>
        <c:marker>
          <c:symbol val="none"/>
        </c:marker>
      </c:pivotFmt>
      <c:pivotFmt>
        <c:idx val="133"/>
        <c:spPr>
          <a:solidFill>
            <a:schemeClr val="accent1"/>
          </a:solidFill>
          <a:ln>
            <a:noFill/>
          </a:ln>
          <a:effectLst/>
        </c:spPr>
        <c:marker>
          <c:symbol val="none"/>
        </c:marker>
      </c:pivotFmt>
      <c:pivotFmt>
        <c:idx val="134"/>
        <c:spPr>
          <a:solidFill>
            <a:schemeClr val="accent1"/>
          </a:solidFill>
          <a:ln>
            <a:noFill/>
          </a:ln>
          <a:effectLst/>
        </c:spPr>
        <c:marker>
          <c:symbol val="none"/>
        </c:marker>
      </c:pivotFmt>
      <c:pivotFmt>
        <c:idx val="135"/>
        <c:spPr>
          <a:solidFill>
            <a:schemeClr val="accent1"/>
          </a:solidFill>
          <a:ln>
            <a:noFill/>
          </a:ln>
          <a:effectLst/>
        </c:spPr>
        <c:marker>
          <c:symbol val="none"/>
        </c:marker>
      </c:pivotFmt>
      <c:pivotFmt>
        <c:idx val="136"/>
        <c:spPr>
          <a:solidFill>
            <a:schemeClr val="accent1"/>
          </a:solidFill>
          <a:ln>
            <a:noFill/>
          </a:ln>
          <a:effectLst/>
        </c:spPr>
        <c:marker>
          <c:symbol val="none"/>
        </c:marker>
      </c:pivotFmt>
      <c:pivotFmt>
        <c:idx val="137"/>
        <c:spPr>
          <a:solidFill>
            <a:schemeClr val="accent1"/>
          </a:solidFill>
          <a:ln>
            <a:noFill/>
          </a:ln>
          <a:effectLst/>
        </c:spPr>
        <c:marker>
          <c:symbol val="none"/>
        </c:marker>
      </c:pivotFmt>
      <c:pivotFmt>
        <c:idx val="138"/>
        <c:spPr>
          <a:solidFill>
            <a:schemeClr val="accent1"/>
          </a:solidFill>
          <a:ln>
            <a:noFill/>
          </a:ln>
          <a:effectLst/>
        </c:spPr>
        <c:marker>
          <c:symbol val="none"/>
        </c:marker>
      </c:pivotFmt>
      <c:pivotFmt>
        <c:idx val="139"/>
        <c:spPr>
          <a:solidFill>
            <a:schemeClr val="accent1"/>
          </a:solidFill>
          <a:ln>
            <a:noFill/>
          </a:ln>
          <a:effectLst/>
        </c:spPr>
        <c:marker>
          <c:symbol val="none"/>
        </c:marker>
      </c:pivotFmt>
      <c:pivotFmt>
        <c:idx val="140"/>
        <c:spPr>
          <a:solidFill>
            <a:schemeClr val="accent1"/>
          </a:solidFill>
          <a:ln>
            <a:noFill/>
          </a:ln>
          <a:effectLst/>
        </c:spPr>
        <c:marker>
          <c:symbol val="none"/>
        </c:marker>
      </c:pivotFmt>
      <c:pivotFmt>
        <c:idx val="141"/>
        <c:spPr>
          <a:solidFill>
            <a:schemeClr val="accent1"/>
          </a:solidFill>
          <a:ln>
            <a:noFill/>
          </a:ln>
          <a:effectLst/>
        </c:spPr>
        <c:marker>
          <c:symbol val="none"/>
        </c:marker>
      </c:pivotFmt>
      <c:pivotFmt>
        <c:idx val="142"/>
        <c:spPr>
          <a:solidFill>
            <a:schemeClr val="accent1"/>
          </a:solidFill>
          <a:ln>
            <a:noFill/>
          </a:ln>
          <a:effectLst/>
        </c:spPr>
        <c:marker>
          <c:symbol val="none"/>
        </c:marker>
      </c:pivotFmt>
      <c:pivotFmt>
        <c:idx val="143"/>
        <c:spPr>
          <a:solidFill>
            <a:schemeClr val="accent1"/>
          </a:solidFill>
          <a:ln>
            <a:noFill/>
          </a:ln>
          <a:effectLst/>
        </c:spPr>
        <c:marker>
          <c:symbol val="none"/>
        </c:marker>
      </c:pivotFmt>
      <c:pivotFmt>
        <c:idx val="144"/>
        <c:spPr>
          <a:solidFill>
            <a:schemeClr val="accent1"/>
          </a:solidFill>
          <a:ln>
            <a:noFill/>
          </a:ln>
          <a:effectLst/>
        </c:spPr>
        <c:marker>
          <c:symbol val="none"/>
        </c:marker>
      </c:pivotFmt>
      <c:pivotFmt>
        <c:idx val="145"/>
        <c:spPr>
          <a:solidFill>
            <a:schemeClr val="accent1"/>
          </a:solidFill>
          <a:ln>
            <a:noFill/>
          </a:ln>
          <a:effectLst/>
        </c:spPr>
        <c:marker>
          <c:symbol val="none"/>
        </c:marker>
      </c:pivotFmt>
      <c:pivotFmt>
        <c:idx val="146"/>
        <c:spPr>
          <a:solidFill>
            <a:schemeClr val="accent1"/>
          </a:solidFill>
          <a:ln>
            <a:noFill/>
          </a:ln>
          <a:effectLst/>
        </c:spPr>
        <c:marker>
          <c:symbol val="none"/>
        </c:marker>
      </c:pivotFmt>
      <c:pivotFmt>
        <c:idx val="147"/>
        <c:spPr>
          <a:solidFill>
            <a:schemeClr val="accent1"/>
          </a:solidFill>
          <a:ln>
            <a:noFill/>
          </a:ln>
          <a:effectLst/>
        </c:spPr>
        <c:marker>
          <c:symbol val="none"/>
        </c:marker>
      </c:pivotFmt>
      <c:pivotFmt>
        <c:idx val="148"/>
        <c:spPr>
          <a:solidFill>
            <a:schemeClr val="accent1"/>
          </a:solidFill>
          <a:ln>
            <a:noFill/>
          </a:ln>
          <a:effectLst/>
        </c:spPr>
        <c:marker>
          <c:symbol val="none"/>
        </c:marker>
      </c:pivotFmt>
      <c:pivotFmt>
        <c:idx val="149"/>
        <c:spPr>
          <a:solidFill>
            <a:schemeClr val="accent1"/>
          </a:solidFill>
          <a:ln>
            <a:noFill/>
          </a:ln>
          <a:effectLst/>
        </c:spPr>
        <c:marker>
          <c:symbol val="none"/>
        </c:marker>
      </c:pivotFmt>
      <c:pivotFmt>
        <c:idx val="150"/>
        <c:spPr>
          <a:solidFill>
            <a:schemeClr val="accent1"/>
          </a:solidFill>
          <a:ln>
            <a:noFill/>
          </a:ln>
          <a:effectLst/>
        </c:spPr>
        <c:marker>
          <c:symbol val="none"/>
        </c:marker>
      </c:pivotFmt>
      <c:pivotFmt>
        <c:idx val="151"/>
        <c:spPr>
          <a:solidFill>
            <a:schemeClr val="accent1"/>
          </a:solidFill>
          <a:ln>
            <a:noFill/>
          </a:ln>
          <a:effectLst/>
        </c:spPr>
        <c:marker>
          <c:symbol val="none"/>
        </c:marker>
      </c:pivotFmt>
      <c:pivotFmt>
        <c:idx val="152"/>
        <c:spPr>
          <a:solidFill>
            <a:schemeClr val="accent1"/>
          </a:solidFill>
          <a:ln>
            <a:noFill/>
          </a:ln>
          <a:effectLst/>
        </c:spPr>
        <c:marker>
          <c:symbol val="none"/>
        </c:marker>
      </c:pivotFmt>
    </c:pivotFmts>
    <c:plotArea>
      <c:layout/>
      <c:barChart>
        <c:barDir val="col"/>
        <c:grouping val="clustered"/>
        <c:varyColors val="0"/>
        <c:ser>
          <c:idx val="0"/>
          <c:order val="0"/>
          <c:tx>
            <c:strRef>
              <c:f>'Analysis Summary'!$C$190</c:f>
              <c:strCache>
                <c:ptCount val="1"/>
                <c:pt idx="0">
                  <c:v>Average of 2022</c:v>
                </c:pt>
              </c:strCache>
            </c:strRef>
          </c:tx>
          <c:spPr>
            <a:solidFill>
              <a:schemeClr val="accent1">
                <a:tint val="44000"/>
              </a:schemeClr>
            </a:solidFill>
            <a:ln>
              <a:noFill/>
            </a:ln>
            <a:effectLst/>
          </c:spPr>
          <c:invertIfNegative val="0"/>
          <c:cat>
            <c:multiLvlStrRef>
              <c:f>'Analysis Summary'!$B$191:$B$202</c:f>
              <c:multiLvlStrCache>
                <c:ptCount val="9"/>
                <c:lvl>
                  <c:pt idx="0">
                    <c:v>Multi-family Community Solar</c:v>
                  </c:pt>
                  <c:pt idx="1">
                    <c:v>C&amp;I Roof-top Solar Leasing</c:v>
                  </c:pt>
                  <c:pt idx="2">
                    <c:v>C&amp;I Roof-top Solar Incentive</c:v>
                  </c:pt>
                  <c:pt idx="3">
                    <c:v>3rd Party Distributed Solar PPA (or Solar Lease)</c:v>
                  </c:pt>
                  <c:pt idx="4">
                    <c:v>PSE Customer-Sited Solar+Storage Offering (Solar)</c:v>
                  </c:pt>
                  <c:pt idx="5">
                    <c:v>Residential Roof-top Solar Leasing</c:v>
                  </c:pt>
                  <c:pt idx="6">
                    <c:v>Multi-Family Roof-top Solar Incentive</c:v>
                  </c:pt>
                  <c:pt idx="7">
                    <c:v>Residential Roof-top Solar Leasing - Low Income</c:v>
                  </c:pt>
                  <c:pt idx="8">
                    <c:v>Multi-Family Solar Partnership</c:v>
                  </c:pt>
                </c:lvl>
                <c:lvl>
                  <c:pt idx="0">
                    <c:v>Not selected</c:v>
                  </c:pt>
                  <c:pt idx="2">
                    <c:v>Selected</c:v>
                  </c:pt>
                </c:lvl>
              </c:multiLvlStrCache>
            </c:multiLvlStrRef>
          </c:cat>
          <c:val>
            <c:numRef>
              <c:f>'Analysis Summary'!$C$191:$C$202</c:f>
              <c:numCache>
                <c:formatCode>General</c:formatCode>
                <c:ptCount val="9"/>
                <c:pt idx="0">
                  <c:v>19</c:v>
                </c:pt>
                <c:pt idx="1">
                  <c:v>8.4</c:v>
                </c:pt>
                <c:pt idx="2">
                  <c:v>5.2190000000000003</c:v>
                </c:pt>
                <c:pt idx="3">
                  <c:v>2.8</c:v>
                </c:pt>
                <c:pt idx="4">
                  <c:v>2.8679999999999999</c:v>
                </c:pt>
                <c:pt idx="5">
                  <c:v>0.64800000000000002</c:v>
                </c:pt>
                <c:pt idx="6">
                  <c:v>0.41499999999999998</c:v>
                </c:pt>
                <c:pt idx="7">
                  <c:v>0.09</c:v>
                </c:pt>
                <c:pt idx="8">
                  <c:v>8.3000000000000004E-2</c:v>
                </c:pt>
              </c:numCache>
            </c:numRef>
          </c:val>
          <c:extLst>
            <c:ext xmlns:c16="http://schemas.microsoft.com/office/drawing/2014/chart" uri="{C3380CC4-5D6E-409C-BE32-E72D297353CC}">
              <c16:uniqueId val="{00000000-1D59-4DCF-9F52-D877BC0AE9D0}"/>
            </c:ext>
          </c:extLst>
        </c:ser>
        <c:ser>
          <c:idx val="1"/>
          <c:order val="1"/>
          <c:tx>
            <c:strRef>
              <c:f>'Analysis Summary'!$D$190</c:f>
              <c:strCache>
                <c:ptCount val="1"/>
                <c:pt idx="0">
                  <c:v>Average of 2023</c:v>
                </c:pt>
              </c:strCache>
            </c:strRef>
          </c:tx>
          <c:spPr>
            <a:solidFill>
              <a:schemeClr val="accent1">
                <a:tint val="58000"/>
              </a:schemeClr>
            </a:solidFill>
            <a:ln>
              <a:noFill/>
            </a:ln>
            <a:effectLst/>
          </c:spPr>
          <c:invertIfNegative val="0"/>
          <c:cat>
            <c:multiLvlStrRef>
              <c:f>'Analysis Summary'!$B$191:$B$202</c:f>
              <c:multiLvlStrCache>
                <c:ptCount val="9"/>
                <c:lvl>
                  <c:pt idx="0">
                    <c:v>Multi-family Community Solar</c:v>
                  </c:pt>
                  <c:pt idx="1">
                    <c:v>C&amp;I Roof-top Solar Leasing</c:v>
                  </c:pt>
                  <c:pt idx="2">
                    <c:v>C&amp;I Roof-top Solar Incentive</c:v>
                  </c:pt>
                  <c:pt idx="3">
                    <c:v>3rd Party Distributed Solar PPA (or Solar Lease)</c:v>
                  </c:pt>
                  <c:pt idx="4">
                    <c:v>PSE Customer-Sited Solar+Storage Offering (Solar)</c:v>
                  </c:pt>
                  <c:pt idx="5">
                    <c:v>Residential Roof-top Solar Leasing</c:v>
                  </c:pt>
                  <c:pt idx="6">
                    <c:v>Multi-Family Roof-top Solar Incentive</c:v>
                  </c:pt>
                  <c:pt idx="7">
                    <c:v>Residential Roof-top Solar Leasing - Low Income</c:v>
                  </c:pt>
                  <c:pt idx="8">
                    <c:v>Multi-Family Solar Partnership</c:v>
                  </c:pt>
                </c:lvl>
                <c:lvl>
                  <c:pt idx="0">
                    <c:v>Not selected</c:v>
                  </c:pt>
                  <c:pt idx="2">
                    <c:v>Selected</c:v>
                  </c:pt>
                </c:lvl>
              </c:multiLvlStrCache>
            </c:multiLvlStrRef>
          </c:cat>
          <c:val>
            <c:numRef>
              <c:f>'Analysis Summary'!$D$191:$D$202</c:f>
              <c:numCache>
                <c:formatCode>General</c:formatCode>
                <c:ptCount val="9"/>
                <c:pt idx="0">
                  <c:v>19</c:v>
                </c:pt>
                <c:pt idx="1">
                  <c:v>12.8</c:v>
                </c:pt>
                <c:pt idx="2">
                  <c:v>5.2190000000000003</c:v>
                </c:pt>
                <c:pt idx="3">
                  <c:v>2.8</c:v>
                </c:pt>
                <c:pt idx="4">
                  <c:v>3.456</c:v>
                </c:pt>
                <c:pt idx="5">
                  <c:v>0.97799999999999998</c:v>
                </c:pt>
                <c:pt idx="6">
                  <c:v>0.41499999999999998</c:v>
                </c:pt>
                <c:pt idx="7">
                  <c:v>0.13800000000000001</c:v>
                </c:pt>
                <c:pt idx="8">
                  <c:v>8.3000000000000004E-2</c:v>
                </c:pt>
              </c:numCache>
            </c:numRef>
          </c:val>
          <c:extLst>
            <c:ext xmlns:c16="http://schemas.microsoft.com/office/drawing/2014/chart" uri="{C3380CC4-5D6E-409C-BE32-E72D297353CC}">
              <c16:uniqueId val="{00000051-1D59-4DCF-9F52-D877BC0AE9D0}"/>
            </c:ext>
          </c:extLst>
        </c:ser>
        <c:ser>
          <c:idx val="2"/>
          <c:order val="2"/>
          <c:tx>
            <c:strRef>
              <c:f>'Analysis Summary'!$E$190</c:f>
              <c:strCache>
                <c:ptCount val="1"/>
                <c:pt idx="0">
                  <c:v>Average of 2024</c:v>
                </c:pt>
              </c:strCache>
            </c:strRef>
          </c:tx>
          <c:spPr>
            <a:solidFill>
              <a:schemeClr val="accent1">
                <a:tint val="72000"/>
              </a:schemeClr>
            </a:solidFill>
            <a:ln>
              <a:noFill/>
            </a:ln>
            <a:effectLst/>
          </c:spPr>
          <c:invertIfNegative val="0"/>
          <c:cat>
            <c:multiLvlStrRef>
              <c:f>'Analysis Summary'!$B$191:$B$202</c:f>
              <c:multiLvlStrCache>
                <c:ptCount val="9"/>
                <c:lvl>
                  <c:pt idx="0">
                    <c:v>Multi-family Community Solar</c:v>
                  </c:pt>
                  <c:pt idx="1">
                    <c:v>C&amp;I Roof-top Solar Leasing</c:v>
                  </c:pt>
                  <c:pt idx="2">
                    <c:v>C&amp;I Roof-top Solar Incentive</c:v>
                  </c:pt>
                  <c:pt idx="3">
                    <c:v>3rd Party Distributed Solar PPA (or Solar Lease)</c:v>
                  </c:pt>
                  <c:pt idx="4">
                    <c:v>PSE Customer-Sited Solar+Storage Offering (Solar)</c:v>
                  </c:pt>
                  <c:pt idx="5">
                    <c:v>Residential Roof-top Solar Leasing</c:v>
                  </c:pt>
                  <c:pt idx="6">
                    <c:v>Multi-Family Roof-top Solar Incentive</c:v>
                  </c:pt>
                  <c:pt idx="7">
                    <c:v>Residential Roof-top Solar Leasing - Low Income</c:v>
                  </c:pt>
                  <c:pt idx="8">
                    <c:v>Multi-Family Solar Partnership</c:v>
                  </c:pt>
                </c:lvl>
                <c:lvl>
                  <c:pt idx="0">
                    <c:v>Not selected</c:v>
                  </c:pt>
                  <c:pt idx="2">
                    <c:v>Selected</c:v>
                  </c:pt>
                </c:lvl>
              </c:multiLvlStrCache>
            </c:multiLvlStrRef>
          </c:cat>
          <c:val>
            <c:numRef>
              <c:f>'Analysis Summary'!$E$191:$E$202</c:f>
              <c:numCache>
                <c:formatCode>General</c:formatCode>
                <c:ptCount val="9"/>
                <c:pt idx="0">
                  <c:v>19</c:v>
                </c:pt>
                <c:pt idx="1">
                  <c:v>17.2</c:v>
                </c:pt>
                <c:pt idx="2">
                  <c:v>5.2190000000000003</c:v>
                </c:pt>
                <c:pt idx="3">
                  <c:v>2.8</c:v>
                </c:pt>
                <c:pt idx="4">
                  <c:v>4.1159999999999997</c:v>
                </c:pt>
                <c:pt idx="5">
                  <c:v>1.38</c:v>
                </c:pt>
                <c:pt idx="6">
                  <c:v>0.41499999999999998</c:v>
                </c:pt>
                <c:pt idx="7">
                  <c:v>0.19800000000000001</c:v>
                </c:pt>
                <c:pt idx="8">
                  <c:v>8.3000000000000004E-2</c:v>
                </c:pt>
              </c:numCache>
            </c:numRef>
          </c:val>
          <c:extLst>
            <c:ext xmlns:c16="http://schemas.microsoft.com/office/drawing/2014/chart" uri="{C3380CC4-5D6E-409C-BE32-E72D297353CC}">
              <c16:uniqueId val="{00000052-1D59-4DCF-9F52-D877BC0AE9D0}"/>
            </c:ext>
          </c:extLst>
        </c:ser>
        <c:ser>
          <c:idx val="3"/>
          <c:order val="3"/>
          <c:tx>
            <c:strRef>
              <c:f>'Analysis Summary'!$F$190</c:f>
              <c:strCache>
                <c:ptCount val="1"/>
                <c:pt idx="0">
                  <c:v>Average of 2025</c:v>
                </c:pt>
              </c:strCache>
            </c:strRef>
          </c:tx>
          <c:spPr>
            <a:solidFill>
              <a:schemeClr val="accent1">
                <a:tint val="86000"/>
              </a:schemeClr>
            </a:solidFill>
            <a:ln>
              <a:noFill/>
            </a:ln>
            <a:effectLst/>
          </c:spPr>
          <c:invertIfNegative val="0"/>
          <c:cat>
            <c:multiLvlStrRef>
              <c:f>'Analysis Summary'!$B$191:$B$202</c:f>
              <c:multiLvlStrCache>
                <c:ptCount val="9"/>
                <c:lvl>
                  <c:pt idx="0">
                    <c:v>Multi-family Community Solar</c:v>
                  </c:pt>
                  <c:pt idx="1">
                    <c:v>C&amp;I Roof-top Solar Leasing</c:v>
                  </c:pt>
                  <c:pt idx="2">
                    <c:v>C&amp;I Roof-top Solar Incentive</c:v>
                  </c:pt>
                  <c:pt idx="3">
                    <c:v>3rd Party Distributed Solar PPA (or Solar Lease)</c:v>
                  </c:pt>
                  <c:pt idx="4">
                    <c:v>PSE Customer-Sited Solar+Storage Offering (Solar)</c:v>
                  </c:pt>
                  <c:pt idx="5">
                    <c:v>Residential Roof-top Solar Leasing</c:v>
                  </c:pt>
                  <c:pt idx="6">
                    <c:v>Multi-Family Roof-top Solar Incentive</c:v>
                  </c:pt>
                  <c:pt idx="7">
                    <c:v>Residential Roof-top Solar Leasing - Low Income</c:v>
                  </c:pt>
                  <c:pt idx="8">
                    <c:v>Multi-Family Solar Partnership</c:v>
                  </c:pt>
                </c:lvl>
                <c:lvl>
                  <c:pt idx="0">
                    <c:v>Not selected</c:v>
                  </c:pt>
                  <c:pt idx="2">
                    <c:v>Selected</c:v>
                  </c:pt>
                </c:lvl>
              </c:multiLvlStrCache>
            </c:multiLvlStrRef>
          </c:cat>
          <c:val>
            <c:numRef>
              <c:f>'Analysis Summary'!$F$191:$F$202</c:f>
              <c:numCache>
                <c:formatCode>General</c:formatCode>
                <c:ptCount val="9"/>
                <c:pt idx="0">
                  <c:v>19</c:v>
                </c:pt>
                <c:pt idx="1">
                  <c:v>21.6</c:v>
                </c:pt>
                <c:pt idx="2">
                  <c:v>5.2190000000000003</c:v>
                </c:pt>
                <c:pt idx="3">
                  <c:v>2.8</c:v>
                </c:pt>
                <c:pt idx="4">
                  <c:v>4.8419999999999996</c:v>
                </c:pt>
                <c:pt idx="5">
                  <c:v>1.788</c:v>
                </c:pt>
                <c:pt idx="6">
                  <c:v>0.41499999999999998</c:v>
                </c:pt>
                <c:pt idx="7">
                  <c:v>0.252</c:v>
                </c:pt>
                <c:pt idx="8">
                  <c:v>8.3000000000000004E-2</c:v>
                </c:pt>
              </c:numCache>
            </c:numRef>
          </c:val>
          <c:extLst>
            <c:ext xmlns:c16="http://schemas.microsoft.com/office/drawing/2014/chart" uri="{C3380CC4-5D6E-409C-BE32-E72D297353CC}">
              <c16:uniqueId val="{00000053-1D59-4DCF-9F52-D877BC0AE9D0}"/>
            </c:ext>
          </c:extLst>
        </c:ser>
        <c:ser>
          <c:idx val="4"/>
          <c:order val="4"/>
          <c:tx>
            <c:strRef>
              <c:f>'Analysis Summary'!$G$190</c:f>
              <c:strCache>
                <c:ptCount val="1"/>
                <c:pt idx="0">
                  <c:v>Average of 2026</c:v>
                </c:pt>
              </c:strCache>
            </c:strRef>
          </c:tx>
          <c:spPr>
            <a:solidFill>
              <a:schemeClr val="accent1"/>
            </a:solidFill>
            <a:ln>
              <a:noFill/>
            </a:ln>
            <a:effectLst/>
          </c:spPr>
          <c:invertIfNegative val="0"/>
          <c:cat>
            <c:multiLvlStrRef>
              <c:f>'Analysis Summary'!$B$191:$B$202</c:f>
              <c:multiLvlStrCache>
                <c:ptCount val="9"/>
                <c:lvl>
                  <c:pt idx="0">
                    <c:v>Multi-family Community Solar</c:v>
                  </c:pt>
                  <c:pt idx="1">
                    <c:v>C&amp;I Roof-top Solar Leasing</c:v>
                  </c:pt>
                  <c:pt idx="2">
                    <c:v>C&amp;I Roof-top Solar Incentive</c:v>
                  </c:pt>
                  <c:pt idx="3">
                    <c:v>3rd Party Distributed Solar PPA (or Solar Lease)</c:v>
                  </c:pt>
                  <c:pt idx="4">
                    <c:v>PSE Customer-Sited Solar+Storage Offering (Solar)</c:v>
                  </c:pt>
                  <c:pt idx="5">
                    <c:v>Residential Roof-top Solar Leasing</c:v>
                  </c:pt>
                  <c:pt idx="6">
                    <c:v>Multi-Family Roof-top Solar Incentive</c:v>
                  </c:pt>
                  <c:pt idx="7">
                    <c:v>Residential Roof-top Solar Leasing - Low Income</c:v>
                  </c:pt>
                  <c:pt idx="8">
                    <c:v>Multi-Family Solar Partnership</c:v>
                  </c:pt>
                </c:lvl>
                <c:lvl>
                  <c:pt idx="0">
                    <c:v>Not selected</c:v>
                  </c:pt>
                  <c:pt idx="2">
                    <c:v>Selected</c:v>
                  </c:pt>
                </c:lvl>
              </c:multiLvlStrCache>
            </c:multiLvlStrRef>
          </c:cat>
          <c:val>
            <c:numRef>
              <c:f>'Analysis Summary'!$G$191:$G$202</c:f>
              <c:numCache>
                <c:formatCode>General</c:formatCode>
                <c:ptCount val="9"/>
                <c:pt idx="0">
                  <c:v>19</c:v>
                </c:pt>
                <c:pt idx="1">
                  <c:v>21.6</c:v>
                </c:pt>
                <c:pt idx="2">
                  <c:v>7.0609999999999999</c:v>
                </c:pt>
                <c:pt idx="3">
                  <c:v>4.8</c:v>
                </c:pt>
                <c:pt idx="4">
                  <c:v>5.64</c:v>
                </c:pt>
                <c:pt idx="5">
                  <c:v>2.4660000000000002</c:v>
                </c:pt>
                <c:pt idx="6">
                  <c:v>0.498</c:v>
                </c:pt>
                <c:pt idx="7">
                  <c:v>0.34799999999999998</c:v>
                </c:pt>
                <c:pt idx="8">
                  <c:v>8.3000000000000004E-2</c:v>
                </c:pt>
              </c:numCache>
            </c:numRef>
          </c:val>
          <c:extLst>
            <c:ext xmlns:c16="http://schemas.microsoft.com/office/drawing/2014/chart" uri="{C3380CC4-5D6E-409C-BE32-E72D297353CC}">
              <c16:uniqueId val="{00000054-1D59-4DCF-9F52-D877BC0AE9D0}"/>
            </c:ext>
          </c:extLst>
        </c:ser>
        <c:ser>
          <c:idx val="5"/>
          <c:order val="5"/>
          <c:tx>
            <c:strRef>
              <c:f>'Analysis Summary'!$H$190</c:f>
              <c:strCache>
                <c:ptCount val="1"/>
                <c:pt idx="0">
                  <c:v>Average of 2027</c:v>
                </c:pt>
              </c:strCache>
            </c:strRef>
          </c:tx>
          <c:spPr>
            <a:solidFill>
              <a:schemeClr val="accent1">
                <a:shade val="86000"/>
              </a:schemeClr>
            </a:solidFill>
            <a:ln>
              <a:noFill/>
            </a:ln>
            <a:effectLst/>
          </c:spPr>
          <c:invertIfNegative val="0"/>
          <c:cat>
            <c:multiLvlStrRef>
              <c:f>'Analysis Summary'!$B$191:$B$202</c:f>
              <c:multiLvlStrCache>
                <c:ptCount val="9"/>
                <c:lvl>
                  <c:pt idx="0">
                    <c:v>Multi-family Community Solar</c:v>
                  </c:pt>
                  <c:pt idx="1">
                    <c:v>C&amp;I Roof-top Solar Leasing</c:v>
                  </c:pt>
                  <c:pt idx="2">
                    <c:v>C&amp;I Roof-top Solar Incentive</c:v>
                  </c:pt>
                  <c:pt idx="3">
                    <c:v>3rd Party Distributed Solar PPA (or Solar Lease)</c:v>
                  </c:pt>
                  <c:pt idx="4">
                    <c:v>PSE Customer-Sited Solar+Storage Offering (Solar)</c:v>
                  </c:pt>
                  <c:pt idx="5">
                    <c:v>Residential Roof-top Solar Leasing</c:v>
                  </c:pt>
                  <c:pt idx="6">
                    <c:v>Multi-Family Roof-top Solar Incentive</c:v>
                  </c:pt>
                  <c:pt idx="7">
                    <c:v>Residential Roof-top Solar Leasing - Low Income</c:v>
                  </c:pt>
                  <c:pt idx="8">
                    <c:v>Multi-Family Solar Partnership</c:v>
                  </c:pt>
                </c:lvl>
                <c:lvl>
                  <c:pt idx="0">
                    <c:v>Not selected</c:v>
                  </c:pt>
                  <c:pt idx="2">
                    <c:v>Selected</c:v>
                  </c:pt>
                </c:lvl>
              </c:multiLvlStrCache>
            </c:multiLvlStrRef>
          </c:cat>
          <c:val>
            <c:numRef>
              <c:f>'Analysis Summary'!$H$191:$H$202</c:f>
              <c:numCache>
                <c:formatCode>General</c:formatCode>
                <c:ptCount val="9"/>
                <c:pt idx="0">
                  <c:v>22.8</c:v>
                </c:pt>
                <c:pt idx="1">
                  <c:v>21.6</c:v>
                </c:pt>
                <c:pt idx="2">
                  <c:v>8.5960000000000001</c:v>
                </c:pt>
                <c:pt idx="3">
                  <c:v>6.8</c:v>
                </c:pt>
                <c:pt idx="4">
                  <c:v>6.5039999999999996</c:v>
                </c:pt>
                <c:pt idx="5">
                  <c:v>3.2759999999999998</c:v>
                </c:pt>
                <c:pt idx="6">
                  <c:v>0.498</c:v>
                </c:pt>
                <c:pt idx="7">
                  <c:v>0.46200000000000002</c:v>
                </c:pt>
                <c:pt idx="8">
                  <c:v>0.16600000000000001</c:v>
                </c:pt>
              </c:numCache>
            </c:numRef>
          </c:val>
          <c:extLst>
            <c:ext xmlns:c16="http://schemas.microsoft.com/office/drawing/2014/chart" uri="{C3380CC4-5D6E-409C-BE32-E72D297353CC}">
              <c16:uniqueId val="{00000055-1D59-4DCF-9F52-D877BC0AE9D0}"/>
            </c:ext>
          </c:extLst>
        </c:ser>
        <c:ser>
          <c:idx val="6"/>
          <c:order val="6"/>
          <c:tx>
            <c:strRef>
              <c:f>'Analysis Summary'!$I$190</c:f>
              <c:strCache>
                <c:ptCount val="1"/>
                <c:pt idx="0">
                  <c:v>Average of 2028</c:v>
                </c:pt>
              </c:strCache>
            </c:strRef>
          </c:tx>
          <c:spPr>
            <a:solidFill>
              <a:schemeClr val="accent1">
                <a:shade val="72000"/>
              </a:schemeClr>
            </a:solidFill>
            <a:ln>
              <a:noFill/>
            </a:ln>
            <a:effectLst/>
          </c:spPr>
          <c:invertIfNegative val="0"/>
          <c:cat>
            <c:multiLvlStrRef>
              <c:f>'Analysis Summary'!$B$191:$B$202</c:f>
              <c:multiLvlStrCache>
                <c:ptCount val="9"/>
                <c:lvl>
                  <c:pt idx="0">
                    <c:v>Multi-family Community Solar</c:v>
                  </c:pt>
                  <c:pt idx="1">
                    <c:v>C&amp;I Roof-top Solar Leasing</c:v>
                  </c:pt>
                  <c:pt idx="2">
                    <c:v>C&amp;I Roof-top Solar Incentive</c:v>
                  </c:pt>
                  <c:pt idx="3">
                    <c:v>3rd Party Distributed Solar PPA (or Solar Lease)</c:v>
                  </c:pt>
                  <c:pt idx="4">
                    <c:v>PSE Customer-Sited Solar+Storage Offering (Solar)</c:v>
                  </c:pt>
                  <c:pt idx="5">
                    <c:v>Residential Roof-top Solar Leasing</c:v>
                  </c:pt>
                  <c:pt idx="6">
                    <c:v>Multi-Family Roof-top Solar Incentive</c:v>
                  </c:pt>
                  <c:pt idx="7">
                    <c:v>Residential Roof-top Solar Leasing - Low Income</c:v>
                  </c:pt>
                  <c:pt idx="8">
                    <c:v>Multi-Family Solar Partnership</c:v>
                  </c:pt>
                </c:lvl>
                <c:lvl>
                  <c:pt idx="0">
                    <c:v>Not selected</c:v>
                  </c:pt>
                  <c:pt idx="2">
                    <c:v>Selected</c:v>
                  </c:pt>
                </c:lvl>
              </c:multiLvlStrCache>
            </c:multiLvlStrRef>
          </c:cat>
          <c:val>
            <c:numRef>
              <c:f>'Analysis Summary'!$I$191:$I$202</c:f>
              <c:numCache>
                <c:formatCode>General</c:formatCode>
                <c:ptCount val="9"/>
                <c:pt idx="0">
                  <c:v>22.8</c:v>
                </c:pt>
                <c:pt idx="1">
                  <c:v>21.6</c:v>
                </c:pt>
                <c:pt idx="2">
                  <c:v>10.131</c:v>
                </c:pt>
                <c:pt idx="3">
                  <c:v>8.8000000000000007</c:v>
                </c:pt>
                <c:pt idx="4">
                  <c:v>7.4340000000000002</c:v>
                </c:pt>
                <c:pt idx="5">
                  <c:v>4.1820000000000004</c:v>
                </c:pt>
                <c:pt idx="6">
                  <c:v>0.58099999999999996</c:v>
                </c:pt>
                <c:pt idx="7">
                  <c:v>0.59399999999999997</c:v>
                </c:pt>
                <c:pt idx="8">
                  <c:v>0.249</c:v>
                </c:pt>
              </c:numCache>
            </c:numRef>
          </c:val>
          <c:extLst>
            <c:ext xmlns:c16="http://schemas.microsoft.com/office/drawing/2014/chart" uri="{C3380CC4-5D6E-409C-BE32-E72D297353CC}">
              <c16:uniqueId val="{00000056-1D59-4DCF-9F52-D877BC0AE9D0}"/>
            </c:ext>
          </c:extLst>
        </c:ser>
        <c:ser>
          <c:idx val="7"/>
          <c:order val="7"/>
          <c:tx>
            <c:strRef>
              <c:f>'Analysis Summary'!$J$190</c:f>
              <c:strCache>
                <c:ptCount val="1"/>
                <c:pt idx="0">
                  <c:v>Average of 2029</c:v>
                </c:pt>
              </c:strCache>
            </c:strRef>
          </c:tx>
          <c:spPr>
            <a:solidFill>
              <a:schemeClr val="accent1">
                <a:shade val="58000"/>
              </a:schemeClr>
            </a:solidFill>
            <a:ln>
              <a:noFill/>
            </a:ln>
            <a:effectLst/>
          </c:spPr>
          <c:invertIfNegative val="0"/>
          <c:cat>
            <c:multiLvlStrRef>
              <c:f>'Analysis Summary'!$B$191:$B$202</c:f>
              <c:multiLvlStrCache>
                <c:ptCount val="9"/>
                <c:lvl>
                  <c:pt idx="0">
                    <c:v>Multi-family Community Solar</c:v>
                  </c:pt>
                  <c:pt idx="1">
                    <c:v>C&amp;I Roof-top Solar Leasing</c:v>
                  </c:pt>
                  <c:pt idx="2">
                    <c:v>C&amp;I Roof-top Solar Incentive</c:v>
                  </c:pt>
                  <c:pt idx="3">
                    <c:v>3rd Party Distributed Solar PPA (or Solar Lease)</c:v>
                  </c:pt>
                  <c:pt idx="4">
                    <c:v>PSE Customer-Sited Solar+Storage Offering (Solar)</c:v>
                  </c:pt>
                  <c:pt idx="5">
                    <c:v>Residential Roof-top Solar Leasing</c:v>
                  </c:pt>
                  <c:pt idx="6">
                    <c:v>Multi-Family Roof-top Solar Incentive</c:v>
                  </c:pt>
                  <c:pt idx="7">
                    <c:v>Residential Roof-top Solar Leasing - Low Income</c:v>
                  </c:pt>
                  <c:pt idx="8">
                    <c:v>Multi-Family Solar Partnership</c:v>
                  </c:pt>
                </c:lvl>
                <c:lvl>
                  <c:pt idx="0">
                    <c:v>Not selected</c:v>
                  </c:pt>
                  <c:pt idx="2">
                    <c:v>Selected</c:v>
                  </c:pt>
                </c:lvl>
              </c:multiLvlStrCache>
            </c:multiLvlStrRef>
          </c:cat>
          <c:val>
            <c:numRef>
              <c:f>'Analysis Summary'!$J$191:$J$202</c:f>
              <c:numCache>
                <c:formatCode>General</c:formatCode>
                <c:ptCount val="9"/>
                <c:pt idx="0">
                  <c:v>22.8</c:v>
                </c:pt>
                <c:pt idx="1">
                  <c:v>21.6</c:v>
                </c:pt>
                <c:pt idx="2">
                  <c:v>11.666</c:v>
                </c:pt>
                <c:pt idx="3">
                  <c:v>11.2</c:v>
                </c:pt>
                <c:pt idx="4">
                  <c:v>8.4179999999999993</c:v>
                </c:pt>
                <c:pt idx="5">
                  <c:v>5.2859999999999996</c:v>
                </c:pt>
                <c:pt idx="6">
                  <c:v>0.66400000000000003</c:v>
                </c:pt>
                <c:pt idx="7">
                  <c:v>0.75</c:v>
                </c:pt>
                <c:pt idx="8">
                  <c:v>0.249</c:v>
                </c:pt>
              </c:numCache>
            </c:numRef>
          </c:val>
          <c:extLst>
            <c:ext xmlns:c16="http://schemas.microsoft.com/office/drawing/2014/chart" uri="{C3380CC4-5D6E-409C-BE32-E72D297353CC}">
              <c16:uniqueId val="{00000057-1D59-4DCF-9F52-D877BC0AE9D0}"/>
            </c:ext>
          </c:extLst>
        </c:ser>
        <c:ser>
          <c:idx val="8"/>
          <c:order val="8"/>
          <c:tx>
            <c:strRef>
              <c:f>'Analysis Summary'!$K$190</c:f>
              <c:strCache>
                <c:ptCount val="1"/>
                <c:pt idx="0">
                  <c:v>Average of 2030</c:v>
                </c:pt>
              </c:strCache>
            </c:strRef>
          </c:tx>
          <c:spPr>
            <a:solidFill>
              <a:schemeClr val="accent1">
                <a:shade val="44000"/>
              </a:schemeClr>
            </a:solidFill>
            <a:ln>
              <a:noFill/>
            </a:ln>
            <a:effectLst/>
          </c:spPr>
          <c:invertIfNegative val="0"/>
          <c:cat>
            <c:multiLvlStrRef>
              <c:f>'Analysis Summary'!$B$191:$B$202</c:f>
              <c:multiLvlStrCache>
                <c:ptCount val="9"/>
                <c:lvl>
                  <c:pt idx="0">
                    <c:v>Multi-family Community Solar</c:v>
                  </c:pt>
                  <c:pt idx="1">
                    <c:v>C&amp;I Roof-top Solar Leasing</c:v>
                  </c:pt>
                  <c:pt idx="2">
                    <c:v>C&amp;I Roof-top Solar Incentive</c:v>
                  </c:pt>
                  <c:pt idx="3">
                    <c:v>3rd Party Distributed Solar PPA (or Solar Lease)</c:v>
                  </c:pt>
                  <c:pt idx="4">
                    <c:v>PSE Customer-Sited Solar+Storage Offering (Solar)</c:v>
                  </c:pt>
                  <c:pt idx="5">
                    <c:v>Residential Roof-top Solar Leasing</c:v>
                  </c:pt>
                  <c:pt idx="6">
                    <c:v>Multi-Family Roof-top Solar Incentive</c:v>
                  </c:pt>
                  <c:pt idx="7">
                    <c:v>Residential Roof-top Solar Leasing - Low Income</c:v>
                  </c:pt>
                  <c:pt idx="8">
                    <c:v>Multi-Family Solar Partnership</c:v>
                  </c:pt>
                </c:lvl>
                <c:lvl>
                  <c:pt idx="0">
                    <c:v>Not selected</c:v>
                  </c:pt>
                  <c:pt idx="2">
                    <c:v>Selected</c:v>
                  </c:pt>
                </c:lvl>
              </c:multiLvlStrCache>
            </c:multiLvlStrRef>
          </c:cat>
          <c:val>
            <c:numRef>
              <c:f>'Analysis Summary'!$K$191:$K$202</c:f>
              <c:numCache>
                <c:formatCode>General</c:formatCode>
                <c:ptCount val="9"/>
                <c:pt idx="0">
                  <c:v>22.8</c:v>
                </c:pt>
                <c:pt idx="1">
                  <c:v>21.6</c:v>
                </c:pt>
                <c:pt idx="2">
                  <c:v>13.201000000000001</c:v>
                </c:pt>
                <c:pt idx="3">
                  <c:v>13.2</c:v>
                </c:pt>
                <c:pt idx="4">
                  <c:v>9.4559999999999995</c:v>
                </c:pt>
                <c:pt idx="5">
                  <c:v>6.6779999999999999</c:v>
                </c:pt>
                <c:pt idx="6">
                  <c:v>0.66400000000000003</c:v>
                </c:pt>
                <c:pt idx="7">
                  <c:v>0.94799999999999995</c:v>
                </c:pt>
                <c:pt idx="8">
                  <c:v>0.33200000000000002</c:v>
                </c:pt>
              </c:numCache>
            </c:numRef>
          </c:val>
          <c:extLst>
            <c:ext xmlns:c16="http://schemas.microsoft.com/office/drawing/2014/chart" uri="{C3380CC4-5D6E-409C-BE32-E72D297353CC}">
              <c16:uniqueId val="{00000058-1D59-4DCF-9F52-D877BC0AE9D0}"/>
            </c:ext>
          </c:extLst>
        </c:ser>
        <c:dLbls>
          <c:showLegendKey val="0"/>
          <c:showVal val="0"/>
          <c:showCatName val="0"/>
          <c:showSerName val="0"/>
          <c:showPercent val="0"/>
          <c:showBubbleSize val="0"/>
        </c:dLbls>
        <c:gapWidth val="182"/>
        <c:axId val="798896560"/>
        <c:axId val="798902792"/>
      </c:barChart>
      <c:catAx>
        <c:axId val="798896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8902792"/>
        <c:crosses val="autoZero"/>
        <c:auto val="1"/>
        <c:lblAlgn val="ctr"/>
        <c:lblOffset val="100"/>
        <c:noMultiLvlLbl val="0"/>
      </c:catAx>
      <c:valAx>
        <c:axId val="7989027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baseline="0">
                    <a:effectLst/>
                  </a:rPr>
                  <a:t>Annual Achievable Market Potential (MW-AC)</a:t>
                </a:r>
                <a:endParaRPr lang="en-US" sz="1000">
                  <a:effectLst/>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889656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pivotSource>
    <c:name>[210795 PSE CEIP Draft PC Comments_Appendix-B-Cost-Analysis.xlsx]Analysis Summary!PivotTable13</c:name>
    <c:fmtId val="53"/>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s>
    <c:plotArea>
      <c:layout/>
      <c:barChart>
        <c:barDir val="col"/>
        <c:grouping val="clustered"/>
        <c:varyColors val="0"/>
        <c:ser>
          <c:idx val="0"/>
          <c:order val="0"/>
          <c:tx>
            <c:strRef>
              <c:f>'Analysis Summary'!$C$230</c:f>
              <c:strCache>
                <c:ptCount val="1"/>
                <c:pt idx="0">
                  <c:v>Average of 2022</c:v>
                </c:pt>
              </c:strCache>
            </c:strRef>
          </c:tx>
          <c:spPr>
            <a:solidFill>
              <a:schemeClr val="accent1">
                <a:tint val="44000"/>
              </a:schemeClr>
            </a:solidFill>
            <a:ln>
              <a:noFill/>
            </a:ln>
            <a:effectLst/>
          </c:spPr>
          <c:invertIfNegative val="0"/>
          <c:cat>
            <c:multiLvlStrRef>
              <c:f>'Analysis Summary'!$B$231:$B$243</c:f>
              <c:multiLvlStrCache>
                <c:ptCount val="10"/>
                <c:lvl>
                  <c:pt idx="0">
                    <c:v>3rd Party Customer-Sited Distributed Battery PPA</c:v>
                  </c:pt>
                  <c:pt idx="1">
                    <c:v>Multi-Family Unit Battery Program</c:v>
                  </c:pt>
                  <c:pt idx="2">
                    <c:v>3rd Party Utility-scale Distributed Battery PPA</c:v>
                  </c:pt>
                  <c:pt idx="3">
                    <c:v>C&amp;I Battery Install Incentive</c:v>
                  </c:pt>
                  <c:pt idx="4">
                    <c:v>Residential Battery Install Incentive</c:v>
                  </c:pt>
                  <c:pt idx="5">
                    <c:v>C&amp;I Battery BYO</c:v>
                  </c:pt>
                  <c:pt idx="6">
                    <c:v>C&amp;I Space Leasing for Batteries</c:v>
                  </c:pt>
                  <c:pt idx="7">
                    <c:v>PSE Customer-Sited Solar+Storage Offering (Battery)</c:v>
                  </c:pt>
                  <c:pt idx="8">
                    <c:v>Residential PSE Battery Leasing</c:v>
                  </c:pt>
                  <c:pt idx="9">
                    <c:v>Residential PSE Battery Leasing - Low Income</c:v>
                  </c:pt>
                </c:lvl>
                <c:lvl>
                  <c:pt idx="0">
                    <c:v>Not selected</c:v>
                  </c:pt>
                  <c:pt idx="6">
                    <c:v>Selected</c:v>
                  </c:pt>
                </c:lvl>
              </c:multiLvlStrCache>
            </c:multiLvlStrRef>
          </c:cat>
          <c:val>
            <c:numRef>
              <c:f>'Analysis Summary'!$C$231:$C$243</c:f>
              <c:numCache>
                <c:formatCode>General</c:formatCode>
                <c:ptCount val="10"/>
                <c:pt idx="0">
                  <c:v>6.8</c:v>
                </c:pt>
                <c:pt idx="1">
                  <c:v>0.5</c:v>
                </c:pt>
                <c:pt idx="2">
                  <c:v>0</c:v>
                </c:pt>
                <c:pt idx="3">
                  <c:v>0.4</c:v>
                </c:pt>
                <c:pt idx="4">
                  <c:v>0.26500000000000001</c:v>
                </c:pt>
                <c:pt idx="5">
                  <c:v>0.2</c:v>
                </c:pt>
                <c:pt idx="6">
                  <c:v>3.6</c:v>
                </c:pt>
                <c:pt idx="7">
                  <c:v>2.39</c:v>
                </c:pt>
                <c:pt idx="8">
                  <c:v>1.1200000000000001</c:v>
                </c:pt>
                <c:pt idx="9">
                  <c:v>0.11</c:v>
                </c:pt>
              </c:numCache>
            </c:numRef>
          </c:val>
          <c:extLst>
            <c:ext xmlns:c16="http://schemas.microsoft.com/office/drawing/2014/chart" uri="{C3380CC4-5D6E-409C-BE32-E72D297353CC}">
              <c16:uniqueId val="{00000000-FCB5-4FCA-A7B6-944AC799961A}"/>
            </c:ext>
          </c:extLst>
        </c:ser>
        <c:ser>
          <c:idx val="1"/>
          <c:order val="1"/>
          <c:tx>
            <c:strRef>
              <c:f>'Analysis Summary'!$D$230</c:f>
              <c:strCache>
                <c:ptCount val="1"/>
                <c:pt idx="0">
                  <c:v>Average of 2023</c:v>
                </c:pt>
              </c:strCache>
            </c:strRef>
          </c:tx>
          <c:spPr>
            <a:solidFill>
              <a:schemeClr val="accent1">
                <a:tint val="58000"/>
              </a:schemeClr>
            </a:solidFill>
            <a:ln>
              <a:noFill/>
            </a:ln>
            <a:effectLst/>
          </c:spPr>
          <c:invertIfNegative val="0"/>
          <c:cat>
            <c:multiLvlStrRef>
              <c:f>'Analysis Summary'!$B$231:$B$243</c:f>
              <c:multiLvlStrCache>
                <c:ptCount val="10"/>
                <c:lvl>
                  <c:pt idx="0">
                    <c:v>3rd Party Customer-Sited Distributed Battery PPA</c:v>
                  </c:pt>
                  <c:pt idx="1">
                    <c:v>Multi-Family Unit Battery Program</c:v>
                  </c:pt>
                  <c:pt idx="2">
                    <c:v>3rd Party Utility-scale Distributed Battery PPA</c:v>
                  </c:pt>
                  <c:pt idx="3">
                    <c:v>C&amp;I Battery Install Incentive</c:v>
                  </c:pt>
                  <c:pt idx="4">
                    <c:v>Residential Battery Install Incentive</c:v>
                  </c:pt>
                  <c:pt idx="5">
                    <c:v>C&amp;I Battery BYO</c:v>
                  </c:pt>
                  <c:pt idx="6">
                    <c:v>C&amp;I Space Leasing for Batteries</c:v>
                  </c:pt>
                  <c:pt idx="7">
                    <c:v>PSE Customer-Sited Solar+Storage Offering (Battery)</c:v>
                  </c:pt>
                  <c:pt idx="8">
                    <c:v>Residential PSE Battery Leasing</c:v>
                  </c:pt>
                  <c:pt idx="9">
                    <c:v>Residential PSE Battery Leasing - Low Income</c:v>
                  </c:pt>
                </c:lvl>
                <c:lvl>
                  <c:pt idx="0">
                    <c:v>Not selected</c:v>
                  </c:pt>
                  <c:pt idx="6">
                    <c:v>Selected</c:v>
                  </c:pt>
                </c:lvl>
              </c:multiLvlStrCache>
            </c:multiLvlStrRef>
          </c:cat>
          <c:val>
            <c:numRef>
              <c:f>'Analysis Summary'!$D$231:$D$243</c:f>
              <c:numCache>
                <c:formatCode>General</c:formatCode>
                <c:ptCount val="10"/>
                <c:pt idx="0">
                  <c:v>7</c:v>
                </c:pt>
                <c:pt idx="1">
                  <c:v>0.75</c:v>
                </c:pt>
                <c:pt idx="2">
                  <c:v>0</c:v>
                </c:pt>
                <c:pt idx="3">
                  <c:v>0.6</c:v>
                </c:pt>
                <c:pt idx="4">
                  <c:v>0.315</c:v>
                </c:pt>
                <c:pt idx="5">
                  <c:v>0.4</c:v>
                </c:pt>
                <c:pt idx="6">
                  <c:v>7.2</c:v>
                </c:pt>
                <c:pt idx="7">
                  <c:v>2.88</c:v>
                </c:pt>
                <c:pt idx="8">
                  <c:v>1.145</c:v>
                </c:pt>
                <c:pt idx="9">
                  <c:v>0.11</c:v>
                </c:pt>
              </c:numCache>
            </c:numRef>
          </c:val>
          <c:extLst>
            <c:ext xmlns:c16="http://schemas.microsoft.com/office/drawing/2014/chart" uri="{C3380CC4-5D6E-409C-BE32-E72D297353CC}">
              <c16:uniqueId val="{00000001-FCB5-4FCA-A7B6-944AC799961A}"/>
            </c:ext>
          </c:extLst>
        </c:ser>
        <c:ser>
          <c:idx val="2"/>
          <c:order val="2"/>
          <c:tx>
            <c:strRef>
              <c:f>'Analysis Summary'!$E$230</c:f>
              <c:strCache>
                <c:ptCount val="1"/>
                <c:pt idx="0">
                  <c:v>Average of 2024</c:v>
                </c:pt>
              </c:strCache>
            </c:strRef>
          </c:tx>
          <c:spPr>
            <a:solidFill>
              <a:schemeClr val="accent1">
                <a:tint val="72000"/>
              </a:schemeClr>
            </a:solidFill>
            <a:ln>
              <a:noFill/>
            </a:ln>
            <a:effectLst/>
          </c:spPr>
          <c:invertIfNegative val="0"/>
          <c:cat>
            <c:multiLvlStrRef>
              <c:f>'Analysis Summary'!$B$231:$B$243</c:f>
              <c:multiLvlStrCache>
                <c:ptCount val="10"/>
                <c:lvl>
                  <c:pt idx="0">
                    <c:v>3rd Party Customer-Sited Distributed Battery PPA</c:v>
                  </c:pt>
                  <c:pt idx="1">
                    <c:v>Multi-Family Unit Battery Program</c:v>
                  </c:pt>
                  <c:pt idx="2">
                    <c:v>3rd Party Utility-scale Distributed Battery PPA</c:v>
                  </c:pt>
                  <c:pt idx="3">
                    <c:v>C&amp;I Battery Install Incentive</c:v>
                  </c:pt>
                  <c:pt idx="4">
                    <c:v>Residential Battery Install Incentive</c:v>
                  </c:pt>
                  <c:pt idx="5">
                    <c:v>C&amp;I Battery BYO</c:v>
                  </c:pt>
                  <c:pt idx="6">
                    <c:v>C&amp;I Space Leasing for Batteries</c:v>
                  </c:pt>
                  <c:pt idx="7">
                    <c:v>PSE Customer-Sited Solar+Storage Offering (Battery)</c:v>
                  </c:pt>
                  <c:pt idx="8">
                    <c:v>Residential PSE Battery Leasing</c:v>
                  </c:pt>
                  <c:pt idx="9">
                    <c:v>Residential PSE Battery Leasing - Low Income</c:v>
                  </c:pt>
                </c:lvl>
                <c:lvl>
                  <c:pt idx="0">
                    <c:v>Not selected</c:v>
                  </c:pt>
                  <c:pt idx="6">
                    <c:v>Selected</c:v>
                  </c:pt>
                </c:lvl>
              </c:multiLvlStrCache>
            </c:multiLvlStrRef>
          </c:cat>
          <c:val>
            <c:numRef>
              <c:f>'Analysis Summary'!$E$231:$E$243</c:f>
              <c:numCache>
                <c:formatCode>General</c:formatCode>
                <c:ptCount val="10"/>
                <c:pt idx="0">
                  <c:v>7.2</c:v>
                </c:pt>
                <c:pt idx="1">
                  <c:v>0.75</c:v>
                </c:pt>
                <c:pt idx="2">
                  <c:v>0</c:v>
                </c:pt>
                <c:pt idx="3">
                  <c:v>0.8</c:v>
                </c:pt>
                <c:pt idx="4">
                  <c:v>0.37</c:v>
                </c:pt>
                <c:pt idx="5">
                  <c:v>0.4</c:v>
                </c:pt>
                <c:pt idx="6">
                  <c:v>7.2</c:v>
                </c:pt>
                <c:pt idx="7">
                  <c:v>3.43</c:v>
                </c:pt>
                <c:pt idx="8">
                  <c:v>1.165</c:v>
                </c:pt>
                <c:pt idx="9">
                  <c:v>0.11</c:v>
                </c:pt>
              </c:numCache>
            </c:numRef>
          </c:val>
          <c:extLst>
            <c:ext xmlns:c16="http://schemas.microsoft.com/office/drawing/2014/chart" uri="{C3380CC4-5D6E-409C-BE32-E72D297353CC}">
              <c16:uniqueId val="{00000002-FCB5-4FCA-A7B6-944AC799961A}"/>
            </c:ext>
          </c:extLst>
        </c:ser>
        <c:ser>
          <c:idx val="3"/>
          <c:order val="3"/>
          <c:tx>
            <c:strRef>
              <c:f>'Analysis Summary'!$F$230</c:f>
              <c:strCache>
                <c:ptCount val="1"/>
                <c:pt idx="0">
                  <c:v>Average of 2025</c:v>
                </c:pt>
              </c:strCache>
            </c:strRef>
          </c:tx>
          <c:spPr>
            <a:solidFill>
              <a:schemeClr val="accent1">
                <a:tint val="86000"/>
              </a:schemeClr>
            </a:solidFill>
            <a:ln>
              <a:noFill/>
            </a:ln>
            <a:effectLst/>
          </c:spPr>
          <c:invertIfNegative val="0"/>
          <c:cat>
            <c:multiLvlStrRef>
              <c:f>'Analysis Summary'!$B$231:$B$243</c:f>
              <c:multiLvlStrCache>
                <c:ptCount val="10"/>
                <c:lvl>
                  <c:pt idx="0">
                    <c:v>3rd Party Customer-Sited Distributed Battery PPA</c:v>
                  </c:pt>
                  <c:pt idx="1">
                    <c:v>Multi-Family Unit Battery Program</c:v>
                  </c:pt>
                  <c:pt idx="2">
                    <c:v>3rd Party Utility-scale Distributed Battery PPA</c:v>
                  </c:pt>
                  <c:pt idx="3">
                    <c:v>C&amp;I Battery Install Incentive</c:v>
                  </c:pt>
                  <c:pt idx="4">
                    <c:v>Residential Battery Install Incentive</c:v>
                  </c:pt>
                  <c:pt idx="5">
                    <c:v>C&amp;I Battery BYO</c:v>
                  </c:pt>
                  <c:pt idx="6">
                    <c:v>C&amp;I Space Leasing for Batteries</c:v>
                  </c:pt>
                  <c:pt idx="7">
                    <c:v>PSE Customer-Sited Solar+Storage Offering (Battery)</c:v>
                  </c:pt>
                  <c:pt idx="8">
                    <c:v>Residential PSE Battery Leasing</c:v>
                  </c:pt>
                  <c:pt idx="9">
                    <c:v>Residential PSE Battery Leasing - Low Income</c:v>
                  </c:pt>
                </c:lvl>
                <c:lvl>
                  <c:pt idx="0">
                    <c:v>Not selected</c:v>
                  </c:pt>
                  <c:pt idx="6">
                    <c:v>Selected</c:v>
                  </c:pt>
                </c:lvl>
              </c:multiLvlStrCache>
            </c:multiLvlStrRef>
          </c:cat>
          <c:val>
            <c:numRef>
              <c:f>'Analysis Summary'!$F$231:$F$243</c:f>
              <c:numCache>
                <c:formatCode>General</c:formatCode>
                <c:ptCount val="10"/>
                <c:pt idx="0">
                  <c:v>7.4</c:v>
                </c:pt>
                <c:pt idx="1">
                  <c:v>0.75</c:v>
                </c:pt>
                <c:pt idx="2">
                  <c:v>0</c:v>
                </c:pt>
                <c:pt idx="3">
                  <c:v>1.2</c:v>
                </c:pt>
                <c:pt idx="4">
                  <c:v>0.43</c:v>
                </c:pt>
                <c:pt idx="5">
                  <c:v>0.6</c:v>
                </c:pt>
                <c:pt idx="6">
                  <c:v>7.2</c:v>
                </c:pt>
                <c:pt idx="7">
                  <c:v>4.0350000000000001</c:v>
                </c:pt>
                <c:pt idx="8">
                  <c:v>1.1850000000000001</c:v>
                </c:pt>
                <c:pt idx="9">
                  <c:v>0.11</c:v>
                </c:pt>
              </c:numCache>
            </c:numRef>
          </c:val>
          <c:extLst>
            <c:ext xmlns:c16="http://schemas.microsoft.com/office/drawing/2014/chart" uri="{C3380CC4-5D6E-409C-BE32-E72D297353CC}">
              <c16:uniqueId val="{00000003-FCB5-4FCA-A7B6-944AC799961A}"/>
            </c:ext>
          </c:extLst>
        </c:ser>
        <c:ser>
          <c:idx val="4"/>
          <c:order val="4"/>
          <c:tx>
            <c:strRef>
              <c:f>'Analysis Summary'!$G$230</c:f>
              <c:strCache>
                <c:ptCount val="1"/>
                <c:pt idx="0">
                  <c:v>Average of 2026</c:v>
                </c:pt>
              </c:strCache>
            </c:strRef>
          </c:tx>
          <c:spPr>
            <a:solidFill>
              <a:schemeClr val="accent1"/>
            </a:solidFill>
            <a:ln>
              <a:noFill/>
            </a:ln>
            <a:effectLst/>
          </c:spPr>
          <c:invertIfNegative val="0"/>
          <c:cat>
            <c:multiLvlStrRef>
              <c:f>'Analysis Summary'!$B$231:$B$243</c:f>
              <c:multiLvlStrCache>
                <c:ptCount val="10"/>
                <c:lvl>
                  <c:pt idx="0">
                    <c:v>3rd Party Customer-Sited Distributed Battery PPA</c:v>
                  </c:pt>
                  <c:pt idx="1">
                    <c:v>Multi-Family Unit Battery Program</c:v>
                  </c:pt>
                  <c:pt idx="2">
                    <c:v>3rd Party Utility-scale Distributed Battery PPA</c:v>
                  </c:pt>
                  <c:pt idx="3">
                    <c:v>C&amp;I Battery Install Incentive</c:v>
                  </c:pt>
                  <c:pt idx="4">
                    <c:v>Residential Battery Install Incentive</c:v>
                  </c:pt>
                  <c:pt idx="5">
                    <c:v>C&amp;I Battery BYO</c:v>
                  </c:pt>
                  <c:pt idx="6">
                    <c:v>C&amp;I Space Leasing for Batteries</c:v>
                  </c:pt>
                  <c:pt idx="7">
                    <c:v>PSE Customer-Sited Solar+Storage Offering (Battery)</c:v>
                  </c:pt>
                  <c:pt idx="8">
                    <c:v>Residential PSE Battery Leasing</c:v>
                  </c:pt>
                  <c:pt idx="9">
                    <c:v>Residential PSE Battery Leasing - Low Income</c:v>
                  </c:pt>
                </c:lvl>
                <c:lvl>
                  <c:pt idx="0">
                    <c:v>Not selected</c:v>
                  </c:pt>
                  <c:pt idx="6">
                    <c:v>Selected</c:v>
                  </c:pt>
                </c:lvl>
              </c:multiLvlStrCache>
            </c:multiLvlStrRef>
          </c:cat>
          <c:val>
            <c:numRef>
              <c:f>'Analysis Summary'!$G$231:$G$243</c:f>
              <c:numCache>
                <c:formatCode>General</c:formatCode>
                <c:ptCount val="10"/>
                <c:pt idx="0">
                  <c:v>7.4</c:v>
                </c:pt>
                <c:pt idx="1">
                  <c:v>1.75</c:v>
                </c:pt>
                <c:pt idx="2">
                  <c:v>0</c:v>
                </c:pt>
                <c:pt idx="3">
                  <c:v>1.6</c:v>
                </c:pt>
                <c:pt idx="4">
                  <c:v>0.495</c:v>
                </c:pt>
                <c:pt idx="5">
                  <c:v>0.8</c:v>
                </c:pt>
                <c:pt idx="6">
                  <c:v>14.4</c:v>
                </c:pt>
                <c:pt idx="7">
                  <c:v>4.7</c:v>
                </c:pt>
                <c:pt idx="8">
                  <c:v>1.2</c:v>
                </c:pt>
                <c:pt idx="9">
                  <c:v>0.11</c:v>
                </c:pt>
              </c:numCache>
            </c:numRef>
          </c:val>
          <c:extLst>
            <c:ext xmlns:c16="http://schemas.microsoft.com/office/drawing/2014/chart" uri="{C3380CC4-5D6E-409C-BE32-E72D297353CC}">
              <c16:uniqueId val="{00000004-FCB5-4FCA-A7B6-944AC799961A}"/>
            </c:ext>
          </c:extLst>
        </c:ser>
        <c:ser>
          <c:idx val="5"/>
          <c:order val="5"/>
          <c:tx>
            <c:strRef>
              <c:f>'Analysis Summary'!$H$230</c:f>
              <c:strCache>
                <c:ptCount val="1"/>
                <c:pt idx="0">
                  <c:v>Average of 2027</c:v>
                </c:pt>
              </c:strCache>
            </c:strRef>
          </c:tx>
          <c:spPr>
            <a:solidFill>
              <a:schemeClr val="accent1">
                <a:shade val="86000"/>
              </a:schemeClr>
            </a:solidFill>
            <a:ln>
              <a:noFill/>
            </a:ln>
            <a:effectLst/>
          </c:spPr>
          <c:invertIfNegative val="0"/>
          <c:cat>
            <c:multiLvlStrRef>
              <c:f>'Analysis Summary'!$B$231:$B$243</c:f>
              <c:multiLvlStrCache>
                <c:ptCount val="10"/>
                <c:lvl>
                  <c:pt idx="0">
                    <c:v>3rd Party Customer-Sited Distributed Battery PPA</c:v>
                  </c:pt>
                  <c:pt idx="1">
                    <c:v>Multi-Family Unit Battery Program</c:v>
                  </c:pt>
                  <c:pt idx="2">
                    <c:v>3rd Party Utility-scale Distributed Battery PPA</c:v>
                  </c:pt>
                  <c:pt idx="3">
                    <c:v>C&amp;I Battery Install Incentive</c:v>
                  </c:pt>
                  <c:pt idx="4">
                    <c:v>Residential Battery Install Incentive</c:v>
                  </c:pt>
                  <c:pt idx="5">
                    <c:v>C&amp;I Battery BYO</c:v>
                  </c:pt>
                  <c:pt idx="6">
                    <c:v>C&amp;I Space Leasing for Batteries</c:v>
                  </c:pt>
                  <c:pt idx="7">
                    <c:v>PSE Customer-Sited Solar+Storage Offering (Battery)</c:v>
                  </c:pt>
                  <c:pt idx="8">
                    <c:v>Residential PSE Battery Leasing</c:v>
                  </c:pt>
                  <c:pt idx="9">
                    <c:v>Residential PSE Battery Leasing - Low Income</c:v>
                  </c:pt>
                </c:lvl>
                <c:lvl>
                  <c:pt idx="0">
                    <c:v>Not selected</c:v>
                  </c:pt>
                  <c:pt idx="6">
                    <c:v>Selected</c:v>
                  </c:pt>
                </c:lvl>
              </c:multiLvlStrCache>
            </c:multiLvlStrRef>
          </c:cat>
          <c:val>
            <c:numRef>
              <c:f>'Analysis Summary'!$H$231:$H$243</c:f>
              <c:numCache>
                <c:formatCode>General</c:formatCode>
                <c:ptCount val="10"/>
                <c:pt idx="0">
                  <c:v>7.6</c:v>
                </c:pt>
                <c:pt idx="1">
                  <c:v>1.75</c:v>
                </c:pt>
                <c:pt idx="2">
                  <c:v>0</c:v>
                </c:pt>
                <c:pt idx="3">
                  <c:v>2</c:v>
                </c:pt>
                <c:pt idx="4">
                  <c:v>0.56000000000000005</c:v>
                </c:pt>
                <c:pt idx="5">
                  <c:v>1</c:v>
                </c:pt>
                <c:pt idx="6">
                  <c:v>14.4</c:v>
                </c:pt>
                <c:pt idx="7">
                  <c:v>5.42</c:v>
                </c:pt>
                <c:pt idx="8">
                  <c:v>1.2150000000000001</c:v>
                </c:pt>
                <c:pt idx="9">
                  <c:v>0.11</c:v>
                </c:pt>
              </c:numCache>
            </c:numRef>
          </c:val>
          <c:extLst>
            <c:ext xmlns:c16="http://schemas.microsoft.com/office/drawing/2014/chart" uri="{C3380CC4-5D6E-409C-BE32-E72D297353CC}">
              <c16:uniqueId val="{00000005-FCB5-4FCA-A7B6-944AC799961A}"/>
            </c:ext>
          </c:extLst>
        </c:ser>
        <c:ser>
          <c:idx val="6"/>
          <c:order val="6"/>
          <c:tx>
            <c:strRef>
              <c:f>'Analysis Summary'!$I$230</c:f>
              <c:strCache>
                <c:ptCount val="1"/>
                <c:pt idx="0">
                  <c:v>Average of 2028</c:v>
                </c:pt>
              </c:strCache>
            </c:strRef>
          </c:tx>
          <c:spPr>
            <a:solidFill>
              <a:schemeClr val="accent1">
                <a:shade val="72000"/>
              </a:schemeClr>
            </a:solidFill>
            <a:ln>
              <a:noFill/>
            </a:ln>
            <a:effectLst/>
          </c:spPr>
          <c:invertIfNegative val="0"/>
          <c:cat>
            <c:multiLvlStrRef>
              <c:f>'Analysis Summary'!$B$231:$B$243</c:f>
              <c:multiLvlStrCache>
                <c:ptCount val="10"/>
                <c:lvl>
                  <c:pt idx="0">
                    <c:v>3rd Party Customer-Sited Distributed Battery PPA</c:v>
                  </c:pt>
                  <c:pt idx="1">
                    <c:v>Multi-Family Unit Battery Program</c:v>
                  </c:pt>
                  <c:pt idx="2">
                    <c:v>3rd Party Utility-scale Distributed Battery PPA</c:v>
                  </c:pt>
                  <c:pt idx="3">
                    <c:v>C&amp;I Battery Install Incentive</c:v>
                  </c:pt>
                  <c:pt idx="4">
                    <c:v>Residential Battery Install Incentive</c:v>
                  </c:pt>
                  <c:pt idx="5">
                    <c:v>C&amp;I Battery BYO</c:v>
                  </c:pt>
                  <c:pt idx="6">
                    <c:v>C&amp;I Space Leasing for Batteries</c:v>
                  </c:pt>
                  <c:pt idx="7">
                    <c:v>PSE Customer-Sited Solar+Storage Offering (Battery)</c:v>
                  </c:pt>
                  <c:pt idx="8">
                    <c:v>Residential PSE Battery Leasing</c:v>
                  </c:pt>
                  <c:pt idx="9">
                    <c:v>Residential PSE Battery Leasing - Low Income</c:v>
                  </c:pt>
                </c:lvl>
                <c:lvl>
                  <c:pt idx="0">
                    <c:v>Not selected</c:v>
                  </c:pt>
                  <c:pt idx="6">
                    <c:v>Selected</c:v>
                  </c:pt>
                </c:lvl>
              </c:multiLvlStrCache>
            </c:multiLvlStrRef>
          </c:cat>
          <c:val>
            <c:numRef>
              <c:f>'Analysis Summary'!$I$231:$I$243</c:f>
              <c:numCache>
                <c:formatCode>General</c:formatCode>
                <c:ptCount val="10"/>
                <c:pt idx="0">
                  <c:v>7.6</c:v>
                </c:pt>
                <c:pt idx="1">
                  <c:v>3.25</c:v>
                </c:pt>
                <c:pt idx="2">
                  <c:v>5</c:v>
                </c:pt>
                <c:pt idx="3">
                  <c:v>2.4</c:v>
                </c:pt>
                <c:pt idx="4">
                  <c:v>0.63</c:v>
                </c:pt>
                <c:pt idx="5">
                  <c:v>1.2</c:v>
                </c:pt>
                <c:pt idx="6">
                  <c:v>28.8</c:v>
                </c:pt>
                <c:pt idx="7">
                  <c:v>6.1950000000000003</c:v>
                </c:pt>
                <c:pt idx="8">
                  <c:v>1.23</c:v>
                </c:pt>
                <c:pt idx="9">
                  <c:v>0.11</c:v>
                </c:pt>
              </c:numCache>
            </c:numRef>
          </c:val>
          <c:extLst>
            <c:ext xmlns:c16="http://schemas.microsoft.com/office/drawing/2014/chart" uri="{C3380CC4-5D6E-409C-BE32-E72D297353CC}">
              <c16:uniqueId val="{00000006-FCB5-4FCA-A7B6-944AC799961A}"/>
            </c:ext>
          </c:extLst>
        </c:ser>
        <c:ser>
          <c:idx val="7"/>
          <c:order val="7"/>
          <c:tx>
            <c:strRef>
              <c:f>'Analysis Summary'!$J$230</c:f>
              <c:strCache>
                <c:ptCount val="1"/>
                <c:pt idx="0">
                  <c:v>Average of 2029</c:v>
                </c:pt>
              </c:strCache>
            </c:strRef>
          </c:tx>
          <c:spPr>
            <a:solidFill>
              <a:schemeClr val="accent1">
                <a:shade val="58000"/>
              </a:schemeClr>
            </a:solidFill>
            <a:ln>
              <a:noFill/>
            </a:ln>
            <a:effectLst/>
          </c:spPr>
          <c:invertIfNegative val="0"/>
          <c:cat>
            <c:multiLvlStrRef>
              <c:f>'Analysis Summary'!$B$231:$B$243</c:f>
              <c:multiLvlStrCache>
                <c:ptCount val="10"/>
                <c:lvl>
                  <c:pt idx="0">
                    <c:v>3rd Party Customer-Sited Distributed Battery PPA</c:v>
                  </c:pt>
                  <c:pt idx="1">
                    <c:v>Multi-Family Unit Battery Program</c:v>
                  </c:pt>
                  <c:pt idx="2">
                    <c:v>3rd Party Utility-scale Distributed Battery PPA</c:v>
                  </c:pt>
                  <c:pt idx="3">
                    <c:v>C&amp;I Battery Install Incentive</c:v>
                  </c:pt>
                  <c:pt idx="4">
                    <c:v>Residential Battery Install Incentive</c:v>
                  </c:pt>
                  <c:pt idx="5">
                    <c:v>C&amp;I Battery BYO</c:v>
                  </c:pt>
                  <c:pt idx="6">
                    <c:v>C&amp;I Space Leasing for Batteries</c:v>
                  </c:pt>
                  <c:pt idx="7">
                    <c:v>PSE Customer-Sited Solar+Storage Offering (Battery)</c:v>
                  </c:pt>
                  <c:pt idx="8">
                    <c:v>Residential PSE Battery Leasing</c:v>
                  </c:pt>
                  <c:pt idx="9">
                    <c:v>Residential PSE Battery Leasing - Low Income</c:v>
                  </c:pt>
                </c:lvl>
                <c:lvl>
                  <c:pt idx="0">
                    <c:v>Not selected</c:v>
                  </c:pt>
                  <c:pt idx="6">
                    <c:v>Selected</c:v>
                  </c:pt>
                </c:lvl>
              </c:multiLvlStrCache>
            </c:multiLvlStrRef>
          </c:cat>
          <c:val>
            <c:numRef>
              <c:f>'Analysis Summary'!$J$231:$J$243</c:f>
              <c:numCache>
                <c:formatCode>General</c:formatCode>
                <c:ptCount val="10"/>
                <c:pt idx="0">
                  <c:v>7.8</c:v>
                </c:pt>
                <c:pt idx="1">
                  <c:v>4.25</c:v>
                </c:pt>
                <c:pt idx="2">
                  <c:v>5</c:v>
                </c:pt>
                <c:pt idx="3">
                  <c:v>2.8</c:v>
                </c:pt>
                <c:pt idx="4">
                  <c:v>0.69499999999999995</c:v>
                </c:pt>
                <c:pt idx="5">
                  <c:v>1.4</c:v>
                </c:pt>
                <c:pt idx="6">
                  <c:v>36</c:v>
                </c:pt>
                <c:pt idx="7">
                  <c:v>7.0149999999999997</c:v>
                </c:pt>
                <c:pt idx="8">
                  <c:v>1.2450000000000001</c:v>
                </c:pt>
                <c:pt idx="9">
                  <c:v>0.11</c:v>
                </c:pt>
              </c:numCache>
            </c:numRef>
          </c:val>
          <c:extLst>
            <c:ext xmlns:c16="http://schemas.microsoft.com/office/drawing/2014/chart" uri="{C3380CC4-5D6E-409C-BE32-E72D297353CC}">
              <c16:uniqueId val="{00000007-FCB5-4FCA-A7B6-944AC799961A}"/>
            </c:ext>
          </c:extLst>
        </c:ser>
        <c:ser>
          <c:idx val="8"/>
          <c:order val="8"/>
          <c:tx>
            <c:strRef>
              <c:f>'Analysis Summary'!$K$230</c:f>
              <c:strCache>
                <c:ptCount val="1"/>
                <c:pt idx="0">
                  <c:v>Average of 2030</c:v>
                </c:pt>
              </c:strCache>
            </c:strRef>
          </c:tx>
          <c:spPr>
            <a:solidFill>
              <a:schemeClr val="accent1">
                <a:shade val="44000"/>
              </a:schemeClr>
            </a:solidFill>
            <a:ln>
              <a:noFill/>
            </a:ln>
            <a:effectLst/>
          </c:spPr>
          <c:invertIfNegative val="0"/>
          <c:cat>
            <c:multiLvlStrRef>
              <c:f>'Analysis Summary'!$B$231:$B$243</c:f>
              <c:multiLvlStrCache>
                <c:ptCount val="10"/>
                <c:lvl>
                  <c:pt idx="0">
                    <c:v>3rd Party Customer-Sited Distributed Battery PPA</c:v>
                  </c:pt>
                  <c:pt idx="1">
                    <c:v>Multi-Family Unit Battery Program</c:v>
                  </c:pt>
                  <c:pt idx="2">
                    <c:v>3rd Party Utility-scale Distributed Battery PPA</c:v>
                  </c:pt>
                  <c:pt idx="3">
                    <c:v>C&amp;I Battery Install Incentive</c:v>
                  </c:pt>
                  <c:pt idx="4">
                    <c:v>Residential Battery Install Incentive</c:v>
                  </c:pt>
                  <c:pt idx="5">
                    <c:v>C&amp;I Battery BYO</c:v>
                  </c:pt>
                  <c:pt idx="6">
                    <c:v>C&amp;I Space Leasing for Batteries</c:v>
                  </c:pt>
                  <c:pt idx="7">
                    <c:v>PSE Customer-Sited Solar+Storage Offering (Battery)</c:v>
                  </c:pt>
                  <c:pt idx="8">
                    <c:v>Residential PSE Battery Leasing</c:v>
                  </c:pt>
                  <c:pt idx="9">
                    <c:v>Residential PSE Battery Leasing - Low Income</c:v>
                  </c:pt>
                </c:lvl>
                <c:lvl>
                  <c:pt idx="0">
                    <c:v>Not selected</c:v>
                  </c:pt>
                  <c:pt idx="6">
                    <c:v>Selected</c:v>
                  </c:pt>
                </c:lvl>
              </c:multiLvlStrCache>
            </c:multiLvlStrRef>
          </c:cat>
          <c:val>
            <c:numRef>
              <c:f>'Analysis Summary'!$K$231:$K$243</c:f>
              <c:numCache>
                <c:formatCode>General</c:formatCode>
                <c:ptCount val="10"/>
                <c:pt idx="0">
                  <c:v>7.8</c:v>
                </c:pt>
                <c:pt idx="1">
                  <c:v>4.25</c:v>
                </c:pt>
                <c:pt idx="2">
                  <c:v>5</c:v>
                </c:pt>
                <c:pt idx="3">
                  <c:v>3.4</c:v>
                </c:pt>
                <c:pt idx="4">
                  <c:v>0.76500000000000001</c:v>
                </c:pt>
                <c:pt idx="5">
                  <c:v>1.8</c:v>
                </c:pt>
                <c:pt idx="6">
                  <c:v>36</c:v>
                </c:pt>
                <c:pt idx="7">
                  <c:v>7.88</c:v>
                </c:pt>
                <c:pt idx="8">
                  <c:v>1.26</c:v>
                </c:pt>
                <c:pt idx="9">
                  <c:v>0.11</c:v>
                </c:pt>
              </c:numCache>
            </c:numRef>
          </c:val>
          <c:extLst>
            <c:ext xmlns:c16="http://schemas.microsoft.com/office/drawing/2014/chart" uri="{C3380CC4-5D6E-409C-BE32-E72D297353CC}">
              <c16:uniqueId val="{00000008-FCB5-4FCA-A7B6-944AC799961A}"/>
            </c:ext>
          </c:extLst>
        </c:ser>
        <c:dLbls>
          <c:showLegendKey val="0"/>
          <c:showVal val="0"/>
          <c:showCatName val="0"/>
          <c:showSerName val="0"/>
          <c:showPercent val="0"/>
          <c:showBubbleSize val="0"/>
        </c:dLbls>
        <c:gapWidth val="219"/>
        <c:overlap val="-27"/>
        <c:axId val="801461320"/>
        <c:axId val="801465584"/>
      </c:barChart>
      <c:catAx>
        <c:axId val="801461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1465584"/>
        <c:crosses val="autoZero"/>
        <c:auto val="1"/>
        <c:lblAlgn val="ctr"/>
        <c:lblOffset val="100"/>
        <c:noMultiLvlLbl val="0"/>
      </c:catAx>
      <c:valAx>
        <c:axId val="8014655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50" b="0" i="0" baseline="0">
                    <a:effectLst/>
                  </a:rPr>
                  <a:t>Annual Achievable Market Potential (MW-AC)</a:t>
                </a:r>
                <a:endParaRPr lang="en-US" sz="1050">
                  <a:effectLst/>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146132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[210795 PSE CEIP Draft PC Comments_Appendix-B-Cost-Analysis.xlsx]Analysis Summary!PivotTable1</c:name>
    <c:fmtId val="23"/>
  </c:pivotSource>
  <c:chart>
    <c:autoTitleDeleted val="1"/>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s>
    <c:plotArea>
      <c:layout/>
      <c:barChart>
        <c:barDir val="bar"/>
        <c:grouping val="clustered"/>
        <c:varyColors val="0"/>
        <c:ser>
          <c:idx val="0"/>
          <c:order val="0"/>
          <c:tx>
            <c:strRef>
              <c:f>'Analysis Summary'!$C$68:$C$69</c:f>
              <c:strCache>
                <c:ptCount val="1"/>
                <c:pt idx="0">
                  <c:v>Not selected</c:v>
                </c:pt>
              </c:strCache>
            </c:strRef>
          </c:tx>
          <c:spPr>
            <a:solidFill>
              <a:schemeClr val="accent1"/>
            </a:solidFill>
            <a:ln>
              <a:noFill/>
            </a:ln>
            <a:effectLst/>
          </c:spPr>
          <c:invertIfNegative val="0"/>
          <c:cat>
            <c:strRef>
              <c:f>'Analysis Summary'!$B$70:$B$79</c:f>
              <c:strCache>
                <c:ptCount val="9"/>
                <c:pt idx="0">
                  <c:v>C&amp;I Roof-top Solar Incentive</c:v>
                </c:pt>
                <c:pt idx="1">
                  <c:v>Multi-family Community Solar</c:v>
                </c:pt>
                <c:pt idx="2">
                  <c:v>3rd Party Distributed Solar PPA (or Solar Lease)</c:v>
                </c:pt>
                <c:pt idx="3">
                  <c:v>PSE Customer-Sited Solar+Storage Offering (Solar)</c:v>
                </c:pt>
                <c:pt idx="4">
                  <c:v>C&amp;I Roof-top Solar Leasing</c:v>
                </c:pt>
                <c:pt idx="5">
                  <c:v>Multi-Family Roof-top Solar Incentive</c:v>
                </c:pt>
                <c:pt idx="6">
                  <c:v>Residential Roof-top Solar Leasing</c:v>
                </c:pt>
                <c:pt idx="7">
                  <c:v>Multi-Family Solar Partnership</c:v>
                </c:pt>
                <c:pt idx="8">
                  <c:v>Residential Roof-top Solar Leasing - Low Income</c:v>
                </c:pt>
              </c:strCache>
            </c:strRef>
          </c:cat>
          <c:val>
            <c:numRef>
              <c:f>'Analysis Summary'!$C$70:$C$79</c:f>
              <c:numCache>
                <c:formatCode>General</c:formatCode>
                <c:ptCount val="9"/>
                <c:pt idx="1">
                  <c:v>3.08</c:v>
                </c:pt>
                <c:pt idx="4">
                  <c:v>8.964012775361347</c:v>
                </c:pt>
              </c:numCache>
            </c:numRef>
          </c:val>
          <c:extLst>
            <c:ext xmlns:c16="http://schemas.microsoft.com/office/drawing/2014/chart" uri="{C3380CC4-5D6E-409C-BE32-E72D297353CC}">
              <c16:uniqueId val="{00000003-D8C6-4347-B5A8-4A928AB126E4}"/>
            </c:ext>
          </c:extLst>
        </c:ser>
        <c:ser>
          <c:idx val="1"/>
          <c:order val="1"/>
          <c:tx>
            <c:strRef>
              <c:f>'Analysis Summary'!$D$68:$D$69</c:f>
              <c:strCache>
                <c:ptCount val="1"/>
                <c:pt idx="0">
                  <c:v>Selected</c:v>
                </c:pt>
              </c:strCache>
            </c:strRef>
          </c:tx>
          <c:spPr>
            <a:solidFill>
              <a:schemeClr val="accent2"/>
            </a:solidFill>
            <a:ln>
              <a:noFill/>
            </a:ln>
            <a:effectLst/>
          </c:spPr>
          <c:invertIfNegative val="0"/>
          <c:cat>
            <c:strRef>
              <c:f>'Analysis Summary'!$B$70:$B$79</c:f>
              <c:strCache>
                <c:ptCount val="9"/>
                <c:pt idx="0">
                  <c:v>C&amp;I Roof-top Solar Incentive</c:v>
                </c:pt>
                <c:pt idx="1">
                  <c:v>Multi-family Community Solar</c:v>
                </c:pt>
                <c:pt idx="2">
                  <c:v>3rd Party Distributed Solar PPA (or Solar Lease)</c:v>
                </c:pt>
                <c:pt idx="3">
                  <c:v>PSE Customer-Sited Solar+Storage Offering (Solar)</c:v>
                </c:pt>
                <c:pt idx="4">
                  <c:v>C&amp;I Roof-top Solar Leasing</c:v>
                </c:pt>
                <c:pt idx="5">
                  <c:v>Multi-Family Roof-top Solar Incentive</c:v>
                </c:pt>
                <c:pt idx="6">
                  <c:v>Residential Roof-top Solar Leasing</c:v>
                </c:pt>
                <c:pt idx="7">
                  <c:v>Multi-Family Solar Partnership</c:v>
                </c:pt>
                <c:pt idx="8">
                  <c:v>Residential Roof-top Solar Leasing - Low Income</c:v>
                </c:pt>
              </c:strCache>
            </c:strRef>
          </c:cat>
          <c:val>
            <c:numRef>
              <c:f>'Analysis Summary'!$D$70:$D$79</c:f>
              <c:numCache>
                <c:formatCode>General</c:formatCode>
                <c:ptCount val="9"/>
                <c:pt idx="0">
                  <c:v>0.45340382079178365</c:v>
                </c:pt>
                <c:pt idx="2">
                  <c:v>4.6354712939937226</c:v>
                </c:pt>
                <c:pt idx="3">
                  <c:v>6.4572802308164361</c:v>
                </c:pt>
                <c:pt idx="5">
                  <c:v>9.2076025756029747</c:v>
                </c:pt>
                <c:pt idx="6">
                  <c:v>18.415985147405596</c:v>
                </c:pt>
                <c:pt idx="7">
                  <c:v>18.531135620948916</c:v>
                </c:pt>
                <c:pt idx="8">
                  <c:v>22.472664936145215</c:v>
                </c:pt>
              </c:numCache>
            </c:numRef>
          </c:val>
          <c:extLst>
            <c:ext xmlns:c16="http://schemas.microsoft.com/office/drawing/2014/chart" uri="{C3380CC4-5D6E-409C-BE32-E72D297353CC}">
              <c16:uniqueId val="{00000004-D8C6-4347-B5A8-4A928AB126E4}"/>
            </c:ext>
          </c:extLst>
        </c:ser>
        <c:dLbls>
          <c:showLegendKey val="0"/>
          <c:showVal val="0"/>
          <c:showCatName val="0"/>
          <c:showSerName val="0"/>
          <c:showPercent val="0"/>
          <c:showBubbleSize val="0"/>
        </c:dLbls>
        <c:gapWidth val="150"/>
        <c:axId val="651570312"/>
        <c:axId val="651571296"/>
      </c:barChart>
      <c:catAx>
        <c:axId val="6515703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1571296"/>
        <c:crosses val="autoZero"/>
        <c:auto val="1"/>
        <c:lblAlgn val="ctr"/>
        <c:lblOffset val="100"/>
        <c:noMultiLvlLbl val="0"/>
      </c:catAx>
      <c:valAx>
        <c:axId val="65157129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AURORA</a:t>
                </a:r>
                <a:r>
                  <a:rPr lang="en-US" baseline="0"/>
                  <a:t> </a:t>
                </a:r>
                <a:r>
                  <a:rPr lang="en-US"/>
                  <a:t>$/Watt</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1570312"/>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[210795 PSE CEIP Draft PC Comments_Appendix-B-Cost-Analysis.xlsx]Analysis Summary!PivotTable3</c:name>
    <c:fmtId val="28"/>
  </c:pivotSource>
  <c:chart>
    <c:autoTitleDeleted val="1"/>
    <c:pivotFmts>
      <c:pivotFmt>
        <c:idx val="0"/>
        <c:spPr>
          <a:solidFill>
            <a:schemeClr val="accent1"/>
          </a:solidFill>
          <a:ln>
            <a:noFill/>
          </a:ln>
          <a:effectLst/>
        </c:spPr>
        <c:marker>
          <c:symbol val="none"/>
        </c:marker>
      </c:pivotFmt>
    </c:pivotFmts>
    <c:plotArea>
      <c:layout/>
      <c:barChart>
        <c:barDir val="bar"/>
        <c:grouping val="clustered"/>
        <c:varyColors val="0"/>
        <c:ser>
          <c:idx val="0"/>
          <c:order val="0"/>
          <c:tx>
            <c:strRef>
              <c:f>'Analysis Summary'!$C$87:$C$88</c:f>
              <c:strCache>
                <c:ptCount val="1"/>
                <c:pt idx="0">
                  <c:v>Not selected</c:v>
                </c:pt>
              </c:strCache>
            </c:strRef>
          </c:tx>
          <c:spPr>
            <a:solidFill>
              <a:schemeClr val="accent1"/>
            </a:solidFill>
            <a:ln>
              <a:noFill/>
            </a:ln>
            <a:effectLst/>
          </c:spPr>
          <c:invertIfNegative val="0"/>
          <c:cat>
            <c:strRef>
              <c:f>'Analysis Summary'!$B$89:$B$102</c:f>
              <c:strCache>
                <c:ptCount val="13"/>
                <c:pt idx="0">
                  <c:v>C&amp;I Battery BYO</c:v>
                </c:pt>
                <c:pt idx="1">
                  <c:v>3rd Party Utility-scale Distributed Battery PPA</c:v>
                </c:pt>
                <c:pt idx="2">
                  <c:v>PSE Substation Batteries</c:v>
                </c:pt>
                <c:pt idx="3">
                  <c:v>C&amp;I Battery Install Incentive</c:v>
                </c:pt>
                <c:pt idx="4">
                  <c:v>Residential Battery Install Incentive</c:v>
                </c:pt>
                <c:pt idx="5">
                  <c:v>PSE Mobile Batteries</c:v>
                </c:pt>
                <c:pt idx="6">
                  <c:v>PSE Customer-Sited Solar+Storage Offering (Battery)</c:v>
                </c:pt>
                <c:pt idx="7">
                  <c:v>PSE Utility-Scale Distributed Battery Stations</c:v>
                </c:pt>
                <c:pt idx="8">
                  <c:v>3rd Party Customer-Sited Distributed Battery PPA</c:v>
                </c:pt>
                <c:pt idx="9">
                  <c:v>Residential PSE Battery Leasing</c:v>
                </c:pt>
                <c:pt idx="10">
                  <c:v>Multi-Family Unit Battery Program</c:v>
                </c:pt>
                <c:pt idx="11">
                  <c:v>Residential PSE Battery Leasing - Low Income</c:v>
                </c:pt>
                <c:pt idx="12">
                  <c:v>C&amp;I Space Leasing for Batteries</c:v>
                </c:pt>
              </c:strCache>
            </c:strRef>
          </c:cat>
          <c:val>
            <c:numRef>
              <c:f>'Analysis Summary'!$C$89:$C$102</c:f>
              <c:numCache>
                <c:formatCode>General</c:formatCode>
                <c:ptCount val="13"/>
                <c:pt idx="0">
                  <c:v>-0.52515932611883698</c:v>
                </c:pt>
                <c:pt idx="1">
                  <c:v>0</c:v>
                </c:pt>
                <c:pt idx="2">
                  <c:v>4.712471923828125</c:v>
                </c:pt>
                <c:pt idx="3">
                  <c:v>5.2236608394434931</c:v>
                </c:pt>
                <c:pt idx="4">
                  <c:v>6.3576728588689448</c:v>
                </c:pt>
                <c:pt idx="5">
                  <c:v>6.3874646759033205</c:v>
                </c:pt>
                <c:pt idx="7">
                  <c:v>8.8681755371093693</c:v>
                </c:pt>
                <c:pt idx="8">
                  <c:v>13.101785311970335</c:v>
                </c:pt>
                <c:pt idx="10">
                  <c:v>14.188653289794923</c:v>
                </c:pt>
              </c:numCache>
            </c:numRef>
          </c:val>
          <c:extLst>
            <c:ext xmlns:c16="http://schemas.microsoft.com/office/drawing/2014/chart" uri="{C3380CC4-5D6E-409C-BE32-E72D297353CC}">
              <c16:uniqueId val="{00000000-544E-4B37-AAAB-F4CBD3F0BFDE}"/>
            </c:ext>
          </c:extLst>
        </c:ser>
        <c:ser>
          <c:idx val="1"/>
          <c:order val="1"/>
          <c:tx>
            <c:strRef>
              <c:f>'Analysis Summary'!$D$87:$D$88</c:f>
              <c:strCache>
                <c:ptCount val="1"/>
                <c:pt idx="0">
                  <c:v>Selected</c:v>
                </c:pt>
              </c:strCache>
            </c:strRef>
          </c:tx>
          <c:spPr>
            <a:solidFill>
              <a:schemeClr val="accent2"/>
            </a:solidFill>
            <a:ln>
              <a:noFill/>
            </a:ln>
            <a:effectLst/>
          </c:spPr>
          <c:invertIfNegative val="0"/>
          <c:cat>
            <c:strRef>
              <c:f>'Analysis Summary'!$B$89:$B$102</c:f>
              <c:strCache>
                <c:ptCount val="13"/>
                <c:pt idx="0">
                  <c:v>C&amp;I Battery BYO</c:v>
                </c:pt>
                <c:pt idx="1">
                  <c:v>3rd Party Utility-scale Distributed Battery PPA</c:v>
                </c:pt>
                <c:pt idx="2">
                  <c:v>PSE Substation Batteries</c:v>
                </c:pt>
                <c:pt idx="3">
                  <c:v>C&amp;I Battery Install Incentive</c:v>
                </c:pt>
                <c:pt idx="4">
                  <c:v>Residential Battery Install Incentive</c:v>
                </c:pt>
                <c:pt idx="5">
                  <c:v>PSE Mobile Batteries</c:v>
                </c:pt>
                <c:pt idx="6">
                  <c:v>PSE Customer-Sited Solar+Storage Offering (Battery)</c:v>
                </c:pt>
                <c:pt idx="7">
                  <c:v>PSE Utility-Scale Distributed Battery Stations</c:v>
                </c:pt>
                <c:pt idx="8">
                  <c:v>3rd Party Customer-Sited Distributed Battery PPA</c:v>
                </c:pt>
                <c:pt idx="9">
                  <c:v>Residential PSE Battery Leasing</c:v>
                </c:pt>
                <c:pt idx="10">
                  <c:v>Multi-Family Unit Battery Program</c:v>
                </c:pt>
                <c:pt idx="11">
                  <c:v>Residential PSE Battery Leasing - Low Income</c:v>
                </c:pt>
                <c:pt idx="12">
                  <c:v>C&amp;I Space Leasing for Batteries</c:v>
                </c:pt>
              </c:strCache>
            </c:strRef>
          </c:cat>
          <c:val>
            <c:numRef>
              <c:f>'Analysis Summary'!$D$89:$D$102</c:f>
              <c:numCache>
                <c:formatCode>General</c:formatCode>
                <c:ptCount val="13"/>
                <c:pt idx="6">
                  <c:v>6.4572802308164361</c:v>
                </c:pt>
                <c:pt idx="9">
                  <c:v>13.920828306662617</c:v>
                </c:pt>
                <c:pt idx="11">
                  <c:v>16.132658183982102</c:v>
                </c:pt>
                <c:pt idx="12">
                  <c:v>26.334972555837133</c:v>
                </c:pt>
              </c:numCache>
            </c:numRef>
          </c:val>
          <c:extLst>
            <c:ext xmlns:c16="http://schemas.microsoft.com/office/drawing/2014/chart" uri="{C3380CC4-5D6E-409C-BE32-E72D297353CC}">
              <c16:uniqueId val="{00000001-544E-4B37-AAAB-F4CBD3F0BFDE}"/>
            </c:ext>
          </c:extLst>
        </c:ser>
        <c:dLbls>
          <c:showLegendKey val="0"/>
          <c:showVal val="0"/>
          <c:showCatName val="0"/>
          <c:showSerName val="0"/>
          <c:showPercent val="0"/>
          <c:showBubbleSize val="0"/>
        </c:dLbls>
        <c:gapWidth val="182"/>
        <c:axId val="745076848"/>
        <c:axId val="745068648"/>
      </c:barChart>
      <c:catAx>
        <c:axId val="7450768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5068648"/>
        <c:crosses val="autoZero"/>
        <c:auto val="1"/>
        <c:lblAlgn val="ctr"/>
        <c:lblOffset val="100"/>
        <c:noMultiLvlLbl val="0"/>
      </c:catAx>
      <c:valAx>
        <c:axId val="74506864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r>
                  <a:rPr lang="en-US" sz="1000" b="0" i="0" baseline="0">
                    <a:effectLst/>
                  </a:rPr>
                  <a:t>AURORA $/Watt</a:t>
                </a:r>
                <a:endParaRPr lang="en-US" sz="1000">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endParaRPr lang="en-US"/>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5076848"/>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[210795 PSE CEIP Draft PC Comments_Appendix-B-Cost-Analysis.xlsx]Analysis Summary!PivotTable5</c:name>
    <c:fmtId val="13"/>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s>
    <c:plotArea>
      <c:layout/>
      <c:barChart>
        <c:barDir val="bar"/>
        <c:grouping val="clustered"/>
        <c:varyColors val="0"/>
        <c:ser>
          <c:idx val="0"/>
          <c:order val="0"/>
          <c:tx>
            <c:strRef>
              <c:f>'Analysis Summary'!$C$22:$C$23</c:f>
              <c:strCache>
                <c:ptCount val="1"/>
                <c:pt idx="0">
                  <c:v>Not selected</c:v>
                </c:pt>
              </c:strCache>
            </c:strRef>
          </c:tx>
          <c:spPr>
            <a:solidFill>
              <a:schemeClr val="accent1"/>
            </a:solidFill>
            <a:ln>
              <a:noFill/>
            </a:ln>
            <a:effectLst/>
          </c:spPr>
          <c:invertIfNegative val="0"/>
          <c:cat>
            <c:strRef>
              <c:f>'Analysis Summary'!$B$24:$B$29</c:f>
              <c:strCache>
                <c:ptCount val="5"/>
                <c:pt idx="0">
                  <c:v>3rd Party Distributed Solar PPA (or Solar Lease)</c:v>
                </c:pt>
                <c:pt idx="1">
                  <c:v>C&amp;I Roof-top Solar Incentive</c:v>
                </c:pt>
                <c:pt idx="2">
                  <c:v>PSE Customer-Sited Solar+Storage Offering (Solar)</c:v>
                </c:pt>
                <c:pt idx="3">
                  <c:v>Multi-Family Roof-top Solar Incentive</c:v>
                </c:pt>
                <c:pt idx="4">
                  <c:v>Multi-Family Solar Partnership</c:v>
                </c:pt>
              </c:strCache>
            </c:strRef>
          </c:cat>
          <c:val>
            <c:numRef>
              <c:f>'Analysis Summary'!$C$24:$C$29</c:f>
              <c:numCache>
                <c:formatCode>General</c:formatCode>
                <c:ptCount val="5"/>
              </c:numCache>
            </c:numRef>
          </c:val>
          <c:extLst>
            <c:ext xmlns:c16="http://schemas.microsoft.com/office/drawing/2014/chart" uri="{C3380CC4-5D6E-409C-BE32-E72D297353CC}">
              <c16:uniqueId val="{00000000-564E-497A-B8F8-6E384FC34333}"/>
            </c:ext>
          </c:extLst>
        </c:ser>
        <c:ser>
          <c:idx val="1"/>
          <c:order val="1"/>
          <c:tx>
            <c:strRef>
              <c:f>'Analysis Summary'!$D$22:$D$23</c:f>
              <c:strCache>
                <c:ptCount val="1"/>
                <c:pt idx="0">
                  <c:v>Selected</c:v>
                </c:pt>
              </c:strCache>
            </c:strRef>
          </c:tx>
          <c:spPr>
            <a:solidFill>
              <a:schemeClr val="accent2"/>
            </a:solidFill>
            <a:ln>
              <a:noFill/>
            </a:ln>
            <a:effectLst/>
          </c:spPr>
          <c:invertIfNegative val="0"/>
          <c:cat>
            <c:strRef>
              <c:f>'Analysis Summary'!$B$24:$B$29</c:f>
              <c:strCache>
                <c:ptCount val="5"/>
                <c:pt idx="0">
                  <c:v>3rd Party Distributed Solar PPA (or Solar Lease)</c:v>
                </c:pt>
                <c:pt idx="1">
                  <c:v>C&amp;I Roof-top Solar Incentive</c:v>
                </c:pt>
                <c:pt idx="2">
                  <c:v>PSE Customer-Sited Solar+Storage Offering (Solar)</c:v>
                </c:pt>
                <c:pt idx="3">
                  <c:v>Multi-Family Roof-top Solar Incentive</c:v>
                </c:pt>
                <c:pt idx="4">
                  <c:v>Multi-Family Solar Partnership</c:v>
                </c:pt>
              </c:strCache>
            </c:strRef>
          </c:cat>
          <c:val>
            <c:numRef>
              <c:f>'Analysis Summary'!$D$24:$D$29</c:f>
              <c:numCache>
                <c:formatCode>General</c:formatCode>
                <c:ptCount val="5"/>
                <c:pt idx="0">
                  <c:v>2165</c:v>
                </c:pt>
                <c:pt idx="1">
                  <c:v>2165</c:v>
                </c:pt>
                <c:pt idx="2">
                  <c:v>3394.5</c:v>
                </c:pt>
                <c:pt idx="3">
                  <c:v>4027</c:v>
                </c:pt>
                <c:pt idx="4">
                  <c:v>4027</c:v>
                </c:pt>
              </c:numCache>
            </c:numRef>
          </c:val>
          <c:extLst>
            <c:ext xmlns:c16="http://schemas.microsoft.com/office/drawing/2014/chart" uri="{C3380CC4-5D6E-409C-BE32-E72D297353CC}">
              <c16:uniqueId val="{00000001-564E-497A-B8F8-6E384FC34333}"/>
            </c:ext>
          </c:extLst>
        </c:ser>
        <c:dLbls>
          <c:showLegendKey val="0"/>
          <c:showVal val="0"/>
          <c:showCatName val="0"/>
          <c:showSerName val="0"/>
          <c:showPercent val="0"/>
          <c:showBubbleSize val="0"/>
        </c:dLbls>
        <c:gapWidth val="182"/>
        <c:axId val="745071928"/>
        <c:axId val="745072912"/>
      </c:barChart>
      <c:catAx>
        <c:axId val="7450719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5072912"/>
        <c:crosses val="autoZero"/>
        <c:auto val="1"/>
        <c:lblAlgn val="ctr"/>
        <c:lblOffset val="100"/>
        <c:noMultiLvlLbl val="0"/>
      </c:catAx>
      <c:valAx>
        <c:axId val="74507291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baseline="0">
                    <a:effectLst/>
                  </a:rPr>
                  <a:t>Participant Cost ($/kW-Yr)</a:t>
                </a:r>
                <a:endParaRPr lang="en-US" sz="1000">
                  <a:effectLst/>
                </a:endParaRP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5071928"/>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[210795 PSE CEIP Draft PC Comments_Appendix-B-Cost-Analysis.xlsx]Analysis Summary!PivotTable4</c:name>
    <c:fmtId val="12"/>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s>
    <c:plotArea>
      <c:layout/>
      <c:barChart>
        <c:barDir val="bar"/>
        <c:grouping val="clustered"/>
        <c:varyColors val="0"/>
        <c:ser>
          <c:idx val="0"/>
          <c:order val="0"/>
          <c:tx>
            <c:strRef>
              <c:f>'Analysis Summary'!$C$35:$C$36</c:f>
              <c:strCache>
                <c:ptCount val="1"/>
                <c:pt idx="0">
                  <c:v>Not selected</c:v>
                </c:pt>
              </c:strCache>
            </c:strRef>
          </c:tx>
          <c:spPr>
            <a:solidFill>
              <a:schemeClr val="accent1"/>
            </a:solidFill>
            <a:ln>
              <a:noFill/>
            </a:ln>
            <a:effectLst/>
          </c:spPr>
          <c:invertIfNegative val="0"/>
          <c:cat>
            <c:strRef>
              <c:f>'Analysis Summary'!$B$37:$B$44</c:f>
              <c:strCache>
                <c:ptCount val="7"/>
                <c:pt idx="0">
                  <c:v>PSE Substation Batteries</c:v>
                </c:pt>
                <c:pt idx="1">
                  <c:v>PSE Utility-Scale Distributed Battery Stations</c:v>
                </c:pt>
                <c:pt idx="2">
                  <c:v>PSE Mobile Batteries</c:v>
                </c:pt>
                <c:pt idx="3">
                  <c:v>Multi-Family Unit Battery Program</c:v>
                </c:pt>
                <c:pt idx="4">
                  <c:v>Residential PSE Battery Leasing</c:v>
                </c:pt>
                <c:pt idx="5">
                  <c:v>Residential PSE Battery Leasing - Low Income</c:v>
                </c:pt>
                <c:pt idx="6">
                  <c:v>C&amp;I Space Leasing for Batteries</c:v>
                </c:pt>
              </c:strCache>
            </c:strRef>
          </c:cat>
          <c:val>
            <c:numRef>
              <c:f>'Analysis Summary'!$C$37:$C$44</c:f>
              <c:numCache>
                <c:formatCode>General</c:formatCode>
                <c:ptCount val="7"/>
                <c:pt idx="0">
                  <c:v>1339</c:v>
                </c:pt>
                <c:pt idx="1">
                  <c:v>1365</c:v>
                </c:pt>
                <c:pt idx="2">
                  <c:v>1784</c:v>
                </c:pt>
                <c:pt idx="3">
                  <c:v>3782</c:v>
                </c:pt>
              </c:numCache>
            </c:numRef>
          </c:val>
          <c:extLst>
            <c:ext xmlns:c16="http://schemas.microsoft.com/office/drawing/2014/chart" uri="{C3380CC4-5D6E-409C-BE32-E72D297353CC}">
              <c16:uniqueId val="{00000000-194D-4EB4-876C-EA392C0507ED}"/>
            </c:ext>
          </c:extLst>
        </c:ser>
        <c:ser>
          <c:idx val="1"/>
          <c:order val="1"/>
          <c:tx>
            <c:strRef>
              <c:f>'Analysis Summary'!$D$35:$D$36</c:f>
              <c:strCache>
                <c:ptCount val="1"/>
                <c:pt idx="0">
                  <c:v>Selected</c:v>
                </c:pt>
              </c:strCache>
            </c:strRef>
          </c:tx>
          <c:spPr>
            <a:solidFill>
              <a:schemeClr val="accent2"/>
            </a:solidFill>
            <a:ln>
              <a:noFill/>
            </a:ln>
            <a:effectLst/>
          </c:spPr>
          <c:invertIfNegative val="0"/>
          <c:cat>
            <c:strRef>
              <c:f>'Analysis Summary'!$B$37:$B$44</c:f>
              <c:strCache>
                <c:ptCount val="7"/>
                <c:pt idx="0">
                  <c:v>PSE Substation Batteries</c:v>
                </c:pt>
                <c:pt idx="1">
                  <c:v>PSE Utility-Scale Distributed Battery Stations</c:v>
                </c:pt>
                <c:pt idx="2">
                  <c:v>PSE Mobile Batteries</c:v>
                </c:pt>
                <c:pt idx="3">
                  <c:v>Multi-Family Unit Battery Program</c:v>
                </c:pt>
                <c:pt idx="4">
                  <c:v>Residential PSE Battery Leasing</c:v>
                </c:pt>
                <c:pt idx="5">
                  <c:v>Residential PSE Battery Leasing - Low Income</c:v>
                </c:pt>
                <c:pt idx="6">
                  <c:v>C&amp;I Space Leasing for Batteries</c:v>
                </c:pt>
              </c:strCache>
            </c:strRef>
          </c:cat>
          <c:val>
            <c:numRef>
              <c:f>'Analysis Summary'!$D$37:$D$44</c:f>
              <c:numCache>
                <c:formatCode>General</c:formatCode>
                <c:ptCount val="7"/>
                <c:pt idx="4">
                  <c:v>3782</c:v>
                </c:pt>
                <c:pt idx="5">
                  <c:v>3782</c:v>
                </c:pt>
                <c:pt idx="6">
                  <c:v>4802</c:v>
                </c:pt>
              </c:numCache>
            </c:numRef>
          </c:val>
          <c:extLst>
            <c:ext xmlns:c16="http://schemas.microsoft.com/office/drawing/2014/chart" uri="{C3380CC4-5D6E-409C-BE32-E72D297353CC}">
              <c16:uniqueId val="{00000001-194D-4EB4-876C-EA392C0507ED}"/>
            </c:ext>
          </c:extLst>
        </c:ser>
        <c:dLbls>
          <c:showLegendKey val="0"/>
          <c:showVal val="0"/>
          <c:showCatName val="0"/>
          <c:showSerName val="0"/>
          <c:showPercent val="0"/>
          <c:showBubbleSize val="0"/>
        </c:dLbls>
        <c:gapWidth val="182"/>
        <c:axId val="740942416"/>
        <c:axId val="740942744"/>
      </c:barChart>
      <c:catAx>
        <c:axId val="7409424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0942744"/>
        <c:crosses val="autoZero"/>
        <c:auto val="1"/>
        <c:lblAlgn val="ctr"/>
        <c:lblOffset val="100"/>
        <c:noMultiLvlLbl val="0"/>
      </c:catAx>
      <c:valAx>
        <c:axId val="740942744"/>
        <c:scaling>
          <c:orientation val="minMax"/>
          <c:max val="50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baseline="0">
                    <a:effectLst/>
                  </a:rPr>
                  <a:t>Utility Cost ($/kW-Yr)</a:t>
                </a:r>
                <a:endParaRPr lang="en-US" sz="1000">
                  <a:effectLst/>
                </a:endParaRP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0942416"/>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[210795 PSE CEIP Draft PC Comments_Appendix-B-Cost-Analysis.xlsx]Analysis Summary!PivotTable6</c:name>
    <c:fmtId val="15"/>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s>
    <c:plotArea>
      <c:layout/>
      <c:barChart>
        <c:barDir val="bar"/>
        <c:grouping val="clustered"/>
        <c:varyColors val="0"/>
        <c:ser>
          <c:idx val="0"/>
          <c:order val="0"/>
          <c:tx>
            <c:strRef>
              <c:f>'Analysis Summary'!$C$50:$C$51</c:f>
              <c:strCache>
                <c:ptCount val="1"/>
                <c:pt idx="0">
                  <c:v>Not selected</c:v>
                </c:pt>
              </c:strCache>
            </c:strRef>
          </c:tx>
          <c:spPr>
            <a:solidFill>
              <a:schemeClr val="accent1"/>
            </a:solidFill>
            <a:ln>
              <a:noFill/>
            </a:ln>
            <a:effectLst/>
          </c:spPr>
          <c:invertIfNegative val="0"/>
          <c:cat>
            <c:strRef>
              <c:f>'Analysis Summary'!$B$52:$B$58</c:f>
              <c:strCache>
                <c:ptCount val="6"/>
                <c:pt idx="0">
                  <c:v>3rd Party Utility-scale Distributed Battery PPA</c:v>
                </c:pt>
                <c:pt idx="1">
                  <c:v>3rd Party Customer-Sited Distributed Battery PPA</c:v>
                </c:pt>
                <c:pt idx="2">
                  <c:v>C&amp;I Battery BYO</c:v>
                </c:pt>
                <c:pt idx="3">
                  <c:v>C&amp;I Battery Install Incentive</c:v>
                </c:pt>
                <c:pt idx="4">
                  <c:v>PSE Customer-Sited Solar+Storage Offering (Battery)</c:v>
                </c:pt>
                <c:pt idx="5">
                  <c:v>Residential Battery Install Incentive</c:v>
                </c:pt>
              </c:strCache>
            </c:strRef>
          </c:cat>
          <c:val>
            <c:numRef>
              <c:f>'Analysis Summary'!$C$52:$C$58</c:f>
              <c:numCache>
                <c:formatCode>General</c:formatCode>
                <c:ptCount val="6"/>
                <c:pt idx="0">
                  <c:v>2292</c:v>
                </c:pt>
                <c:pt idx="1">
                  <c:v>3072</c:v>
                </c:pt>
                <c:pt idx="2">
                  <c:v>3072</c:v>
                </c:pt>
                <c:pt idx="3">
                  <c:v>3072</c:v>
                </c:pt>
                <c:pt idx="5">
                  <c:v>3782</c:v>
                </c:pt>
              </c:numCache>
            </c:numRef>
          </c:val>
          <c:extLst>
            <c:ext xmlns:c16="http://schemas.microsoft.com/office/drawing/2014/chart" uri="{C3380CC4-5D6E-409C-BE32-E72D297353CC}">
              <c16:uniqueId val="{00000000-0E24-4429-B7CB-A0DC86DFAA83}"/>
            </c:ext>
          </c:extLst>
        </c:ser>
        <c:ser>
          <c:idx val="1"/>
          <c:order val="1"/>
          <c:tx>
            <c:strRef>
              <c:f>'Analysis Summary'!$D$50:$D$51</c:f>
              <c:strCache>
                <c:ptCount val="1"/>
                <c:pt idx="0">
                  <c:v>Selected</c:v>
                </c:pt>
              </c:strCache>
            </c:strRef>
          </c:tx>
          <c:spPr>
            <a:solidFill>
              <a:schemeClr val="accent2"/>
            </a:solidFill>
            <a:ln>
              <a:noFill/>
            </a:ln>
            <a:effectLst/>
          </c:spPr>
          <c:invertIfNegative val="0"/>
          <c:cat>
            <c:strRef>
              <c:f>'Analysis Summary'!$B$52:$B$58</c:f>
              <c:strCache>
                <c:ptCount val="6"/>
                <c:pt idx="0">
                  <c:v>3rd Party Utility-scale Distributed Battery PPA</c:v>
                </c:pt>
                <c:pt idx="1">
                  <c:v>3rd Party Customer-Sited Distributed Battery PPA</c:v>
                </c:pt>
                <c:pt idx="2">
                  <c:v>C&amp;I Battery BYO</c:v>
                </c:pt>
                <c:pt idx="3">
                  <c:v>C&amp;I Battery Install Incentive</c:v>
                </c:pt>
                <c:pt idx="4">
                  <c:v>PSE Customer-Sited Solar+Storage Offering (Battery)</c:v>
                </c:pt>
                <c:pt idx="5">
                  <c:v>Residential Battery Install Incentive</c:v>
                </c:pt>
              </c:strCache>
            </c:strRef>
          </c:cat>
          <c:val>
            <c:numRef>
              <c:f>'Analysis Summary'!$D$52:$D$58</c:f>
              <c:numCache>
                <c:formatCode>General</c:formatCode>
                <c:ptCount val="6"/>
                <c:pt idx="4">
                  <c:v>3394.5</c:v>
                </c:pt>
              </c:numCache>
            </c:numRef>
          </c:val>
          <c:extLst>
            <c:ext xmlns:c16="http://schemas.microsoft.com/office/drawing/2014/chart" uri="{C3380CC4-5D6E-409C-BE32-E72D297353CC}">
              <c16:uniqueId val="{00000001-0E24-4429-B7CB-A0DC86DFAA83}"/>
            </c:ext>
          </c:extLst>
        </c:ser>
        <c:dLbls>
          <c:showLegendKey val="0"/>
          <c:showVal val="0"/>
          <c:showCatName val="0"/>
          <c:showSerName val="0"/>
          <c:showPercent val="0"/>
          <c:showBubbleSize val="0"/>
        </c:dLbls>
        <c:gapWidth val="182"/>
        <c:axId val="851583112"/>
        <c:axId val="851579176"/>
      </c:barChart>
      <c:catAx>
        <c:axId val="851583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1579176"/>
        <c:crosses val="autoZero"/>
        <c:auto val="1"/>
        <c:lblAlgn val="ctr"/>
        <c:lblOffset val="100"/>
        <c:noMultiLvlLbl val="0"/>
      </c:catAx>
      <c:valAx>
        <c:axId val="85157917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0" i="0" baseline="0">
                    <a:effectLst/>
                  </a:rPr>
                  <a:t>Participant Cost ($/kW-Yr)</a:t>
                </a:r>
                <a:endParaRPr lang="en-US" sz="600">
                  <a:effectLst/>
                </a:endParaRP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1583112"/>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[210795 PSE CEIP Draft PC Comments_Appendix-B-Cost-Analysis.xlsx]Analysis Summary!PivotTable7</c:name>
    <c:fmtId val="32"/>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s>
    <c:plotArea>
      <c:layout/>
      <c:barChart>
        <c:barDir val="bar"/>
        <c:grouping val="clustered"/>
        <c:varyColors val="0"/>
        <c:ser>
          <c:idx val="0"/>
          <c:order val="0"/>
          <c:tx>
            <c:strRef>
              <c:f>'Analysis Summary'!$C$128:$C$129</c:f>
              <c:strCache>
                <c:ptCount val="1"/>
                <c:pt idx="0">
                  <c:v>Not selected</c:v>
                </c:pt>
              </c:strCache>
            </c:strRef>
          </c:tx>
          <c:spPr>
            <a:solidFill>
              <a:schemeClr val="accent1"/>
            </a:solidFill>
            <a:ln>
              <a:noFill/>
            </a:ln>
            <a:effectLst/>
          </c:spPr>
          <c:invertIfNegative val="0"/>
          <c:cat>
            <c:strRef>
              <c:f>'Analysis Summary'!$B$130:$B$143</c:f>
              <c:strCache>
                <c:ptCount val="13"/>
                <c:pt idx="0">
                  <c:v>3rd Party Utility-scale Distributed Battery PPA</c:v>
                </c:pt>
                <c:pt idx="1">
                  <c:v>C&amp;I Battery Install Incentive</c:v>
                </c:pt>
                <c:pt idx="2">
                  <c:v>PSE Customer-Sited Solar+Storage Offering (Battery)</c:v>
                </c:pt>
                <c:pt idx="3">
                  <c:v>Residential PSE Battery Leasing</c:v>
                </c:pt>
                <c:pt idx="4">
                  <c:v>Multi-Family Unit Battery Program</c:v>
                </c:pt>
                <c:pt idx="5">
                  <c:v>Residential Battery Install Incentive</c:v>
                </c:pt>
                <c:pt idx="6">
                  <c:v>Residential PSE Battery Leasing - Low Income</c:v>
                </c:pt>
                <c:pt idx="7">
                  <c:v>C&amp;I Space Leasing for Batteries</c:v>
                </c:pt>
                <c:pt idx="8">
                  <c:v>C&amp;I Battery BYO</c:v>
                </c:pt>
                <c:pt idx="9">
                  <c:v>3rd Party Customer-Sited Distributed Battery PPA</c:v>
                </c:pt>
                <c:pt idx="10">
                  <c:v>PSE Utility-Scale Distributed Battery Stations</c:v>
                </c:pt>
                <c:pt idx="11">
                  <c:v>PSE Mobile Batteries</c:v>
                </c:pt>
                <c:pt idx="12">
                  <c:v>PSE Substation Batteries</c:v>
                </c:pt>
              </c:strCache>
            </c:strRef>
          </c:cat>
          <c:val>
            <c:numRef>
              <c:f>'Analysis Summary'!$C$130:$C$143</c:f>
              <c:numCache>
                <c:formatCode>General</c:formatCode>
                <c:ptCount val="13"/>
                <c:pt idx="0">
                  <c:v>0</c:v>
                </c:pt>
                <c:pt idx="1">
                  <c:v>0.17005155150118925</c:v>
                </c:pt>
                <c:pt idx="4">
                  <c:v>0.1842</c:v>
                </c:pt>
                <c:pt idx="5">
                  <c:v>0.18697381815723682</c:v>
                </c:pt>
                <c:pt idx="8">
                  <c:v>0.25758908336664499</c:v>
                </c:pt>
                <c:pt idx="9">
                  <c:v>0.28160000000000002</c:v>
                </c:pt>
                <c:pt idx="10">
                  <c:v>0.31419999999999998</c:v>
                </c:pt>
                <c:pt idx="11">
                  <c:v>0.4123</c:v>
                </c:pt>
                <c:pt idx="12">
                  <c:v>0.46</c:v>
                </c:pt>
              </c:numCache>
            </c:numRef>
          </c:val>
          <c:extLst>
            <c:ext xmlns:c16="http://schemas.microsoft.com/office/drawing/2014/chart" uri="{C3380CC4-5D6E-409C-BE32-E72D297353CC}">
              <c16:uniqueId val="{00000000-53AE-43BC-B739-4E2AECB6AFA5}"/>
            </c:ext>
          </c:extLst>
        </c:ser>
        <c:ser>
          <c:idx val="1"/>
          <c:order val="1"/>
          <c:tx>
            <c:strRef>
              <c:f>'Analysis Summary'!$D$128:$D$129</c:f>
              <c:strCache>
                <c:ptCount val="1"/>
                <c:pt idx="0">
                  <c:v>Selected</c:v>
                </c:pt>
              </c:strCache>
            </c:strRef>
          </c:tx>
          <c:spPr>
            <a:solidFill>
              <a:schemeClr val="accent2"/>
            </a:solidFill>
            <a:ln>
              <a:noFill/>
            </a:ln>
            <a:effectLst/>
          </c:spPr>
          <c:invertIfNegative val="0"/>
          <c:cat>
            <c:strRef>
              <c:f>'Analysis Summary'!$B$130:$B$143</c:f>
              <c:strCache>
                <c:ptCount val="13"/>
                <c:pt idx="0">
                  <c:v>3rd Party Utility-scale Distributed Battery PPA</c:v>
                </c:pt>
                <c:pt idx="1">
                  <c:v>C&amp;I Battery Install Incentive</c:v>
                </c:pt>
                <c:pt idx="2">
                  <c:v>PSE Customer-Sited Solar+Storage Offering (Battery)</c:v>
                </c:pt>
                <c:pt idx="3">
                  <c:v>Residential PSE Battery Leasing</c:v>
                </c:pt>
                <c:pt idx="4">
                  <c:v>Multi-Family Unit Battery Program</c:v>
                </c:pt>
                <c:pt idx="5">
                  <c:v>Residential Battery Install Incentive</c:v>
                </c:pt>
                <c:pt idx="6">
                  <c:v>Residential PSE Battery Leasing - Low Income</c:v>
                </c:pt>
                <c:pt idx="7">
                  <c:v>C&amp;I Space Leasing for Batteries</c:v>
                </c:pt>
                <c:pt idx="8">
                  <c:v>C&amp;I Battery BYO</c:v>
                </c:pt>
                <c:pt idx="9">
                  <c:v>3rd Party Customer-Sited Distributed Battery PPA</c:v>
                </c:pt>
                <c:pt idx="10">
                  <c:v>PSE Utility-Scale Distributed Battery Stations</c:v>
                </c:pt>
                <c:pt idx="11">
                  <c:v>PSE Mobile Batteries</c:v>
                </c:pt>
                <c:pt idx="12">
                  <c:v>PSE Substation Batteries</c:v>
                </c:pt>
              </c:strCache>
            </c:strRef>
          </c:cat>
          <c:val>
            <c:numRef>
              <c:f>'Analysis Summary'!$D$130:$D$143</c:f>
              <c:numCache>
                <c:formatCode>General</c:formatCode>
                <c:ptCount val="13"/>
                <c:pt idx="2">
                  <c:v>0.17516959361661694</c:v>
                </c:pt>
                <c:pt idx="3">
                  <c:v>0.17699999999999999</c:v>
                </c:pt>
                <c:pt idx="6">
                  <c:v>0.1946</c:v>
                </c:pt>
                <c:pt idx="7">
                  <c:v>0.2011</c:v>
                </c:pt>
              </c:numCache>
            </c:numRef>
          </c:val>
          <c:extLst>
            <c:ext xmlns:c16="http://schemas.microsoft.com/office/drawing/2014/chart" uri="{C3380CC4-5D6E-409C-BE32-E72D297353CC}">
              <c16:uniqueId val="{00000001-53AE-43BC-B739-4E2AECB6AFA5}"/>
            </c:ext>
          </c:extLst>
        </c:ser>
        <c:dLbls>
          <c:showLegendKey val="0"/>
          <c:showVal val="0"/>
          <c:showCatName val="0"/>
          <c:showSerName val="0"/>
          <c:showPercent val="0"/>
          <c:showBubbleSize val="0"/>
        </c:dLbls>
        <c:gapWidth val="182"/>
        <c:axId val="649454456"/>
        <c:axId val="649452160"/>
      </c:barChart>
      <c:catAx>
        <c:axId val="6494544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9452160"/>
        <c:crosses val="autoZero"/>
        <c:auto val="1"/>
        <c:lblAlgn val="ctr"/>
        <c:lblOffset val="100"/>
        <c:noMultiLvlLbl val="0"/>
      </c:catAx>
      <c:valAx>
        <c:axId val="6494521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9454456"/>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[210795 PSE CEIP Draft PC Comments_Appendix-B-Cost-Analysis.xlsx]Analysis Summary!PivotTable9</c:name>
    <c:fmtId val="35"/>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s>
    <c:plotArea>
      <c:layout/>
      <c:barChart>
        <c:barDir val="bar"/>
        <c:grouping val="clustered"/>
        <c:varyColors val="0"/>
        <c:ser>
          <c:idx val="0"/>
          <c:order val="0"/>
          <c:tx>
            <c:strRef>
              <c:f>'Analysis Summary'!$C$110:$C$111</c:f>
              <c:strCache>
                <c:ptCount val="1"/>
                <c:pt idx="0">
                  <c:v>Not selected</c:v>
                </c:pt>
              </c:strCache>
            </c:strRef>
          </c:tx>
          <c:spPr>
            <a:solidFill>
              <a:schemeClr val="accent1"/>
            </a:solidFill>
            <a:ln>
              <a:noFill/>
            </a:ln>
            <a:effectLst/>
          </c:spPr>
          <c:invertIfNegative val="0"/>
          <c:cat>
            <c:strRef>
              <c:f>'Analysis Summary'!$B$112:$B$121</c:f>
              <c:strCache>
                <c:ptCount val="9"/>
                <c:pt idx="0">
                  <c:v>Multi-Family Roof-top Solar Incentive</c:v>
                </c:pt>
                <c:pt idx="1">
                  <c:v>Multi-Family Solar Partnership</c:v>
                </c:pt>
                <c:pt idx="2">
                  <c:v>PSE Customer-Sited Solar+Storage Offering (Solar)</c:v>
                </c:pt>
                <c:pt idx="3">
                  <c:v>Residential Roof-top Solar Leasing - Low Income</c:v>
                </c:pt>
                <c:pt idx="4">
                  <c:v>Residential Roof-top Solar Leasing</c:v>
                </c:pt>
                <c:pt idx="5">
                  <c:v>C&amp;I Roof-top Solar Leasing</c:v>
                </c:pt>
                <c:pt idx="6">
                  <c:v>Multi-family Community Solar</c:v>
                </c:pt>
                <c:pt idx="7">
                  <c:v>C&amp;I Roof-top Solar Incentive</c:v>
                </c:pt>
                <c:pt idx="8">
                  <c:v>3rd Party Distributed Solar PPA (or Solar Lease)</c:v>
                </c:pt>
              </c:strCache>
            </c:strRef>
          </c:cat>
          <c:val>
            <c:numRef>
              <c:f>'Analysis Summary'!$C$112:$C$121</c:f>
              <c:numCache>
                <c:formatCode>General</c:formatCode>
                <c:ptCount val="9"/>
                <c:pt idx="5">
                  <c:v>0.3794284339748269</c:v>
                </c:pt>
                <c:pt idx="6">
                  <c:v>0.49127613822504879</c:v>
                </c:pt>
              </c:numCache>
            </c:numRef>
          </c:val>
          <c:extLst>
            <c:ext xmlns:c16="http://schemas.microsoft.com/office/drawing/2014/chart" uri="{C3380CC4-5D6E-409C-BE32-E72D297353CC}">
              <c16:uniqueId val="{00000000-14FF-4CC9-A752-104911F877C0}"/>
            </c:ext>
          </c:extLst>
        </c:ser>
        <c:ser>
          <c:idx val="1"/>
          <c:order val="1"/>
          <c:tx>
            <c:strRef>
              <c:f>'Analysis Summary'!$D$110:$D$111</c:f>
              <c:strCache>
                <c:ptCount val="1"/>
                <c:pt idx="0">
                  <c:v>Selected</c:v>
                </c:pt>
              </c:strCache>
            </c:strRef>
          </c:tx>
          <c:spPr>
            <a:solidFill>
              <a:schemeClr val="accent2"/>
            </a:solidFill>
            <a:ln>
              <a:noFill/>
            </a:ln>
            <a:effectLst/>
          </c:spPr>
          <c:invertIfNegative val="0"/>
          <c:cat>
            <c:strRef>
              <c:f>'Analysis Summary'!$B$112:$B$121</c:f>
              <c:strCache>
                <c:ptCount val="9"/>
                <c:pt idx="0">
                  <c:v>Multi-Family Roof-top Solar Incentive</c:v>
                </c:pt>
                <c:pt idx="1">
                  <c:v>Multi-Family Solar Partnership</c:v>
                </c:pt>
                <c:pt idx="2">
                  <c:v>PSE Customer-Sited Solar+Storage Offering (Solar)</c:v>
                </c:pt>
                <c:pt idx="3">
                  <c:v>Residential Roof-top Solar Leasing - Low Income</c:v>
                </c:pt>
                <c:pt idx="4">
                  <c:v>Residential Roof-top Solar Leasing</c:v>
                </c:pt>
                <c:pt idx="5">
                  <c:v>C&amp;I Roof-top Solar Leasing</c:v>
                </c:pt>
                <c:pt idx="6">
                  <c:v>Multi-family Community Solar</c:v>
                </c:pt>
                <c:pt idx="7">
                  <c:v>C&amp;I Roof-top Solar Incentive</c:v>
                </c:pt>
                <c:pt idx="8">
                  <c:v>3rd Party Distributed Solar PPA (or Solar Lease)</c:v>
                </c:pt>
              </c:strCache>
            </c:strRef>
          </c:cat>
          <c:val>
            <c:numRef>
              <c:f>'Analysis Summary'!$D$112:$D$121</c:f>
              <c:numCache>
                <c:formatCode>General</c:formatCode>
                <c:ptCount val="9"/>
                <c:pt idx="0">
                  <c:v>0.1173427519052541</c:v>
                </c:pt>
                <c:pt idx="1">
                  <c:v>0.16558823561576444</c:v>
                </c:pt>
                <c:pt idx="2">
                  <c:v>0.17516959361661694</c:v>
                </c:pt>
                <c:pt idx="3">
                  <c:v>0.17595976874201763</c:v>
                </c:pt>
                <c:pt idx="4">
                  <c:v>0.21121505752351757</c:v>
                </c:pt>
                <c:pt idx="7">
                  <c:v>0.49574268401292115</c:v>
                </c:pt>
                <c:pt idx="8">
                  <c:v>0.65399230103020356</c:v>
                </c:pt>
              </c:numCache>
            </c:numRef>
          </c:val>
          <c:extLst>
            <c:ext xmlns:c16="http://schemas.microsoft.com/office/drawing/2014/chart" uri="{C3380CC4-5D6E-409C-BE32-E72D297353CC}">
              <c16:uniqueId val="{00000001-14FF-4CC9-A752-104911F877C0}"/>
            </c:ext>
          </c:extLst>
        </c:ser>
        <c:dLbls>
          <c:showLegendKey val="0"/>
          <c:showVal val="0"/>
          <c:showCatName val="0"/>
          <c:showSerName val="0"/>
          <c:showPercent val="0"/>
          <c:showBubbleSize val="0"/>
        </c:dLbls>
        <c:gapWidth val="182"/>
        <c:axId val="658832888"/>
        <c:axId val="658840104"/>
      </c:barChart>
      <c:catAx>
        <c:axId val="6588328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8840104"/>
        <c:crosses val="autoZero"/>
        <c:auto val="1"/>
        <c:lblAlgn val="ctr"/>
        <c:lblOffset val="100"/>
        <c:noMultiLvlLbl val="0"/>
      </c:catAx>
      <c:valAx>
        <c:axId val="6588401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8832888"/>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[210795 PSE CEIP Draft PC Comments_Appendix-B-Cost-Analysis.xlsx]Analysis Summary!PivotTable10</c:name>
    <c:fmtId val="35"/>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s>
    <c:plotArea>
      <c:layout/>
      <c:barChart>
        <c:barDir val="bar"/>
        <c:grouping val="clustered"/>
        <c:varyColors val="0"/>
        <c:ser>
          <c:idx val="0"/>
          <c:order val="0"/>
          <c:tx>
            <c:strRef>
              <c:f>'Analysis Summary'!$C$151:$C$152</c:f>
              <c:strCache>
                <c:ptCount val="1"/>
                <c:pt idx="0">
                  <c:v>Not selected</c:v>
                </c:pt>
              </c:strCache>
            </c:strRef>
          </c:tx>
          <c:spPr>
            <a:solidFill>
              <a:schemeClr val="accent1"/>
            </a:solidFill>
            <a:ln>
              <a:noFill/>
            </a:ln>
            <a:effectLst/>
          </c:spPr>
          <c:invertIfNegative val="0"/>
          <c:cat>
            <c:strRef>
              <c:f>'Analysis Summary'!$B$153:$B$162</c:f>
              <c:strCache>
                <c:ptCount val="9"/>
                <c:pt idx="0">
                  <c:v>Multi-family Community Solar</c:v>
                </c:pt>
                <c:pt idx="1">
                  <c:v>3rd Party Distributed Solar PPA (or Solar Lease)</c:v>
                </c:pt>
                <c:pt idx="2">
                  <c:v>Multi-Family Roof-top Solar Incentive</c:v>
                </c:pt>
                <c:pt idx="3">
                  <c:v>C&amp;I Roof-top Solar Incentive</c:v>
                </c:pt>
                <c:pt idx="4">
                  <c:v>C&amp;I Roof-top Solar Leasing</c:v>
                </c:pt>
                <c:pt idx="5">
                  <c:v>Residential Roof-top Solar Leasing</c:v>
                </c:pt>
                <c:pt idx="6">
                  <c:v>Multi-Family Solar Partnership</c:v>
                </c:pt>
                <c:pt idx="7">
                  <c:v>Residential Roof-top Solar Leasing - Low Income</c:v>
                </c:pt>
                <c:pt idx="8">
                  <c:v>PSE Customer-Sited Solar+Storage Offering (Solar)</c:v>
                </c:pt>
              </c:strCache>
            </c:strRef>
          </c:cat>
          <c:val>
            <c:numRef>
              <c:f>'Analysis Summary'!$C$153:$C$162</c:f>
              <c:numCache>
                <c:formatCode>General</c:formatCode>
                <c:ptCount val="9"/>
                <c:pt idx="0">
                  <c:v>14</c:v>
                </c:pt>
                <c:pt idx="4">
                  <c:v>16</c:v>
                </c:pt>
              </c:numCache>
            </c:numRef>
          </c:val>
          <c:extLst>
            <c:ext xmlns:c16="http://schemas.microsoft.com/office/drawing/2014/chart" uri="{C3380CC4-5D6E-409C-BE32-E72D297353CC}">
              <c16:uniqueId val="{00000000-50E5-41C2-8670-833F3F6F82B2}"/>
            </c:ext>
          </c:extLst>
        </c:ser>
        <c:ser>
          <c:idx val="1"/>
          <c:order val="1"/>
          <c:tx>
            <c:strRef>
              <c:f>'Analysis Summary'!$D$151:$D$152</c:f>
              <c:strCache>
                <c:ptCount val="1"/>
                <c:pt idx="0">
                  <c:v>Selected</c:v>
                </c:pt>
              </c:strCache>
            </c:strRef>
          </c:tx>
          <c:spPr>
            <a:solidFill>
              <a:schemeClr val="accent2"/>
            </a:solidFill>
            <a:ln>
              <a:noFill/>
            </a:ln>
            <a:effectLst/>
          </c:spPr>
          <c:invertIfNegative val="0"/>
          <c:cat>
            <c:strRef>
              <c:f>'Analysis Summary'!$B$153:$B$162</c:f>
              <c:strCache>
                <c:ptCount val="9"/>
                <c:pt idx="0">
                  <c:v>Multi-family Community Solar</c:v>
                </c:pt>
                <c:pt idx="1">
                  <c:v>3rd Party Distributed Solar PPA (or Solar Lease)</c:v>
                </c:pt>
                <c:pt idx="2">
                  <c:v>Multi-Family Roof-top Solar Incentive</c:v>
                </c:pt>
                <c:pt idx="3">
                  <c:v>C&amp;I Roof-top Solar Incentive</c:v>
                </c:pt>
                <c:pt idx="4">
                  <c:v>C&amp;I Roof-top Solar Leasing</c:v>
                </c:pt>
                <c:pt idx="5">
                  <c:v>Residential Roof-top Solar Leasing</c:v>
                </c:pt>
                <c:pt idx="6">
                  <c:v>Multi-Family Solar Partnership</c:v>
                </c:pt>
                <c:pt idx="7">
                  <c:v>Residential Roof-top Solar Leasing - Low Income</c:v>
                </c:pt>
                <c:pt idx="8">
                  <c:v>PSE Customer-Sited Solar+Storage Offering (Solar)</c:v>
                </c:pt>
              </c:strCache>
            </c:strRef>
          </c:cat>
          <c:val>
            <c:numRef>
              <c:f>'Analysis Summary'!$D$153:$D$162</c:f>
              <c:numCache>
                <c:formatCode>General</c:formatCode>
                <c:ptCount val="9"/>
                <c:pt idx="1">
                  <c:v>15</c:v>
                </c:pt>
                <c:pt idx="2">
                  <c:v>16</c:v>
                </c:pt>
                <c:pt idx="3">
                  <c:v>16</c:v>
                </c:pt>
                <c:pt idx="5">
                  <c:v>16</c:v>
                </c:pt>
                <c:pt idx="6">
                  <c:v>16</c:v>
                </c:pt>
                <c:pt idx="7">
                  <c:v>17</c:v>
                </c:pt>
                <c:pt idx="8">
                  <c:v>19</c:v>
                </c:pt>
              </c:numCache>
            </c:numRef>
          </c:val>
          <c:extLst>
            <c:ext xmlns:c16="http://schemas.microsoft.com/office/drawing/2014/chart" uri="{C3380CC4-5D6E-409C-BE32-E72D297353CC}">
              <c16:uniqueId val="{00000001-50E5-41C2-8670-833F3F6F82B2}"/>
            </c:ext>
          </c:extLst>
        </c:ser>
        <c:dLbls>
          <c:showLegendKey val="0"/>
          <c:showVal val="0"/>
          <c:showCatName val="0"/>
          <c:showSerName val="0"/>
          <c:showPercent val="0"/>
          <c:showBubbleSize val="0"/>
        </c:dLbls>
        <c:gapWidth val="182"/>
        <c:axId val="756326320"/>
        <c:axId val="756326976"/>
      </c:barChart>
      <c:catAx>
        <c:axId val="7563263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6326976"/>
        <c:crosses val="autoZero"/>
        <c:auto val="1"/>
        <c:lblAlgn val="ctr"/>
        <c:lblOffset val="100"/>
        <c:noMultiLvlLbl val="0"/>
      </c:catAx>
      <c:valAx>
        <c:axId val="7563269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6326320"/>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withinLinearReversed" id="21">
  <a:schemeClr val="accent1"/>
</cs:colorStyle>
</file>

<file path=xl/charts/colors12.xml><?xml version="1.0" encoding="utf-8"?>
<cs:colorStyle xmlns:cs="http://schemas.microsoft.com/office/drawing/2012/chartStyle" xmlns:a="http://schemas.openxmlformats.org/drawingml/2006/main" meth="withinLinearReversed" id="21">
  <a:schemeClr val="accent1"/>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7406</xdr:colOff>
      <xdr:row>7</xdr:row>
      <xdr:rowOff>7056</xdr:rowOff>
    </xdr:from>
    <xdr:to>
      <xdr:col>14</xdr:col>
      <xdr:colOff>1043516</xdr:colOff>
      <xdr:row>18</xdr:row>
      <xdr:rowOff>140406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20105</xdr:colOff>
      <xdr:row>64</xdr:row>
      <xdr:rowOff>180975</xdr:rowOff>
    </xdr:from>
    <xdr:to>
      <xdr:col>15</xdr:col>
      <xdr:colOff>853015</xdr:colOff>
      <xdr:row>83</xdr:row>
      <xdr:rowOff>5645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12346</xdr:colOff>
      <xdr:row>83</xdr:row>
      <xdr:rowOff>177446</xdr:rowOff>
    </xdr:from>
    <xdr:to>
      <xdr:col>15</xdr:col>
      <xdr:colOff>38806</xdr:colOff>
      <xdr:row>103</xdr:row>
      <xdr:rowOff>22577</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16581</xdr:colOff>
      <xdr:row>19</xdr:row>
      <xdr:rowOff>13758</xdr:rowOff>
    </xdr:from>
    <xdr:to>
      <xdr:col>14</xdr:col>
      <xdr:colOff>1092906</xdr:colOff>
      <xdr:row>30</xdr:row>
      <xdr:rowOff>137583</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13756</xdr:colOff>
      <xdr:row>32</xdr:row>
      <xdr:rowOff>6703</xdr:rowOff>
    </xdr:from>
    <xdr:to>
      <xdr:col>14</xdr:col>
      <xdr:colOff>1062566</xdr:colOff>
      <xdr:row>45</xdr:row>
      <xdr:rowOff>41629</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5289</xdr:colOff>
      <xdr:row>47</xdr:row>
      <xdr:rowOff>28576</xdr:rowOff>
    </xdr:from>
    <xdr:to>
      <xdr:col>15</xdr:col>
      <xdr:colOff>831849</xdr:colOff>
      <xdr:row>61</xdr:row>
      <xdr:rowOff>158045</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33512</xdr:colOff>
      <xdr:row>124</xdr:row>
      <xdr:rowOff>149929</xdr:rowOff>
    </xdr:from>
    <xdr:to>
      <xdr:col>15</xdr:col>
      <xdr:colOff>40922</xdr:colOff>
      <xdr:row>144</xdr:row>
      <xdr:rowOff>102306</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19401</xdr:colOff>
      <xdr:row>107</xdr:row>
      <xdr:rowOff>34218</xdr:rowOff>
    </xdr:from>
    <xdr:to>
      <xdr:col>15</xdr:col>
      <xdr:colOff>58560</xdr:colOff>
      <xdr:row>125</xdr:row>
      <xdr:rowOff>5643</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22224</xdr:colOff>
      <xdr:row>148</xdr:row>
      <xdr:rowOff>22225</xdr:rowOff>
    </xdr:from>
    <xdr:to>
      <xdr:col>15</xdr:col>
      <xdr:colOff>711200</xdr:colOff>
      <xdr:row>162</xdr:row>
      <xdr:rowOff>171451</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5289</xdr:colOff>
      <xdr:row>165</xdr:row>
      <xdr:rowOff>17286</xdr:rowOff>
    </xdr:from>
    <xdr:to>
      <xdr:col>15</xdr:col>
      <xdr:colOff>31748</xdr:colOff>
      <xdr:row>183</xdr:row>
      <xdr:rowOff>83961</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49389</xdr:colOff>
      <xdr:row>202</xdr:row>
      <xdr:rowOff>181681</xdr:rowOff>
    </xdr:from>
    <xdr:to>
      <xdr:col>10</xdr:col>
      <xdr:colOff>977900</xdr:colOff>
      <xdr:row>225</xdr:row>
      <xdr:rowOff>58562</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342195</xdr:colOff>
      <xdr:row>244</xdr:row>
      <xdr:rowOff>16579</xdr:rowOff>
    </xdr:from>
    <xdr:to>
      <xdr:col>10</xdr:col>
      <xdr:colOff>990601</xdr:colOff>
      <xdr:row>267</xdr:row>
      <xdr:rowOff>13405</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390525</xdr:colOff>
      <xdr:row>3</xdr:row>
      <xdr:rowOff>85725</xdr:rowOff>
    </xdr:from>
    <xdr:to>
      <xdr:col>21</xdr:col>
      <xdr:colOff>495300</xdr:colOff>
      <xdr:row>3</xdr:row>
      <xdr:rowOff>85725</xdr:rowOff>
    </xdr:to>
    <xdr:cxnSp macro="">
      <xdr:nvCxnSpPr>
        <xdr:cNvPr id="2" name="Straight Arrow Connector 1">
          <a:extLst>
            <a:ext uri="{FF2B5EF4-FFF2-40B4-BE49-F238E27FC236}">
              <a16:creationId xmlns:a16="http://schemas.microsoft.com/office/drawing/2014/main" id="{00000000-0008-0000-0000-000002000000}"/>
            </a:ext>
          </a:extLst>
        </xdr:cNvPr>
        <xdr:cNvCxnSpPr/>
      </xdr:nvCxnSpPr>
      <xdr:spPr>
        <a:xfrm>
          <a:off x="13811250" y="571500"/>
          <a:ext cx="4219575" cy="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ce/Users/jdoole/Downloads/PSE%20Resources_Aurora%20Inputs_2021%20IRP_01242021_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ace/Documents%20and%20Settings/nsarru/My%20Documents/PriceEstFor20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ace/2011IRP%20-%20Post%20Analysis/Aurora/Model%20Runs/RFP%20Phase%20II/Rev12_Base_Oct2011Gasprice/XMP_DB_2010-02_2011RFP_PhaseII_Oct2011GasPrice_111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 Jennifer"/>
      <sheetName val="Change_Log"/>
      <sheetName val="To do"/>
      <sheetName val="Aurora_TSAnnual"/>
      <sheetName val="Existing Contracts"/>
      <sheetName val="To Aurora _Ancillary Services"/>
      <sheetName val="To Aurora_Resources"/>
      <sheetName val="Existing Thermal_21IRP"/>
      <sheetName val="21IRP Reliable Capacity"/>
      <sheetName val="Reliable Capacity"/>
      <sheetName val="New ELCC Sheet"/>
      <sheetName val="Aurora_New Resources"/>
      <sheetName val="Aurora_Portfolio Resources"/>
      <sheetName val="Aurora_Portfolio Contracts"/>
      <sheetName val="To Aurora_Fuel"/>
      <sheetName val="CETA"/>
      <sheetName val="To Aurora_TS Monthly"/>
      <sheetName val="To Aurora_TS Weekly"/>
      <sheetName val="To Aurora_DemandMo"/>
      <sheetName val="To Aurora_Storage"/>
      <sheetName val="To Aurora_Esc Demand"/>
      <sheetName val="To Aurora_General Info"/>
      <sheetName val="To Aurora_Hydro Vectors"/>
      <sheetName val="To Aurora_Emission Rate"/>
      <sheetName val="To Aurora_Constraint"/>
      <sheetName val="Ancillary Services"/>
      <sheetName val="Generic Fuel Adder"/>
      <sheetName val="Existing Thermal"/>
      <sheetName val="Existing Gas Transport &amp; TX"/>
      <sheetName val="Existing Fixed O&amp;M"/>
      <sheetName val="Colstrip Dispatch Costs"/>
      <sheetName val="Chart - Cost curve"/>
      <sheetName val="Thermal Options"/>
      <sheetName val="Energy Storage Summary"/>
      <sheetName val="Renewable Resource Summary"/>
      <sheetName val="Combo Resource Summary"/>
      <sheetName val="CC_HR"/>
      <sheetName val="P_HR"/>
      <sheetName val="Saturation Curves"/>
      <sheetName val="Aero Peaker"/>
      <sheetName val="Gas Transport Costs"/>
      <sheetName val="PTC"/>
      <sheetName val="Cost curves"/>
      <sheetName val="Assumptions"/>
      <sheetName val="CCCT"/>
      <sheetName val="Frame Peaker"/>
      <sheetName val="Recip Peaker"/>
      <sheetName val="WA Wind"/>
      <sheetName val="WA Wind + 2 Hr Li-Ion"/>
      <sheetName val="MT Wind + PHES"/>
      <sheetName val="ID Wind"/>
      <sheetName val="WY West Wind"/>
      <sheetName val="WY East Wind"/>
      <sheetName val="MT Wind"/>
      <sheetName val="Offshore Wind"/>
      <sheetName val="Solar with ITC Levelized Costs"/>
      <sheetName val="Solar + Battery w ITC Lev Costs"/>
      <sheetName val="Solar_No ITC"/>
      <sheetName val="ID Solar ITC 2020-2023 30%"/>
      <sheetName val="AntiWY Solar ITC 2020-2023 30%"/>
      <sheetName val="WWY Solar ITC 2020-2023 30%"/>
      <sheetName val="Solar ITC 2020-2023 30%"/>
      <sheetName val="ID Solar ITC 2024 26%"/>
      <sheetName val="AntiWY Solar ITC 2024 26%"/>
      <sheetName val="WWY Solar ITC 2024 26%"/>
      <sheetName val="Solar ITC 2024 26%"/>
      <sheetName val="ID Solar ITC 2025 22%"/>
      <sheetName val="AntiWY Solar ITC 2025 22%"/>
      <sheetName val="WWY Solar ITC 2025 22%"/>
      <sheetName val="Solar ITC 2025 22%"/>
      <sheetName val="ID Solar ITC  &gt;2025 10%"/>
      <sheetName val="AntiWY Solar ITC  &gt;2025 10%"/>
      <sheetName val="WWY Solar ITC  &gt;2025 10%"/>
      <sheetName val="Solar ITC  &gt;2025 10%"/>
      <sheetName val="Ground DER Solar, ITC 10%"/>
      <sheetName val="Roof DER Solar, ITC 10%"/>
      <sheetName val="Battery ITC 2020-2023 30%"/>
      <sheetName val="Battery ITC 2024 24%"/>
      <sheetName val="Battery ITC 2025 19%"/>
      <sheetName val="Battery ITC  &gt;2025 10%"/>
      <sheetName val="Biomass"/>
      <sheetName val="2hr Li-Ion Battery"/>
      <sheetName val="4hr Li-Ion Battery"/>
      <sheetName val="4hr Flow Battery"/>
      <sheetName val="6hr Flow Battery"/>
      <sheetName val="Pumped Storage Hydro"/>
      <sheetName val="Test Calc"/>
      <sheetName val="Transmission"/>
      <sheetName val="TX Updates"/>
      <sheetName val="DSM"/>
      <sheetName val="Electron"/>
      <sheetName val="Oil Backup"/>
      <sheetName val="Decomissioning Costs"/>
      <sheetName val="Demand Response"/>
      <sheetName val="Mid C Capacity"/>
      <sheetName val="Mid-C Hydro Monthly"/>
      <sheetName val="Wells Extension"/>
      <sheetName val="Market emissions rate"/>
      <sheetName val="Flex cost savings"/>
      <sheetName val="SCC Adder_Base no CETA"/>
      <sheetName val="SCC Adder_Base"/>
      <sheetName val="SCC"/>
      <sheetName val="DER Potential"/>
      <sheetName val="Sheet2"/>
    </sheetNames>
    <sheetDataSet>
      <sheetData sheetId="0"/>
      <sheetData sheetId="1"/>
      <sheetData sheetId="2"/>
      <sheetData sheetId="3"/>
      <sheetData sheetId="4"/>
      <sheetData sheetId="5"/>
      <sheetData sheetId="6"/>
      <sheetData sheetId="7"/>
      <sheetData sheetId="8"/>
      <sheetData sheetId="9"/>
      <sheetData sheetId="10"/>
      <sheetData sheetId="11">
        <row r="2">
          <cell r="C2">
            <v>2012</v>
          </cell>
        </row>
        <row r="4">
          <cell r="C4">
            <v>2.5000000000000001E-2</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ow r="2">
          <cell r="H2">
            <v>2020</v>
          </cell>
        </row>
      </sheetData>
      <sheetData sheetId="33"/>
      <sheetData sheetId="34"/>
      <sheetData sheetId="35"/>
      <sheetData sheetId="36"/>
      <sheetData sheetId="37"/>
      <sheetData sheetId="38"/>
      <sheetData sheetId="39"/>
      <sheetData sheetId="40"/>
      <sheetData sheetId="41"/>
      <sheetData sheetId="42"/>
      <sheetData sheetId="43">
        <row r="10">
          <cell r="B10">
            <v>1.1429999999999999E-2</v>
          </cell>
        </row>
        <row r="11">
          <cell r="B11">
            <v>0.39771400000000001</v>
          </cell>
        </row>
        <row r="12">
          <cell r="B12">
            <v>4.7899999999999999E-4</v>
          </cell>
        </row>
        <row r="13">
          <cell r="B13">
            <v>0.79</v>
          </cell>
        </row>
        <row r="15">
          <cell r="B15">
            <v>0.21</v>
          </cell>
        </row>
        <row r="17">
          <cell r="B17">
            <v>5.1469999999999999E-4</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ma_Kulshan"/>
      <sheetName val="March Point1"/>
      <sheetName val="March Point2"/>
      <sheetName val="GDP Forecast"/>
    </sheetNames>
    <sheetDataSet>
      <sheetData sheetId="0" refreshError="1"/>
      <sheetData sheetId="1" refreshError="1"/>
      <sheetData sheetId="2" refreshError="1">
        <row r="4">
          <cell r="E4">
            <v>8</v>
          </cell>
        </row>
        <row r="9">
          <cell r="M9">
            <v>86.7</v>
          </cell>
        </row>
        <row r="10">
          <cell r="M10">
            <v>80.959999999999994</v>
          </cell>
        </row>
        <row r="11">
          <cell r="M11">
            <v>80.709999999999994</v>
          </cell>
        </row>
      </sheetData>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RORA_Input_Databases_Follow"/>
      <sheetName val="Annual_Vectors_11GRC_060111"/>
      <sheetName val="Mo_Vectors_11GRC_060111"/>
      <sheetName val="Weekly_Vectors_11GRC_060111"/>
      <sheetName val="Gas_Price_Data_Follow"/>
      <sheetName val="Gas Price Nominal Input"/>
      <sheetName val="Stanfield_Convert_Real"/>
      <sheetName val="Kingsgate_Convert_Real"/>
      <sheetName val="PGECityG_Convert_Real"/>
      <sheetName val="HH_Convert_Real"/>
      <sheetName val="Rockies_Convert_Real"/>
      <sheetName val="San_Juan_Convert_Real"/>
      <sheetName val="Topock_Convert_Real"/>
      <sheetName val="Klamath_Convert_Real "/>
      <sheetName val="Malin_Convert_Real"/>
      <sheetName val="AECO_Convert_Real"/>
      <sheetName val="Sumas_Convert_Real"/>
      <sheetName val="WNP3_Return_Convert_Real"/>
      <sheetName val="Encogen_Convert_Real"/>
      <sheetName val="Whitehorn_23_Convert_Real"/>
      <sheetName val="Fredonia_34_Convert_Real"/>
      <sheetName val="Fredonia_12_Convert_Real"/>
      <sheetName val="Fred_12_Convert_Real"/>
      <sheetName val="Sumas_Full_NWP_Con_Real"/>
      <sheetName val="Sumas_Cogen_Con_Real"/>
      <sheetName val="Frederickson_CC_Con_Real"/>
      <sheetName val="Mint_Farm_Con_Real "/>
      <sheetName val="Mint_Farm_ DFiring_C_Real"/>
      <sheetName val="Goldendale_Con_Real"/>
      <sheetName val="Goldendale DFiring_C_Real"/>
      <sheetName val="Sumas_Var_NWP_Con_Real"/>
      <sheetName val="Emission_Charges"/>
      <sheetName val="Coal_Price_Data"/>
      <sheetName val="Coal_Price_Data_IRP2009"/>
      <sheetName val="Contract_Data_Follow"/>
      <sheetName val="Baker_Replacement"/>
      <sheetName val="BC_Hydro_Point_Roberts"/>
      <sheetName val="CEAEA"/>
      <sheetName val="Nooksack_Hydro"/>
      <sheetName val="North_Wasco"/>
      <sheetName val="PG_E_Exchange_in"/>
      <sheetName val="PG_E_Exchange_out"/>
      <sheetName val="Qualco"/>
      <sheetName val="QF_Koma_Kulshan"/>
      <sheetName val="QF_Port_Townsend_Hydro"/>
      <sheetName val="QF_Spokane_MSW"/>
      <sheetName val="QF_Sygitowicz"/>
      <sheetName val="QF_Twin_Falls"/>
      <sheetName val="QF_Weeks_Falls"/>
      <sheetName val="Short Term Contracts"/>
      <sheetName val="Klondike III PPA"/>
      <sheetName val="WNP3_BPA_Exchange"/>
      <sheetName val="Priest_Rapids_Displacement_Prod"/>
      <sheetName val="Sch91"/>
      <sheetName val="Resource_Data_Follow"/>
      <sheetName val="Resource_Data"/>
      <sheetName val="NUG_Contract_Data"/>
      <sheetName val="Klamath"/>
      <sheetName val="WildHorse"/>
      <sheetName val="Hopkins"/>
      <sheetName val="KlondikeWind"/>
      <sheetName val="LSR1"/>
      <sheetName val="NewGenericResourceFOM"/>
      <sheetName val="RPS"/>
      <sheetName val="PTCs"/>
      <sheetName val="Regional Deman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ow r="90">
          <cell r="E90">
            <v>39814</v>
          </cell>
        </row>
      </sheetData>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ow r="75">
          <cell r="E75">
            <v>39814</v>
          </cell>
          <cell r="F75">
            <v>39845</v>
          </cell>
          <cell r="G75">
            <v>39873</v>
          </cell>
          <cell r="H75">
            <v>39904</v>
          </cell>
          <cell r="I75">
            <v>39934</v>
          </cell>
          <cell r="J75">
            <v>39965</v>
          </cell>
          <cell r="K75">
            <v>39995</v>
          </cell>
          <cell r="L75">
            <v>40026</v>
          </cell>
          <cell r="M75">
            <v>40057</v>
          </cell>
          <cell r="N75">
            <v>40087</v>
          </cell>
          <cell r="O75">
            <v>40118</v>
          </cell>
          <cell r="P75">
            <v>40148</v>
          </cell>
          <cell r="Q75">
            <v>40179</v>
          </cell>
          <cell r="R75">
            <v>40210</v>
          </cell>
          <cell r="S75">
            <v>40238</v>
          </cell>
          <cell r="T75">
            <v>40269</v>
          </cell>
          <cell r="U75">
            <v>40299</v>
          </cell>
          <cell r="V75">
            <v>40330</v>
          </cell>
          <cell r="W75">
            <v>40360</v>
          </cell>
          <cell r="X75">
            <v>40391</v>
          </cell>
          <cell r="Y75">
            <v>40422</v>
          </cell>
          <cell r="Z75">
            <v>40452</v>
          </cell>
          <cell r="AA75">
            <v>40483</v>
          </cell>
          <cell r="AB75">
            <v>40513</v>
          </cell>
          <cell r="AC75">
            <v>40544</v>
          </cell>
          <cell r="AD75">
            <v>40575</v>
          </cell>
          <cell r="AE75">
            <v>40603</v>
          </cell>
          <cell r="AF75">
            <v>40634</v>
          </cell>
          <cell r="AG75">
            <v>40664</v>
          </cell>
          <cell r="AH75">
            <v>40695</v>
          </cell>
          <cell r="AI75">
            <v>40725</v>
          </cell>
          <cell r="AJ75">
            <v>40756</v>
          </cell>
          <cell r="AK75">
            <v>40787</v>
          </cell>
          <cell r="AL75">
            <v>40817</v>
          </cell>
          <cell r="AM75">
            <v>40848</v>
          </cell>
          <cell r="AN75">
            <v>40878</v>
          </cell>
          <cell r="AO75">
            <v>40909</v>
          </cell>
          <cell r="AP75">
            <v>40940</v>
          </cell>
          <cell r="AQ75">
            <v>40969</v>
          </cell>
          <cell r="AR75">
            <v>41000</v>
          </cell>
        </row>
        <row r="76">
          <cell r="D76">
            <v>1</v>
          </cell>
          <cell r="E76">
            <v>1.3076224702099486</v>
          </cell>
          <cell r="F76">
            <v>1.3080472602102526</v>
          </cell>
          <cell r="G76">
            <v>1.2945368171021376</v>
          </cell>
          <cell r="H76">
            <v>1.295358649789029</v>
          </cell>
          <cell r="O76">
            <v>1.3672896699269002</v>
          </cell>
          <cell r="P76">
            <v>1.3671607753705823</v>
          </cell>
          <cell r="Q76">
            <v>1.3671607753705823</v>
          </cell>
          <cell r="R76">
            <v>1.3675622622991039</v>
          </cell>
          <cell r="S76">
            <v>1.3548412965725196</v>
          </cell>
          <cell r="T76">
            <v>1.3555908850026503</v>
          </cell>
          <cell r="AA76">
            <v>1.3672896699269002</v>
          </cell>
          <cell r="AB76">
            <v>1.3671607753705823</v>
          </cell>
          <cell r="AC76">
            <v>1.3076224702099486</v>
          </cell>
          <cell r="AD76">
            <v>1.3080472602102526</v>
          </cell>
          <cell r="AE76">
            <v>1.2945368171021376</v>
          </cell>
          <cell r="AF76">
            <v>1.295358649789029</v>
          </cell>
          <cell r="AM76">
            <v>1.3610733723620612</v>
          </cell>
          <cell r="AN76">
            <v>1.3609470756528876</v>
          </cell>
          <cell r="AO76">
            <v>1.3609470756528876</v>
          </cell>
          <cell r="AP76">
            <v>1.3266393261895317</v>
          </cell>
          <cell r="AQ76">
            <v>1.3485391444713466</v>
          </cell>
          <cell r="AR76">
            <v>1.3493087327183177</v>
          </cell>
        </row>
        <row r="77">
          <cell r="D77">
            <v>2</v>
          </cell>
          <cell r="E77">
            <v>1.3076224702099486</v>
          </cell>
          <cell r="F77">
            <v>1.3080472602102526</v>
          </cell>
          <cell r="G77">
            <v>1.2945368171021376</v>
          </cell>
          <cell r="H77">
            <v>1.295358649789029</v>
          </cell>
          <cell r="O77">
            <v>1.3672896699269002</v>
          </cell>
          <cell r="P77">
            <v>1.3671607753705823</v>
          </cell>
          <cell r="Q77">
            <v>1.3671607753705823</v>
          </cell>
          <cell r="R77">
            <v>1.3675622622991039</v>
          </cell>
          <cell r="S77">
            <v>1.3548412965725196</v>
          </cell>
          <cell r="T77">
            <v>1.3555908850026503</v>
          </cell>
          <cell r="AA77">
            <v>1.3672896699269002</v>
          </cell>
          <cell r="AB77">
            <v>1.3671607753705823</v>
          </cell>
          <cell r="AC77">
            <v>1.3076224702099486</v>
          </cell>
          <cell r="AD77">
            <v>1.3080472602102526</v>
          </cell>
          <cell r="AE77">
            <v>1.2945368171021376</v>
          </cell>
          <cell r="AF77">
            <v>1.295358649789029</v>
          </cell>
          <cell r="AM77">
            <v>1.3610733723620612</v>
          </cell>
          <cell r="AN77">
            <v>1.3609470756528876</v>
          </cell>
          <cell r="AO77">
            <v>1.3609470756528876</v>
          </cell>
          <cell r="AP77">
            <v>1.3266393261895317</v>
          </cell>
          <cell r="AQ77">
            <v>1.3485391444713466</v>
          </cell>
          <cell r="AR77">
            <v>1.3493087327183177</v>
          </cell>
        </row>
        <row r="78">
          <cell r="D78">
            <v>3</v>
          </cell>
          <cell r="E78">
            <v>1.3076224702099486</v>
          </cell>
          <cell r="F78">
            <v>1.3080472602102526</v>
          </cell>
          <cell r="G78">
            <v>1.2945368171021376</v>
          </cell>
          <cell r="H78">
            <v>1.295358649789029</v>
          </cell>
          <cell r="O78">
            <v>1.3672896699269002</v>
          </cell>
          <cell r="P78">
            <v>1.3671607753705823</v>
          </cell>
          <cell r="Q78">
            <v>1.3671607753705823</v>
          </cell>
          <cell r="R78">
            <v>1.3675622622991039</v>
          </cell>
          <cell r="S78">
            <v>1.3548412965725196</v>
          </cell>
          <cell r="T78">
            <v>1.3555908850026503</v>
          </cell>
          <cell r="AA78">
            <v>1.3672896699269002</v>
          </cell>
          <cell r="AB78">
            <v>1.3671607753705823</v>
          </cell>
          <cell r="AC78">
            <v>1.3076224702099486</v>
          </cell>
          <cell r="AD78">
            <v>1.3080472602102526</v>
          </cell>
          <cell r="AE78">
            <v>1.2945368171021376</v>
          </cell>
          <cell r="AF78">
            <v>1.295358649789029</v>
          </cell>
          <cell r="AM78">
            <v>1.3610733723620612</v>
          </cell>
          <cell r="AN78">
            <v>1.3609470756528876</v>
          </cell>
          <cell r="AO78">
            <v>1.3609470756528876</v>
          </cell>
          <cell r="AP78">
            <v>1.3266393261895317</v>
          </cell>
          <cell r="AQ78">
            <v>1.3485391444713466</v>
          </cell>
          <cell r="AR78">
            <v>1.3493087327183177</v>
          </cell>
        </row>
        <row r="79">
          <cell r="D79">
            <v>4</v>
          </cell>
          <cell r="E79">
            <v>1.3076224702099486</v>
          </cell>
          <cell r="F79">
            <v>1.3080472602102526</v>
          </cell>
          <cell r="G79">
            <v>1.2945368171021376</v>
          </cell>
          <cell r="H79">
            <v>1.295358649789029</v>
          </cell>
          <cell r="O79">
            <v>1.3672896699269002</v>
          </cell>
          <cell r="P79">
            <v>1.3671607753705823</v>
          </cell>
          <cell r="Q79">
            <v>1.3671607753705823</v>
          </cell>
          <cell r="R79">
            <v>1.3675622622991039</v>
          </cell>
          <cell r="S79">
            <v>1.3548412965725196</v>
          </cell>
          <cell r="T79">
            <v>1.3555908850026503</v>
          </cell>
          <cell r="AA79">
            <v>1.3672896699269002</v>
          </cell>
          <cell r="AB79">
            <v>1.3671607753705823</v>
          </cell>
          <cell r="AC79">
            <v>1.3076224702099486</v>
          </cell>
          <cell r="AD79">
            <v>1.3080472602102526</v>
          </cell>
          <cell r="AE79">
            <v>1.2945368171021376</v>
          </cell>
          <cell r="AF79">
            <v>1.295358649789029</v>
          </cell>
          <cell r="AM79">
            <v>1.3610733723620612</v>
          </cell>
          <cell r="AN79">
            <v>1.3609470756528876</v>
          </cell>
          <cell r="AO79">
            <v>1.3609470756528876</v>
          </cell>
          <cell r="AP79">
            <v>1.3266393261895317</v>
          </cell>
          <cell r="AQ79">
            <v>1.3485391444713466</v>
          </cell>
          <cell r="AR79">
            <v>1.3493087327183177</v>
          </cell>
        </row>
        <row r="80">
          <cell r="D80">
            <v>5</v>
          </cell>
          <cell r="E80">
            <v>1.3076224702099486</v>
          </cell>
          <cell r="F80">
            <v>1.3080472602102526</v>
          </cell>
          <cell r="G80">
            <v>1.2945368171021376</v>
          </cell>
          <cell r="H80">
            <v>1.295358649789029</v>
          </cell>
          <cell r="O80">
            <v>1.3672896699269002</v>
          </cell>
          <cell r="P80">
            <v>1.3671607753705823</v>
          </cell>
          <cell r="Q80">
            <v>1.3671607753705823</v>
          </cell>
          <cell r="R80">
            <v>1.3675622622991039</v>
          </cell>
          <cell r="S80">
            <v>1.3548412965725196</v>
          </cell>
          <cell r="T80">
            <v>1.3555908850026503</v>
          </cell>
          <cell r="AA80">
            <v>1.3672896699269002</v>
          </cell>
          <cell r="AB80">
            <v>1.3671607753705823</v>
          </cell>
          <cell r="AC80">
            <v>1.3076224702099486</v>
          </cell>
          <cell r="AD80">
            <v>1.3080472602102526</v>
          </cell>
          <cell r="AE80">
            <v>1.2945368171021376</v>
          </cell>
          <cell r="AF80">
            <v>1.295358649789029</v>
          </cell>
          <cell r="AM80">
            <v>1.3610733723620612</v>
          </cell>
          <cell r="AN80">
            <v>1.3609470756528876</v>
          </cell>
          <cell r="AO80">
            <v>1.3609470756528876</v>
          </cell>
          <cell r="AP80">
            <v>1.3266393261895317</v>
          </cell>
          <cell r="AQ80">
            <v>1.3485391444713466</v>
          </cell>
          <cell r="AR80">
            <v>1.3493087327183177</v>
          </cell>
        </row>
        <row r="81">
          <cell r="D81">
            <v>6</v>
          </cell>
          <cell r="E81">
            <v>1.3076224702099486</v>
          </cell>
          <cell r="F81">
            <v>1.3080472602102526</v>
          </cell>
          <cell r="G81">
            <v>1.2945368171021376</v>
          </cell>
          <cell r="H81">
            <v>1.295358649789029</v>
          </cell>
          <cell r="O81">
            <v>1.3672896699269002</v>
          </cell>
          <cell r="P81">
            <v>1.3671607753705823</v>
          </cell>
          <cell r="Q81">
            <v>1.3671607753705823</v>
          </cell>
          <cell r="R81">
            <v>1.3675622622991039</v>
          </cell>
          <cell r="S81">
            <v>1.3548412965725196</v>
          </cell>
          <cell r="T81">
            <v>1.3555908850026503</v>
          </cell>
          <cell r="AA81">
            <v>1.3672896699269002</v>
          </cell>
          <cell r="AB81">
            <v>1.3671607753705823</v>
          </cell>
          <cell r="AC81">
            <v>1.3076224702099486</v>
          </cell>
          <cell r="AD81">
            <v>1.3080472602102526</v>
          </cell>
          <cell r="AE81">
            <v>1.2945368171021376</v>
          </cell>
          <cell r="AF81">
            <v>1.295358649789029</v>
          </cell>
          <cell r="AM81">
            <v>1.3610733723620612</v>
          </cell>
          <cell r="AN81">
            <v>1.3609470756528876</v>
          </cell>
          <cell r="AO81">
            <v>1.3609470756528876</v>
          </cell>
          <cell r="AP81">
            <v>1.3266393261895317</v>
          </cell>
          <cell r="AQ81">
            <v>1.3485391444713466</v>
          </cell>
          <cell r="AR81">
            <v>1.3493087327183177</v>
          </cell>
        </row>
        <row r="82">
          <cell r="D82">
            <v>7</v>
          </cell>
          <cell r="E82">
            <v>0.76928314734253833</v>
          </cell>
          <cell r="F82">
            <v>0.76896455484231097</v>
          </cell>
          <cell r="G82">
            <v>0.77909738717339672</v>
          </cell>
          <cell r="H82">
            <v>0.77848101265822789</v>
          </cell>
          <cell r="O82">
            <v>0.72453274755482466</v>
          </cell>
          <cell r="P82">
            <v>0.72462941847206386</v>
          </cell>
          <cell r="Q82">
            <v>0.72462941847206386</v>
          </cell>
          <cell r="R82">
            <v>0.72432830327567177</v>
          </cell>
          <cell r="S82">
            <v>0.73386902757061057</v>
          </cell>
          <cell r="T82">
            <v>0.73330683624801274</v>
          </cell>
          <cell r="AA82">
            <v>0.72453274755482466</v>
          </cell>
          <cell r="AB82">
            <v>0.72462941847206386</v>
          </cell>
          <cell r="AC82">
            <v>0.76928314734253833</v>
          </cell>
          <cell r="AD82">
            <v>0.76896455484231097</v>
          </cell>
          <cell r="AE82">
            <v>0.77909738717339672</v>
          </cell>
          <cell r="AF82">
            <v>0.77848101265822789</v>
          </cell>
          <cell r="AM82">
            <v>0.72919497072845385</v>
          </cell>
          <cell r="AN82">
            <v>0.72928969326033422</v>
          </cell>
          <cell r="AO82">
            <v>0.72928969326033422</v>
          </cell>
          <cell r="AP82">
            <v>0.75502050535785148</v>
          </cell>
          <cell r="AQ82">
            <v>0.73859564164648916</v>
          </cell>
          <cell r="AR82">
            <v>0.73801845046126158</v>
          </cell>
        </row>
        <row r="83">
          <cell r="D83">
            <v>8</v>
          </cell>
          <cell r="E83">
            <v>0.76928314734253833</v>
          </cell>
          <cell r="F83">
            <v>0.76896455484231097</v>
          </cell>
          <cell r="G83">
            <v>0.77909738717339672</v>
          </cell>
          <cell r="H83">
            <v>0.77848101265822789</v>
          </cell>
          <cell r="O83">
            <v>0.72453274755482466</v>
          </cell>
          <cell r="P83">
            <v>0.72462941847206386</v>
          </cell>
          <cell r="Q83">
            <v>0.72462941847206386</v>
          </cell>
          <cell r="R83">
            <v>0.72432830327567177</v>
          </cell>
          <cell r="S83">
            <v>0.73386902757061057</v>
          </cell>
          <cell r="T83">
            <v>0.73330683624801274</v>
          </cell>
          <cell r="AA83">
            <v>0.72453274755482466</v>
          </cell>
          <cell r="AB83">
            <v>0.72462941847206386</v>
          </cell>
          <cell r="AC83">
            <v>0.76928314734253833</v>
          </cell>
          <cell r="AD83">
            <v>0.76896455484231097</v>
          </cell>
          <cell r="AE83">
            <v>0.77909738717339672</v>
          </cell>
          <cell r="AF83">
            <v>0.77848101265822789</v>
          </cell>
          <cell r="AM83">
            <v>0.72919497072845385</v>
          </cell>
          <cell r="AN83">
            <v>0.72928969326033422</v>
          </cell>
          <cell r="AO83">
            <v>0.72928969326033422</v>
          </cell>
          <cell r="AP83">
            <v>0.75502050535785148</v>
          </cell>
          <cell r="AQ83">
            <v>0.73859564164648916</v>
          </cell>
          <cell r="AR83">
            <v>0.73801845046126158</v>
          </cell>
        </row>
        <row r="84">
          <cell r="D84">
            <v>9</v>
          </cell>
          <cell r="E84">
            <v>0.76928314734253833</v>
          </cell>
          <cell r="F84">
            <v>0.76896455484231097</v>
          </cell>
          <cell r="G84">
            <v>0.77909738717339672</v>
          </cell>
          <cell r="H84">
            <v>0.77848101265822789</v>
          </cell>
          <cell r="O84">
            <v>0.72453274755482466</v>
          </cell>
          <cell r="P84">
            <v>0.72462941847206386</v>
          </cell>
          <cell r="Q84">
            <v>0.72462941847206386</v>
          </cell>
          <cell r="R84">
            <v>0.72432830327567177</v>
          </cell>
          <cell r="S84">
            <v>0.73386902757061057</v>
          </cell>
          <cell r="T84">
            <v>0.73330683624801274</v>
          </cell>
          <cell r="AA84">
            <v>0.72453274755482466</v>
          </cell>
          <cell r="AB84">
            <v>0.72462941847206386</v>
          </cell>
          <cell r="AC84">
            <v>0.76928314734253833</v>
          </cell>
          <cell r="AD84">
            <v>0.76896455484231097</v>
          </cell>
          <cell r="AE84">
            <v>0.77909738717339672</v>
          </cell>
          <cell r="AF84">
            <v>0.77848101265822789</v>
          </cell>
          <cell r="AM84">
            <v>0.72919497072845385</v>
          </cell>
          <cell r="AN84">
            <v>0.72928969326033422</v>
          </cell>
          <cell r="AO84">
            <v>0.72928969326033422</v>
          </cell>
          <cell r="AP84">
            <v>0.75502050535785148</v>
          </cell>
          <cell r="AQ84">
            <v>0.73859564164648916</v>
          </cell>
          <cell r="AR84">
            <v>0.73801845046126158</v>
          </cell>
        </row>
        <row r="85">
          <cell r="D85">
            <v>10</v>
          </cell>
          <cell r="E85">
            <v>0.76928314734253833</v>
          </cell>
          <cell r="F85">
            <v>0.76896455484231097</v>
          </cell>
          <cell r="G85">
            <v>0.77909738717339672</v>
          </cell>
          <cell r="H85">
            <v>0.77848101265822789</v>
          </cell>
          <cell r="O85">
            <v>0.72453274755482466</v>
          </cell>
          <cell r="P85">
            <v>0.72462941847206386</v>
          </cell>
          <cell r="Q85">
            <v>0.72462941847206386</v>
          </cell>
          <cell r="R85">
            <v>0.72432830327567177</v>
          </cell>
          <cell r="S85">
            <v>0.73386902757061057</v>
          </cell>
          <cell r="T85">
            <v>0.73330683624801274</v>
          </cell>
          <cell r="AA85">
            <v>0.72453274755482466</v>
          </cell>
          <cell r="AB85">
            <v>0.72462941847206386</v>
          </cell>
          <cell r="AC85">
            <v>0.76928314734253833</v>
          </cell>
          <cell r="AD85">
            <v>0.76896455484231097</v>
          </cell>
          <cell r="AE85">
            <v>0.77909738717339672</v>
          </cell>
          <cell r="AF85">
            <v>0.77848101265822789</v>
          </cell>
          <cell r="AM85">
            <v>0.72919497072845385</v>
          </cell>
          <cell r="AN85">
            <v>0.72928969326033422</v>
          </cell>
          <cell r="AO85">
            <v>0.72928969326033422</v>
          </cell>
          <cell r="AP85">
            <v>0.75502050535785148</v>
          </cell>
          <cell r="AQ85">
            <v>0.73859564164648916</v>
          </cell>
          <cell r="AR85">
            <v>0.73801845046126158</v>
          </cell>
        </row>
        <row r="86">
          <cell r="D86">
            <v>11</v>
          </cell>
          <cell r="E86">
            <v>0.76928314734253833</v>
          </cell>
          <cell r="F86">
            <v>0.76896455484231097</v>
          </cell>
          <cell r="G86">
            <v>0.77909738717339672</v>
          </cell>
          <cell r="H86">
            <v>0.77848101265822789</v>
          </cell>
          <cell r="O86">
            <v>0.72453274755482466</v>
          </cell>
          <cell r="P86">
            <v>0.72462941847206386</v>
          </cell>
          <cell r="Q86">
            <v>0.72462941847206386</v>
          </cell>
          <cell r="R86">
            <v>0.72432830327567177</v>
          </cell>
          <cell r="S86">
            <v>0.73386902757061057</v>
          </cell>
          <cell r="T86">
            <v>0.73330683624801274</v>
          </cell>
          <cell r="AA86">
            <v>0.72453274755482466</v>
          </cell>
          <cell r="AB86">
            <v>0.72462941847206386</v>
          </cell>
          <cell r="AC86">
            <v>0.76928314734253833</v>
          </cell>
          <cell r="AD86">
            <v>0.76896455484231097</v>
          </cell>
          <cell r="AE86">
            <v>0.77909738717339672</v>
          </cell>
          <cell r="AF86">
            <v>0.77848101265822789</v>
          </cell>
          <cell r="AM86">
            <v>0.72919497072845385</v>
          </cell>
          <cell r="AN86">
            <v>0.72928969326033422</v>
          </cell>
          <cell r="AO86">
            <v>0.72928969326033422</v>
          </cell>
          <cell r="AP86">
            <v>0.75502050535785148</v>
          </cell>
          <cell r="AQ86">
            <v>0.73859564164648916</v>
          </cell>
          <cell r="AR86">
            <v>0.73801845046126158</v>
          </cell>
        </row>
        <row r="87">
          <cell r="D87">
            <v>12</v>
          </cell>
          <cell r="E87">
            <v>0.76928314734253833</v>
          </cell>
          <cell r="F87">
            <v>0.76896455484231097</v>
          </cell>
          <cell r="G87">
            <v>0.77909738717339672</v>
          </cell>
          <cell r="H87">
            <v>0.77848101265822789</v>
          </cell>
          <cell r="O87">
            <v>0.72453274755482466</v>
          </cell>
          <cell r="P87">
            <v>0.72462941847206386</v>
          </cell>
          <cell r="Q87">
            <v>0.72462941847206386</v>
          </cell>
          <cell r="R87">
            <v>0.72432830327567177</v>
          </cell>
          <cell r="S87">
            <v>0.73386902757061057</v>
          </cell>
          <cell r="T87">
            <v>0.73330683624801274</v>
          </cell>
          <cell r="AA87">
            <v>0.72453274755482466</v>
          </cell>
          <cell r="AB87">
            <v>0.72462941847206386</v>
          </cell>
          <cell r="AC87">
            <v>0.76928314734253833</v>
          </cell>
          <cell r="AD87">
            <v>0.76896455484231097</v>
          </cell>
          <cell r="AE87">
            <v>0.77909738717339672</v>
          </cell>
          <cell r="AF87">
            <v>0.77848101265822789</v>
          </cell>
          <cell r="AM87">
            <v>0.72919497072845385</v>
          </cell>
          <cell r="AN87">
            <v>0.72928969326033422</v>
          </cell>
          <cell r="AO87">
            <v>0.72928969326033422</v>
          </cell>
          <cell r="AP87">
            <v>0.75502050535785148</v>
          </cell>
          <cell r="AQ87">
            <v>0.73859564164648916</v>
          </cell>
          <cell r="AR87">
            <v>0.73801845046126158</v>
          </cell>
        </row>
        <row r="88">
          <cell r="D88">
            <v>13</v>
          </cell>
          <cell r="E88">
            <v>0.76928314734253833</v>
          </cell>
          <cell r="F88">
            <v>0.76896455484231097</v>
          </cell>
          <cell r="G88">
            <v>0.77909738717339672</v>
          </cell>
          <cell r="H88">
            <v>0.77848101265822789</v>
          </cell>
          <cell r="O88">
            <v>0.72453274755482466</v>
          </cell>
          <cell r="P88">
            <v>0.72462941847206386</v>
          </cell>
          <cell r="Q88">
            <v>0.72462941847206386</v>
          </cell>
          <cell r="R88">
            <v>0.72432830327567177</v>
          </cell>
          <cell r="S88">
            <v>0.73386902757061057</v>
          </cell>
          <cell r="T88">
            <v>0.73330683624801274</v>
          </cell>
          <cell r="AA88">
            <v>0.72453274755482466</v>
          </cell>
          <cell r="AB88">
            <v>0.72462941847206386</v>
          </cell>
          <cell r="AC88">
            <v>0.76928314734253833</v>
          </cell>
          <cell r="AD88">
            <v>0.76896455484231097</v>
          </cell>
          <cell r="AE88">
            <v>0.77909738717339672</v>
          </cell>
          <cell r="AF88">
            <v>0.77848101265822789</v>
          </cell>
          <cell r="AM88">
            <v>0.72919497072845385</v>
          </cell>
          <cell r="AN88">
            <v>0.72928969326033422</v>
          </cell>
          <cell r="AO88">
            <v>0.72928969326033422</v>
          </cell>
          <cell r="AP88">
            <v>0.75502050535785148</v>
          </cell>
          <cell r="AQ88">
            <v>0.73859564164648916</v>
          </cell>
          <cell r="AR88">
            <v>0.73801845046126158</v>
          </cell>
        </row>
        <row r="89">
          <cell r="D89">
            <v>14</v>
          </cell>
          <cell r="E89">
            <v>0.76928314734253833</v>
          </cell>
          <cell r="F89">
            <v>0.76896455484231097</v>
          </cell>
          <cell r="G89">
            <v>0.77909738717339672</v>
          </cell>
          <cell r="H89">
            <v>0.77848101265822789</v>
          </cell>
          <cell r="O89">
            <v>0.72453274755482466</v>
          </cell>
          <cell r="P89">
            <v>0.72462941847206386</v>
          </cell>
          <cell r="Q89">
            <v>0.72462941847206386</v>
          </cell>
          <cell r="R89">
            <v>0.72432830327567177</v>
          </cell>
          <cell r="S89">
            <v>0.73386902757061057</v>
          </cell>
          <cell r="T89">
            <v>0.73330683624801274</v>
          </cell>
          <cell r="AA89">
            <v>0.72453274755482466</v>
          </cell>
          <cell r="AB89">
            <v>0.72462941847206386</v>
          </cell>
          <cell r="AC89">
            <v>0.76928314734253833</v>
          </cell>
          <cell r="AD89">
            <v>0.76896455484231097</v>
          </cell>
          <cell r="AE89">
            <v>0.77909738717339672</v>
          </cell>
          <cell r="AF89">
            <v>0.77848101265822789</v>
          </cell>
          <cell r="AM89">
            <v>0.72919497072845385</v>
          </cell>
          <cell r="AN89">
            <v>0.72928969326033422</v>
          </cell>
          <cell r="AO89">
            <v>0.72928969326033422</v>
          </cell>
          <cell r="AP89">
            <v>0.75502050535785148</v>
          </cell>
          <cell r="AQ89">
            <v>0.73859564164648916</v>
          </cell>
          <cell r="AR89">
            <v>0.73801845046126158</v>
          </cell>
        </row>
        <row r="90">
          <cell r="D90">
            <v>15</v>
          </cell>
          <cell r="E90">
            <v>0.76928314734253833</v>
          </cell>
          <cell r="F90">
            <v>0.76896455484231097</v>
          </cell>
          <cell r="G90">
            <v>0.77909738717339672</v>
          </cell>
          <cell r="H90">
            <v>0.77848101265822789</v>
          </cell>
          <cell r="O90">
            <v>0.72453274755482466</v>
          </cell>
          <cell r="P90">
            <v>0.72462941847206386</v>
          </cell>
          <cell r="Q90">
            <v>0.72462941847206386</v>
          </cell>
          <cell r="R90">
            <v>0.72432830327567177</v>
          </cell>
          <cell r="S90">
            <v>0.73386902757061057</v>
          </cell>
          <cell r="T90">
            <v>0.73330683624801274</v>
          </cell>
          <cell r="AA90">
            <v>0.72453274755482466</v>
          </cell>
          <cell r="AB90">
            <v>0.72462941847206386</v>
          </cell>
          <cell r="AC90">
            <v>0.76928314734253833</v>
          </cell>
          <cell r="AD90">
            <v>0.76896455484231097</v>
          </cell>
          <cell r="AE90">
            <v>0.77909738717339672</v>
          </cell>
          <cell r="AF90">
            <v>0.77848101265822789</v>
          </cell>
          <cell r="AM90">
            <v>0.72919497072845385</v>
          </cell>
          <cell r="AN90">
            <v>0.72928969326033422</v>
          </cell>
          <cell r="AO90">
            <v>0.72928969326033422</v>
          </cell>
          <cell r="AP90">
            <v>0.75502050535785148</v>
          </cell>
          <cell r="AQ90">
            <v>0.73859564164648916</v>
          </cell>
          <cell r="AR90">
            <v>0.73801845046126158</v>
          </cell>
        </row>
        <row r="91">
          <cell r="D91">
            <v>16</v>
          </cell>
          <cell r="E91">
            <v>0.76928314734253833</v>
          </cell>
          <cell r="F91">
            <v>0.76896455484231097</v>
          </cell>
          <cell r="G91">
            <v>0.77909738717339672</v>
          </cell>
          <cell r="H91">
            <v>0.77848101265822789</v>
          </cell>
          <cell r="O91">
            <v>0.72453274755482466</v>
          </cell>
          <cell r="P91">
            <v>0.72462941847206386</v>
          </cell>
          <cell r="Q91">
            <v>0.72462941847206386</v>
          </cell>
          <cell r="R91">
            <v>0.72432830327567177</v>
          </cell>
          <cell r="S91">
            <v>0.73386902757061057</v>
          </cell>
          <cell r="T91">
            <v>0.73330683624801274</v>
          </cell>
          <cell r="AA91">
            <v>0.72453274755482466</v>
          </cell>
          <cell r="AB91">
            <v>0.72462941847206386</v>
          </cell>
          <cell r="AC91">
            <v>0.76928314734253833</v>
          </cell>
          <cell r="AD91">
            <v>0.76896455484231097</v>
          </cell>
          <cell r="AE91">
            <v>0.77909738717339672</v>
          </cell>
          <cell r="AF91">
            <v>0.77848101265822789</v>
          </cell>
          <cell r="AM91">
            <v>0.72919497072845385</v>
          </cell>
          <cell r="AN91">
            <v>0.72928969326033422</v>
          </cell>
          <cell r="AO91">
            <v>0.72928969326033422</v>
          </cell>
          <cell r="AP91">
            <v>0.75502050535785148</v>
          </cell>
          <cell r="AQ91">
            <v>0.73859564164648916</v>
          </cell>
          <cell r="AR91">
            <v>0.73801845046126158</v>
          </cell>
        </row>
        <row r="92">
          <cell r="D92">
            <v>17</v>
          </cell>
          <cell r="E92">
            <v>0.76928314734253833</v>
          </cell>
          <cell r="F92">
            <v>0.76896455484231097</v>
          </cell>
          <cell r="G92">
            <v>0.77909738717339672</v>
          </cell>
          <cell r="H92">
            <v>0.77848101265822789</v>
          </cell>
          <cell r="O92">
            <v>0.72453274755482466</v>
          </cell>
          <cell r="P92">
            <v>0.72462941847206386</v>
          </cell>
          <cell r="Q92">
            <v>0.72462941847206386</v>
          </cell>
          <cell r="R92">
            <v>0.72432830327567177</v>
          </cell>
          <cell r="S92">
            <v>0.73386902757061057</v>
          </cell>
          <cell r="T92">
            <v>0.73330683624801274</v>
          </cell>
          <cell r="AA92">
            <v>0.72453274755482466</v>
          </cell>
          <cell r="AB92">
            <v>0.72462941847206386</v>
          </cell>
          <cell r="AC92">
            <v>0.76928314734253833</v>
          </cell>
          <cell r="AD92">
            <v>0.76896455484231097</v>
          </cell>
          <cell r="AE92">
            <v>0.77909738717339672</v>
          </cell>
          <cell r="AF92">
            <v>0.77848101265822789</v>
          </cell>
          <cell r="AM92">
            <v>0.72919497072845385</v>
          </cell>
          <cell r="AN92">
            <v>0.72928969326033422</v>
          </cell>
          <cell r="AO92">
            <v>0.72928969326033422</v>
          </cell>
          <cell r="AP92">
            <v>0.75502050535785148</v>
          </cell>
          <cell r="AQ92">
            <v>0.73859564164648916</v>
          </cell>
          <cell r="AR92">
            <v>0.73801845046126158</v>
          </cell>
        </row>
        <row r="93">
          <cell r="D93">
            <v>18</v>
          </cell>
          <cell r="E93">
            <v>0.76928314734253833</v>
          </cell>
          <cell r="F93">
            <v>0.76896455484231097</v>
          </cell>
          <cell r="G93">
            <v>0.77909738717339672</v>
          </cell>
          <cell r="H93">
            <v>0.77848101265822789</v>
          </cell>
          <cell r="O93">
            <v>0.72453274755482466</v>
          </cell>
          <cell r="P93">
            <v>0.72462941847206386</v>
          </cell>
          <cell r="Q93">
            <v>0.72462941847206386</v>
          </cell>
          <cell r="R93">
            <v>0.72432830327567177</v>
          </cell>
          <cell r="S93">
            <v>0.73386902757061057</v>
          </cell>
          <cell r="T93">
            <v>0.73330683624801274</v>
          </cell>
          <cell r="AA93">
            <v>0.72453274755482466</v>
          </cell>
          <cell r="AB93">
            <v>0.72462941847206386</v>
          </cell>
          <cell r="AC93">
            <v>0.76928314734253833</v>
          </cell>
          <cell r="AD93">
            <v>0.76896455484231097</v>
          </cell>
          <cell r="AE93">
            <v>0.77909738717339672</v>
          </cell>
          <cell r="AF93">
            <v>0.77848101265822789</v>
          </cell>
          <cell r="AM93">
            <v>0.72919497072845385</v>
          </cell>
          <cell r="AN93">
            <v>0.72928969326033422</v>
          </cell>
          <cell r="AO93">
            <v>0.72928969326033422</v>
          </cell>
          <cell r="AP93">
            <v>0.75502050535785148</v>
          </cell>
          <cell r="AQ93">
            <v>0.73859564164648916</v>
          </cell>
          <cell r="AR93">
            <v>0.73801845046126158</v>
          </cell>
        </row>
        <row r="94">
          <cell r="D94">
            <v>19</v>
          </cell>
          <cell r="E94">
            <v>0.76928314734253833</v>
          </cell>
          <cell r="F94">
            <v>0.76896455484231097</v>
          </cell>
          <cell r="G94">
            <v>0.77909738717339672</v>
          </cell>
          <cell r="H94">
            <v>0.77848101265822789</v>
          </cell>
          <cell r="O94">
            <v>0.72453274755482466</v>
          </cell>
          <cell r="P94">
            <v>0.72462941847206386</v>
          </cell>
          <cell r="Q94">
            <v>0.72462941847206386</v>
          </cell>
          <cell r="R94">
            <v>0.72432830327567177</v>
          </cell>
          <cell r="S94">
            <v>0.73386902757061057</v>
          </cell>
          <cell r="T94">
            <v>0.73330683624801274</v>
          </cell>
          <cell r="AA94">
            <v>0.72453274755482466</v>
          </cell>
          <cell r="AB94">
            <v>0.72462941847206386</v>
          </cell>
          <cell r="AC94">
            <v>0.76928314734253833</v>
          </cell>
          <cell r="AD94">
            <v>0.76896455484231097</v>
          </cell>
          <cell r="AE94">
            <v>0.77909738717339672</v>
          </cell>
          <cell r="AF94">
            <v>0.77848101265822789</v>
          </cell>
          <cell r="AM94">
            <v>0.72919497072845385</v>
          </cell>
          <cell r="AN94">
            <v>0.72928969326033422</v>
          </cell>
          <cell r="AO94">
            <v>0.72928969326033422</v>
          </cell>
          <cell r="AP94">
            <v>0.75502050535785148</v>
          </cell>
          <cell r="AQ94">
            <v>0.73859564164648916</v>
          </cell>
          <cell r="AR94">
            <v>0.73801845046126158</v>
          </cell>
        </row>
        <row r="95">
          <cell r="D95">
            <v>20</v>
          </cell>
          <cell r="E95">
            <v>0.76928314734253833</v>
          </cell>
          <cell r="F95">
            <v>0.76896455484231097</v>
          </cell>
          <cell r="G95">
            <v>0.77909738717339672</v>
          </cell>
          <cell r="H95">
            <v>0.77848101265822789</v>
          </cell>
          <cell r="O95">
            <v>0.72453274755482466</v>
          </cell>
          <cell r="P95">
            <v>0.72462941847206386</v>
          </cell>
          <cell r="Q95">
            <v>0.72462941847206386</v>
          </cell>
          <cell r="R95">
            <v>0.72432830327567177</v>
          </cell>
          <cell r="S95">
            <v>0.73386902757061057</v>
          </cell>
          <cell r="T95">
            <v>0.73330683624801274</v>
          </cell>
          <cell r="AA95">
            <v>0.72453274755482466</v>
          </cell>
          <cell r="AB95">
            <v>0.72462941847206386</v>
          </cell>
          <cell r="AC95">
            <v>0.76928314734253833</v>
          </cell>
          <cell r="AD95">
            <v>0.76896455484231097</v>
          </cell>
          <cell r="AE95">
            <v>0.77909738717339672</v>
          </cell>
          <cell r="AF95">
            <v>0.77848101265822789</v>
          </cell>
          <cell r="AM95">
            <v>0.72919497072845385</v>
          </cell>
          <cell r="AN95">
            <v>0.72928969326033422</v>
          </cell>
          <cell r="AO95">
            <v>0.72928969326033422</v>
          </cell>
          <cell r="AP95">
            <v>0.75502050535785148</v>
          </cell>
          <cell r="AQ95">
            <v>0.73859564164648916</v>
          </cell>
          <cell r="AR95">
            <v>0.73801845046126158</v>
          </cell>
        </row>
        <row r="96">
          <cell r="D96">
            <v>21</v>
          </cell>
          <cell r="E96">
            <v>0.76928314734253833</v>
          </cell>
          <cell r="F96">
            <v>0.76896455484231097</v>
          </cell>
          <cell r="G96">
            <v>0.77909738717339672</v>
          </cell>
          <cell r="H96">
            <v>0.77848101265822789</v>
          </cell>
          <cell r="O96">
            <v>0.72453274755482466</v>
          </cell>
          <cell r="P96">
            <v>0.72462941847206386</v>
          </cell>
          <cell r="Q96">
            <v>0.72462941847206386</v>
          </cell>
          <cell r="R96">
            <v>0.72432830327567177</v>
          </cell>
          <cell r="S96">
            <v>0.73386902757061057</v>
          </cell>
          <cell r="T96">
            <v>0.73330683624801274</v>
          </cell>
          <cell r="AA96">
            <v>0.72453274755482466</v>
          </cell>
          <cell r="AB96">
            <v>0.72462941847206386</v>
          </cell>
          <cell r="AC96">
            <v>0.76928314734253833</v>
          </cell>
          <cell r="AD96">
            <v>0.76896455484231097</v>
          </cell>
          <cell r="AE96">
            <v>0.77909738717339672</v>
          </cell>
          <cell r="AF96">
            <v>0.77848101265822789</v>
          </cell>
          <cell r="AM96">
            <v>0.72919497072845385</v>
          </cell>
          <cell r="AN96">
            <v>0.72928969326033422</v>
          </cell>
          <cell r="AO96">
            <v>0.72928969326033422</v>
          </cell>
          <cell r="AP96">
            <v>0.75502050535785148</v>
          </cell>
          <cell r="AQ96">
            <v>0.73859564164648916</v>
          </cell>
          <cell r="AR96">
            <v>0.73801845046126158</v>
          </cell>
        </row>
        <row r="97">
          <cell r="D97">
            <v>22</v>
          </cell>
          <cell r="E97">
            <v>0.76928314734253833</v>
          </cell>
          <cell r="F97">
            <v>0.76896455484231097</v>
          </cell>
          <cell r="G97">
            <v>0.77909738717339672</v>
          </cell>
          <cell r="H97">
            <v>0.77848101265822789</v>
          </cell>
          <cell r="O97">
            <v>0.72453274755482466</v>
          </cell>
          <cell r="P97">
            <v>0.72462941847206386</v>
          </cell>
          <cell r="Q97">
            <v>0.72462941847206386</v>
          </cell>
          <cell r="R97">
            <v>0.72432830327567177</v>
          </cell>
          <cell r="S97">
            <v>0.73386902757061057</v>
          </cell>
          <cell r="T97">
            <v>0.73330683624801274</v>
          </cell>
          <cell r="AA97">
            <v>0.72453274755482466</v>
          </cell>
          <cell r="AB97">
            <v>0.72462941847206386</v>
          </cell>
          <cell r="AC97">
            <v>0.76928314734253833</v>
          </cell>
          <cell r="AD97">
            <v>0.76896455484231097</v>
          </cell>
          <cell r="AE97">
            <v>0.77909738717339672</v>
          </cell>
          <cell r="AF97">
            <v>0.77848101265822789</v>
          </cell>
          <cell r="AM97">
            <v>0.72919497072845385</v>
          </cell>
          <cell r="AN97">
            <v>0.72928969326033422</v>
          </cell>
          <cell r="AO97">
            <v>0.72928969326033422</v>
          </cell>
          <cell r="AP97">
            <v>0.75502050535785148</v>
          </cell>
          <cell r="AQ97">
            <v>0.73859564164648916</v>
          </cell>
          <cell r="AR97">
            <v>0.73801845046126158</v>
          </cell>
        </row>
        <row r="98">
          <cell r="D98">
            <v>23</v>
          </cell>
          <cell r="E98">
            <v>1.3076224702099486</v>
          </cell>
          <cell r="F98">
            <v>1.3080472602102526</v>
          </cell>
          <cell r="G98">
            <v>1.2945368171021376</v>
          </cell>
          <cell r="H98">
            <v>1.295358649789029</v>
          </cell>
          <cell r="O98">
            <v>1.3672896699269002</v>
          </cell>
          <cell r="P98">
            <v>1.3671607753705823</v>
          </cell>
          <cell r="Q98">
            <v>1.3671607753705823</v>
          </cell>
          <cell r="R98">
            <v>1.3675622622991039</v>
          </cell>
          <cell r="S98">
            <v>1.3548412965725196</v>
          </cell>
          <cell r="T98">
            <v>1.3555908850026503</v>
          </cell>
          <cell r="AA98">
            <v>1.3672896699269002</v>
          </cell>
          <cell r="AB98">
            <v>1.3671607753705823</v>
          </cell>
          <cell r="AC98">
            <v>1.3076224702099486</v>
          </cell>
          <cell r="AD98">
            <v>1.3080472602102526</v>
          </cell>
          <cell r="AE98">
            <v>1.2945368171021376</v>
          </cell>
          <cell r="AF98">
            <v>1.295358649789029</v>
          </cell>
          <cell r="AM98">
            <v>1.3610733723620612</v>
          </cell>
          <cell r="AN98">
            <v>1.3609470756528876</v>
          </cell>
          <cell r="AO98">
            <v>1.3609470756528876</v>
          </cell>
          <cell r="AP98">
            <v>1.3266393261895317</v>
          </cell>
          <cell r="AQ98">
            <v>1.3485391444713466</v>
          </cell>
          <cell r="AR98">
            <v>1.3493087327183177</v>
          </cell>
        </row>
        <row r="99">
          <cell r="D99">
            <v>24</v>
          </cell>
          <cell r="E99">
            <v>1.3076224702099486</v>
          </cell>
          <cell r="F99">
            <v>1.3080472602102526</v>
          </cell>
          <cell r="G99">
            <v>1.2945368171021376</v>
          </cell>
          <cell r="H99">
            <v>1.295358649789029</v>
          </cell>
          <cell r="O99">
            <v>1.3672896699269002</v>
          </cell>
          <cell r="P99">
            <v>1.3671607753705823</v>
          </cell>
          <cell r="Q99">
            <v>1.3671607753705823</v>
          </cell>
          <cell r="R99">
            <v>1.3675622622991039</v>
          </cell>
          <cell r="S99">
            <v>1.3548412965725196</v>
          </cell>
          <cell r="T99">
            <v>1.3555908850026503</v>
          </cell>
          <cell r="AA99">
            <v>1.3672896699269002</v>
          </cell>
          <cell r="AB99">
            <v>1.3671607753705823</v>
          </cell>
          <cell r="AC99">
            <v>1.3076224702099486</v>
          </cell>
          <cell r="AD99">
            <v>1.3080472602102526</v>
          </cell>
          <cell r="AE99">
            <v>1.2945368171021376</v>
          </cell>
          <cell r="AF99">
            <v>1.295358649789029</v>
          </cell>
          <cell r="AM99">
            <v>1.3610733723620612</v>
          </cell>
          <cell r="AN99">
            <v>1.3609470756528876</v>
          </cell>
          <cell r="AO99">
            <v>1.3609470756528876</v>
          </cell>
          <cell r="AP99">
            <v>1.3266393261895317</v>
          </cell>
          <cell r="AQ99">
            <v>1.3485391444713466</v>
          </cell>
          <cell r="AR99">
            <v>1.3493087327183177</v>
          </cell>
        </row>
        <row r="100">
          <cell r="D100">
            <v>25</v>
          </cell>
          <cell r="E100">
            <v>1.3076224702099486</v>
          </cell>
          <cell r="F100">
            <v>1.3080472602102526</v>
          </cell>
          <cell r="G100">
            <v>1.2945368171021376</v>
          </cell>
          <cell r="H100">
            <v>1.295358649789029</v>
          </cell>
          <cell r="O100">
            <v>1.3672896699269002</v>
          </cell>
          <cell r="P100">
            <v>1.3671607753705823</v>
          </cell>
          <cell r="Q100">
            <v>1.3671607753705823</v>
          </cell>
          <cell r="R100">
            <v>1.3675622622991039</v>
          </cell>
          <cell r="S100">
            <v>1.3548412965725196</v>
          </cell>
          <cell r="T100">
            <v>1.3555908850026503</v>
          </cell>
          <cell r="AA100">
            <v>1.3672896699269002</v>
          </cell>
          <cell r="AB100">
            <v>1.3671607753705823</v>
          </cell>
          <cell r="AC100">
            <v>1.3076224702099486</v>
          </cell>
          <cell r="AD100">
            <v>1.3080472602102526</v>
          </cell>
          <cell r="AE100">
            <v>1.2945368171021376</v>
          </cell>
          <cell r="AF100">
            <v>1.295358649789029</v>
          </cell>
          <cell r="AM100">
            <v>1.3610733723620612</v>
          </cell>
          <cell r="AN100">
            <v>1.3609470756528876</v>
          </cell>
          <cell r="AO100">
            <v>1.3609470756528876</v>
          </cell>
          <cell r="AP100">
            <v>1.3266393261895317</v>
          </cell>
          <cell r="AQ100">
            <v>1.3485391444713466</v>
          </cell>
          <cell r="AR100">
            <v>1.3493087327183177</v>
          </cell>
        </row>
        <row r="101">
          <cell r="D101">
            <v>26</v>
          </cell>
          <cell r="E101">
            <v>1.3076224702099486</v>
          </cell>
          <cell r="F101">
            <v>1.3080472602102526</v>
          </cell>
          <cell r="G101">
            <v>1.2945368171021376</v>
          </cell>
          <cell r="H101">
            <v>1.295358649789029</v>
          </cell>
          <cell r="O101">
            <v>1.3672896699269002</v>
          </cell>
          <cell r="P101">
            <v>1.3671607753705823</v>
          </cell>
          <cell r="Q101">
            <v>1.3671607753705823</v>
          </cell>
          <cell r="R101">
            <v>1.3675622622991039</v>
          </cell>
          <cell r="S101">
            <v>1.3548412965725196</v>
          </cell>
          <cell r="T101">
            <v>1.3555908850026503</v>
          </cell>
          <cell r="AA101">
            <v>1.3672896699269002</v>
          </cell>
          <cell r="AB101">
            <v>1.3671607753705823</v>
          </cell>
          <cell r="AC101">
            <v>1.3076224702099486</v>
          </cell>
          <cell r="AD101">
            <v>1.3080472602102526</v>
          </cell>
          <cell r="AE101">
            <v>1.2945368171021376</v>
          </cell>
          <cell r="AF101">
            <v>1.295358649789029</v>
          </cell>
          <cell r="AM101">
            <v>1.3610733723620612</v>
          </cell>
          <cell r="AN101">
            <v>1.3609470756528876</v>
          </cell>
          <cell r="AO101">
            <v>1.3609470756528876</v>
          </cell>
          <cell r="AP101">
            <v>1.3266393261895317</v>
          </cell>
          <cell r="AQ101">
            <v>1.3485391444713466</v>
          </cell>
          <cell r="AR101">
            <v>1.3493087327183177</v>
          </cell>
        </row>
        <row r="102">
          <cell r="D102">
            <v>27</v>
          </cell>
          <cell r="E102">
            <v>1.3076224702099486</v>
          </cell>
          <cell r="F102">
            <v>1.3080472602102526</v>
          </cell>
          <cell r="G102">
            <v>1.2945368171021376</v>
          </cell>
          <cell r="H102">
            <v>1.295358649789029</v>
          </cell>
          <cell r="O102">
            <v>1.3672896699269002</v>
          </cell>
          <cell r="P102">
            <v>1.3671607753705823</v>
          </cell>
          <cell r="Q102">
            <v>1.3671607753705823</v>
          </cell>
          <cell r="R102">
            <v>1.3675622622991039</v>
          </cell>
          <cell r="S102">
            <v>1.3548412965725196</v>
          </cell>
          <cell r="T102">
            <v>1.3555908850026503</v>
          </cell>
          <cell r="AA102">
            <v>1.3672896699269002</v>
          </cell>
          <cell r="AB102">
            <v>1.3671607753705823</v>
          </cell>
          <cell r="AC102">
            <v>1.3076224702099486</v>
          </cell>
          <cell r="AD102">
            <v>1.3080472602102526</v>
          </cell>
          <cell r="AE102">
            <v>1.2945368171021376</v>
          </cell>
          <cell r="AF102">
            <v>1.295358649789029</v>
          </cell>
          <cell r="AM102">
            <v>1.3610733723620612</v>
          </cell>
          <cell r="AN102">
            <v>1.3609470756528876</v>
          </cell>
          <cell r="AO102">
            <v>1.3609470756528876</v>
          </cell>
          <cell r="AP102">
            <v>1.3266393261895317</v>
          </cell>
          <cell r="AQ102">
            <v>1.3485391444713466</v>
          </cell>
          <cell r="AR102">
            <v>1.3493087327183177</v>
          </cell>
        </row>
        <row r="103">
          <cell r="D103">
            <v>28</v>
          </cell>
          <cell r="E103">
            <v>1.3076224702099486</v>
          </cell>
          <cell r="F103">
            <v>1.3080472602102526</v>
          </cell>
          <cell r="G103">
            <v>1.2945368171021376</v>
          </cell>
          <cell r="H103">
            <v>1.295358649789029</v>
          </cell>
          <cell r="O103">
            <v>1.3672896699269002</v>
          </cell>
          <cell r="P103">
            <v>1.3671607753705823</v>
          </cell>
          <cell r="Q103">
            <v>1.3671607753705823</v>
          </cell>
          <cell r="R103">
            <v>1.3675622622991039</v>
          </cell>
          <cell r="S103">
            <v>1.3548412965725196</v>
          </cell>
          <cell r="T103">
            <v>1.3555908850026503</v>
          </cell>
          <cell r="AA103">
            <v>1.3672896699269002</v>
          </cell>
          <cell r="AB103">
            <v>1.3671607753705823</v>
          </cell>
          <cell r="AC103">
            <v>1.3076224702099486</v>
          </cell>
          <cell r="AD103">
            <v>1.3080472602102526</v>
          </cell>
          <cell r="AE103">
            <v>1.2945368171021376</v>
          </cell>
          <cell r="AF103">
            <v>1.295358649789029</v>
          </cell>
          <cell r="AM103">
            <v>1.3610733723620612</v>
          </cell>
          <cell r="AN103">
            <v>1.3609470756528876</v>
          </cell>
          <cell r="AO103">
            <v>1.3609470756528876</v>
          </cell>
          <cell r="AP103">
            <v>1.3266393261895317</v>
          </cell>
          <cell r="AQ103">
            <v>1.3485391444713466</v>
          </cell>
          <cell r="AR103">
            <v>1.3493087327183177</v>
          </cell>
        </row>
        <row r="104">
          <cell r="D104">
            <v>29</v>
          </cell>
          <cell r="E104">
            <v>1.3076224702099486</v>
          </cell>
          <cell r="F104">
            <v>1.3080472602102526</v>
          </cell>
          <cell r="G104">
            <v>1.2945368171021376</v>
          </cell>
          <cell r="H104">
            <v>1.295358649789029</v>
          </cell>
          <cell r="O104">
            <v>1.3672896699269002</v>
          </cell>
          <cell r="P104">
            <v>1.3671607753705823</v>
          </cell>
          <cell r="Q104">
            <v>1.3671607753705823</v>
          </cell>
          <cell r="R104">
            <v>1.3675622622991039</v>
          </cell>
          <cell r="S104">
            <v>1.3548412965725196</v>
          </cell>
          <cell r="T104">
            <v>1.3555908850026503</v>
          </cell>
          <cell r="AA104">
            <v>1.3672896699269002</v>
          </cell>
          <cell r="AB104">
            <v>1.3671607753705823</v>
          </cell>
          <cell r="AC104">
            <v>1.3076224702099486</v>
          </cell>
          <cell r="AD104">
            <v>1.3080472602102526</v>
          </cell>
          <cell r="AE104">
            <v>1.2945368171021376</v>
          </cell>
          <cell r="AF104">
            <v>1.295358649789029</v>
          </cell>
          <cell r="AM104">
            <v>1.3610733723620612</v>
          </cell>
          <cell r="AN104">
            <v>1.3609470756528876</v>
          </cell>
          <cell r="AO104">
            <v>1.3609470756528876</v>
          </cell>
          <cell r="AP104">
            <v>1.3266393261895317</v>
          </cell>
          <cell r="AQ104">
            <v>1.3485391444713466</v>
          </cell>
          <cell r="AR104">
            <v>1.3493087327183177</v>
          </cell>
        </row>
        <row r="105">
          <cell r="D105">
            <v>30</v>
          </cell>
          <cell r="E105">
            <v>1.3076224702099486</v>
          </cell>
          <cell r="F105">
            <v>1.3080472602102526</v>
          </cell>
          <cell r="G105">
            <v>1.2945368171021376</v>
          </cell>
          <cell r="H105">
            <v>1.295358649789029</v>
          </cell>
          <cell r="O105">
            <v>1.3672896699269002</v>
          </cell>
          <cell r="P105">
            <v>1.3671607753705823</v>
          </cell>
          <cell r="Q105">
            <v>1.3671607753705823</v>
          </cell>
          <cell r="R105">
            <v>1.3675622622991039</v>
          </cell>
          <cell r="S105">
            <v>1.3548412965725196</v>
          </cell>
          <cell r="T105">
            <v>1.3555908850026503</v>
          </cell>
          <cell r="AA105">
            <v>1.3672896699269002</v>
          </cell>
          <cell r="AB105">
            <v>1.3671607753705823</v>
          </cell>
          <cell r="AC105">
            <v>1.3076224702099486</v>
          </cell>
          <cell r="AD105">
            <v>1.3080472602102526</v>
          </cell>
          <cell r="AE105">
            <v>1.2945368171021376</v>
          </cell>
          <cell r="AF105">
            <v>1.295358649789029</v>
          </cell>
          <cell r="AM105">
            <v>1.3610733723620612</v>
          </cell>
          <cell r="AN105">
            <v>1.3609470756528876</v>
          </cell>
          <cell r="AO105">
            <v>1.3609470756528876</v>
          </cell>
          <cell r="AP105">
            <v>1.3266393261895317</v>
          </cell>
          <cell r="AQ105">
            <v>1.3485391444713466</v>
          </cell>
          <cell r="AR105">
            <v>1.3493087327183177</v>
          </cell>
        </row>
        <row r="106">
          <cell r="D106">
            <v>31</v>
          </cell>
          <cell r="E106">
            <v>0.76928314734253833</v>
          </cell>
          <cell r="F106">
            <v>0.76896455484231097</v>
          </cell>
          <cell r="G106">
            <v>0.77909738717339672</v>
          </cell>
          <cell r="H106">
            <v>0.77848101265822789</v>
          </cell>
          <cell r="O106">
            <v>0.72453274755482466</v>
          </cell>
          <cell r="P106">
            <v>0.72462941847206386</v>
          </cell>
          <cell r="Q106">
            <v>0.72462941847206386</v>
          </cell>
          <cell r="R106">
            <v>0.72432830327567177</v>
          </cell>
          <cell r="S106">
            <v>0.73386902757061057</v>
          </cell>
          <cell r="T106">
            <v>0.73330683624801274</v>
          </cell>
          <cell r="AA106">
            <v>0.72453274755482466</v>
          </cell>
          <cell r="AB106">
            <v>0.72462941847206386</v>
          </cell>
          <cell r="AC106">
            <v>0.76928314734253833</v>
          </cell>
          <cell r="AD106">
            <v>0.76896455484231097</v>
          </cell>
          <cell r="AE106">
            <v>0.77909738717339672</v>
          </cell>
          <cell r="AF106">
            <v>0.77848101265822789</v>
          </cell>
          <cell r="AM106">
            <v>0.72919497072845385</v>
          </cell>
          <cell r="AN106">
            <v>0.72928969326033422</v>
          </cell>
          <cell r="AO106">
            <v>0.72928969326033422</v>
          </cell>
          <cell r="AP106">
            <v>0.75502050535785148</v>
          </cell>
          <cell r="AQ106">
            <v>0.73859564164648916</v>
          </cell>
          <cell r="AR106">
            <v>0.73801845046126158</v>
          </cell>
        </row>
        <row r="107">
          <cell r="D107">
            <v>32</v>
          </cell>
          <cell r="E107">
            <v>0.76928314734253833</v>
          </cell>
          <cell r="F107">
            <v>0.76896455484231097</v>
          </cell>
          <cell r="G107">
            <v>0.77909738717339672</v>
          </cell>
          <cell r="H107">
            <v>0.77848101265822789</v>
          </cell>
          <cell r="O107">
            <v>0.72453274755482466</v>
          </cell>
          <cell r="P107">
            <v>0.72462941847206386</v>
          </cell>
          <cell r="Q107">
            <v>0.72462941847206386</v>
          </cell>
          <cell r="R107">
            <v>0.72432830327567177</v>
          </cell>
          <cell r="S107">
            <v>0.73386902757061057</v>
          </cell>
          <cell r="T107">
            <v>0.73330683624801274</v>
          </cell>
          <cell r="AA107">
            <v>0.72453274755482466</v>
          </cell>
          <cell r="AB107">
            <v>0.72462941847206386</v>
          </cell>
          <cell r="AC107">
            <v>0.76928314734253833</v>
          </cell>
          <cell r="AD107">
            <v>0.76896455484231097</v>
          </cell>
          <cell r="AE107">
            <v>0.77909738717339672</v>
          </cell>
          <cell r="AF107">
            <v>0.77848101265822789</v>
          </cell>
          <cell r="AM107">
            <v>0.72919497072845385</v>
          </cell>
          <cell r="AN107">
            <v>0.72928969326033422</v>
          </cell>
          <cell r="AO107">
            <v>0.72928969326033422</v>
          </cell>
          <cell r="AP107">
            <v>0.75502050535785148</v>
          </cell>
          <cell r="AQ107">
            <v>0.73859564164648916</v>
          </cell>
          <cell r="AR107">
            <v>0.73801845046126158</v>
          </cell>
        </row>
        <row r="108">
          <cell r="D108">
            <v>33</v>
          </cell>
          <cell r="E108">
            <v>0.76928314734253833</v>
          </cell>
          <cell r="F108">
            <v>0.76896455484231097</v>
          </cell>
          <cell r="G108">
            <v>0.77909738717339672</v>
          </cell>
          <cell r="H108">
            <v>0.77848101265822789</v>
          </cell>
          <cell r="O108">
            <v>0.72453274755482466</v>
          </cell>
          <cell r="P108">
            <v>0.72462941847206386</v>
          </cell>
          <cell r="Q108">
            <v>0.72462941847206386</v>
          </cell>
          <cell r="R108">
            <v>0.72432830327567177</v>
          </cell>
          <cell r="S108">
            <v>0.73386902757061057</v>
          </cell>
          <cell r="T108">
            <v>0.73330683624801274</v>
          </cell>
          <cell r="AA108">
            <v>0.72453274755482466</v>
          </cell>
          <cell r="AB108">
            <v>0.72462941847206386</v>
          </cell>
          <cell r="AC108">
            <v>0.76928314734253833</v>
          </cell>
          <cell r="AD108">
            <v>0.76896455484231097</v>
          </cell>
          <cell r="AE108">
            <v>0.77909738717339672</v>
          </cell>
          <cell r="AF108">
            <v>0.77848101265822789</v>
          </cell>
          <cell r="AM108">
            <v>0.72919497072845385</v>
          </cell>
          <cell r="AN108">
            <v>0.72928969326033422</v>
          </cell>
          <cell r="AO108">
            <v>0.72928969326033422</v>
          </cell>
          <cell r="AP108">
            <v>0.75502050535785148</v>
          </cell>
          <cell r="AQ108">
            <v>0.73859564164648916</v>
          </cell>
          <cell r="AR108">
            <v>0.73801845046126158</v>
          </cell>
        </row>
        <row r="109">
          <cell r="D109">
            <v>34</v>
          </cell>
          <cell r="E109">
            <v>0.76928314734253833</v>
          </cell>
          <cell r="F109">
            <v>0.76896455484231097</v>
          </cell>
          <cell r="G109">
            <v>0.77909738717339672</v>
          </cell>
          <cell r="H109">
            <v>0.77848101265822789</v>
          </cell>
          <cell r="O109">
            <v>0.72453274755482466</v>
          </cell>
          <cell r="P109">
            <v>0.72462941847206386</v>
          </cell>
          <cell r="Q109">
            <v>0.72462941847206386</v>
          </cell>
          <cell r="R109">
            <v>0.72432830327567177</v>
          </cell>
          <cell r="S109">
            <v>0.73386902757061057</v>
          </cell>
          <cell r="T109">
            <v>0.73330683624801274</v>
          </cell>
          <cell r="AA109">
            <v>0.72453274755482466</v>
          </cell>
          <cell r="AB109">
            <v>0.72462941847206386</v>
          </cell>
          <cell r="AC109">
            <v>0.76928314734253833</v>
          </cell>
          <cell r="AD109">
            <v>0.76896455484231097</v>
          </cell>
          <cell r="AE109">
            <v>0.77909738717339672</v>
          </cell>
          <cell r="AF109">
            <v>0.77848101265822789</v>
          </cell>
          <cell r="AM109">
            <v>0.72919497072845385</v>
          </cell>
          <cell r="AN109">
            <v>0.72928969326033422</v>
          </cell>
          <cell r="AO109">
            <v>0.72928969326033422</v>
          </cell>
          <cell r="AP109">
            <v>0.75502050535785148</v>
          </cell>
          <cell r="AQ109">
            <v>0.73859564164648916</v>
          </cell>
          <cell r="AR109">
            <v>0.73801845046126158</v>
          </cell>
        </row>
        <row r="110">
          <cell r="D110">
            <v>35</v>
          </cell>
          <cell r="E110">
            <v>0.76928314734253833</v>
          </cell>
          <cell r="F110">
            <v>0.76896455484231097</v>
          </cell>
          <cell r="G110">
            <v>0.77909738717339672</v>
          </cell>
          <cell r="H110">
            <v>0.77848101265822789</v>
          </cell>
          <cell r="O110">
            <v>0.72453274755482466</v>
          </cell>
          <cell r="P110">
            <v>0.72462941847206386</v>
          </cell>
          <cell r="Q110">
            <v>0.72462941847206386</v>
          </cell>
          <cell r="R110">
            <v>0.72432830327567177</v>
          </cell>
          <cell r="S110">
            <v>0.73386902757061057</v>
          </cell>
          <cell r="T110">
            <v>0.73330683624801274</v>
          </cell>
          <cell r="AA110">
            <v>0.72453274755482466</v>
          </cell>
          <cell r="AB110">
            <v>0.72462941847206386</v>
          </cell>
          <cell r="AC110">
            <v>0.76928314734253833</v>
          </cell>
          <cell r="AD110">
            <v>0.76896455484231097</v>
          </cell>
          <cell r="AE110">
            <v>0.77909738717339672</v>
          </cell>
          <cell r="AF110">
            <v>0.77848101265822789</v>
          </cell>
          <cell r="AM110">
            <v>0.72919497072845385</v>
          </cell>
          <cell r="AN110">
            <v>0.72928969326033422</v>
          </cell>
          <cell r="AO110">
            <v>0.72928969326033422</v>
          </cell>
          <cell r="AP110">
            <v>0.75502050535785148</v>
          </cell>
          <cell r="AQ110">
            <v>0.73859564164648916</v>
          </cell>
          <cell r="AR110">
            <v>0.73801845046126158</v>
          </cell>
        </row>
        <row r="111">
          <cell r="D111">
            <v>36</v>
          </cell>
          <cell r="E111">
            <v>0.76928314734253833</v>
          </cell>
          <cell r="F111">
            <v>0.76896455484231097</v>
          </cell>
          <cell r="G111">
            <v>0.77909738717339672</v>
          </cell>
          <cell r="H111">
            <v>0.77848101265822789</v>
          </cell>
          <cell r="O111">
            <v>0.72453274755482466</v>
          </cell>
          <cell r="P111">
            <v>0.72462941847206386</v>
          </cell>
          <cell r="Q111">
            <v>0.72462941847206386</v>
          </cell>
          <cell r="R111">
            <v>0.72432830327567177</v>
          </cell>
          <cell r="S111">
            <v>0.73386902757061057</v>
          </cell>
          <cell r="T111">
            <v>0.73330683624801274</v>
          </cell>
          <cell r="AA111">
            <v>0.72453274755482466</v>
          </cell>
          <cell r="AB111">
            <v>0.72462941847206386</v>
          </cell>
          <cell r="AC111">
            <v>0.76928314734253833</v>
          </cell>
          <cell r="AD111">
            <v>0.76896455484231097</v>
          </cell>
          <cell r="AE111">
            <v>0.77909738717339672</v>
          </cell>
          <cell r="AF111">
            <v>0.77848101265822789</v>
          </cell>
          <cell r="AM111">
            <v>0.72919497072845385</v>
          </cell>
          <cell r="AN111">
            <v>0.72928969326033422</v>
          </cell>
          <cell r="AO111">
            <v>0.72928969326033422</v>
          </cell>
          <cell r="AP111">
            <v>0.75502050535785148</v>
          </cell>
          <cell r="AQ111">
            <v>0.73859564164648916</v>
          </cell>
          <cell r="AR111">
            <v>0.73801845046126158</v>
          </cell>
        </row>
        <row r="112">
          <cell r="D112">
            <v>37</v>
          </cell>
          <cell r="E112">
            <v>0.76928314734253833</v>
          </cell>
          <cell r="F112">
            <v>0.76896455484231097</v>
          </cell>
          <cell r="G112">
            <v>0.77909738717339672</v>
          </cell>
          <cell r="H112">
            <v>0.77848101265822789</v>
          </cell>
          <cell r="O112">
            <v>0.72453274755482466</v>
          </cell>
          <cell r="P112">
            <v>0.72462941847206386</v>
          </cell>
          <cell r="Q112">
            <v>0.72462941847206386</v>
          </cell>
          <cell r="R112">
            <v>0.72432830327567177</v>
          </cell>
          <cell r="S112">
            <v>0.73386902757061057</v>
          </cell>
          <cell r="T112">
            <v>0.73330683624801274</v>
          </cell>
          <cell r="AA112">
            <v>0.72453274755482466</v>
          </cell>
          <cell r="AB112">
            <v>0.72462941847206386</v>
          </cell>
          <cell r="AC112">
            <v>0.76928314734253833</v>
          </cell>
          <cell r="AD112">
            <v>0.76896455484231097</v>
          </cell>
          <cell r="AE112">
            <v>0.77909738717339672</v>
          </cell>
          <cell r="AF112">
            <v>0.77848101265822789</v>
          </cell>
          <cell r="AM112">
            <v>0.72919497072845385</v>
          </cell>
          <cell r="AN112">
            <v>0.72928969326033422</v>
          </cell>
          <cell r="AO112">
            <v>0.72928969326033422</v>
          </cell>
          <cell r="AP112">
            <v>0.75502050535785148</v>
          </cell>
          <cell r="AQ112">
            <v>0.73859564164648916</v>
          </cell>
          <cell r="AR112">
            <v>0.73801845046126158</v>
          </cell>
        </row>
        <row r="113">
          <cell r="D113">
            <v>38</v>
          </cell>
          <cell r="E113">
            <v>0.76928314734253833</v>
          </cell>
          <cell r="F113">
            <v>0.76896455484231097</v>
          </cell>
          <cell r="G113">
            <v>0.77909738717339672</v>
          </cell>
          <cell r="H113">
            <v>0.77848101265822789</v>
          </cell>
          <cell r="O113">
            <v>0.72453274755482466</v>
          </cell>
          <cell r="P113">
            <v>0.72462941847206386</v>
          </cell>
          <cell r="Q113">
            <v>0.72462941847206386</v>
          </cell>
          <cell r="R113">
            <v>0.72432830327567177</v>
          </cell>
          <cell r="S113">
            <v>0.73386902757061057</v>
          </cell>
          <cell r="T113">
            <v>0.73330683624801274</v>
          </cell>
          <cell r="AA113">
            <v>0.72453274755482466</v>
          </cell>
          <cell r="AB113">
            <v>0.72462941847206386</v>
          </cell>
          <cell r="AC113">
            <v>0.76928314734253833</v>
          </cell>
          <cell r="AD113">
            <v>0.76896455484231097</v>
          </cell>
          <cell r="AE113">
            <v>0.77909738717339672</v>
          </cell>
          <cell r="AF113">
            <v>0.77848101265822789</v>
          </cell>
          <cell r="AM113">
            <v>0.72919497072845385</v>
          </cell>
          <cell r="AN113">
            <v>0.72928969326033422</v>
          </cell>
          <cell r="AO113">
            <v>0.72928969326033422</v>
          </cell>
          <cell r="AP113">
            <v>0.75502050535785148</v>
          </cell>
          <cell r="AQ113">
            <v>0.73859564164648916</v>
          </cell>
          <cell r="AR113">
            <v>0.73801845046126158</v>
          </cell>
        </row>
        <row r="114">
          <cell r="D114">
            <v>39</v>
          </cell>
          <cell r="E114">
            <v>0.76928314734253833</v>
          </cell>
          <cell r="F114">
            <v>0.76896455484231097</v>
          </cell>
          <cell r="G114">
            <v>0.77909738717339672</v>
          </cell>
          <cell r="H114">
            <v>0.77848101265822789</v>
          </cell>
          <cell r="O114">
            <v>0.72453274755482466</v>
          </cell>
          <cell r="P114">
            <v>0.72462941847206386</v>
          </cell>
          <cell r="Q114">
            <v>0.72462941847206386</v>
          </cell>
          <cell r="R114">
            <v>0.72432830327567177</v>
          </cell>
          <cell r="S114">
            <v>0.73386902757061057</v>
          </cell>
          <cell r="T114">
            <v>0.73330683624801274</v>
          </cell>
          <cell r="AA114">
            <v>0.72453274755482466</v>
          </cell>
          <cell r="AB114">
            <v>0.72462941847206386</v>
          </cell>
          <cell r="AC114">
            <v>0.76928314734253833</v>
          </cell>
          <cell r="AD114">
            <v>0.76896455484231097</v>
          </cell>
          <cell r="AE114">
            <v>0.77909738717339672</v>
          </cell>
          <cell r="AF114">
            <v>0.77848101265822789</v>
          </cell>
          <cell r="AM114">
            <v>0.72919497072845385</v>
          </cell>
          <cell r="AN114">
            <v>0.72928969326033422</v>
          </cell>
          <cell r="AO114">
            <v>0.72928969326033422</v>
          </cell>
          <cell r="AP114">
            <v>0.75502050535785148</v>
          </cell>
          <cell r="AQ114">
            <v>0.73859564164648916</v>
          </cell>
          <cell r="AR114">
            <v>0.73801845046126158</v>
          </cell>
        </row>
        <row r="115">
          <cell r="D115">
            <v>40</v>
          </cell>
          <cell r="E115">
            <v>0.76928314734253833</v>
          </cell>
          <cell r="F115">
            <v>0.76896455484231097</v>
          </cell>
          <cell r="G115">
            <v>0.77909738717339672</v>
          </cell>
          <cell r="H115">
            <v>0.77848101265822789</v>
          </cell>
          <cell r="O115">
            <v>0.72453274755482466</v>
          </cell>
          <cell r="P115">
            <v>0.72462941847206386</v>
          </cell>
          <cell r="Q115">
            <v>0.72462941847206386</v>
          </cell>
          <cell r="R115">
            <v>0.72432830327567177</v>
          </cell>
          <cell r="S115">
            <v>0.73386902757061057</v>
          </cell>
          <cell r="T115">
            <v>0.73330683624801274</v>
          </cell>
          <cell r="AA115">
            <v>0.72453274755482466</v>
          </cell>
          <cell r="AB115">
            <v>0.72462941847206386</v>
          </cell>
          <cell r="AC115">
            <v>0.76928314734253833</v>
          </cell>
          <cell r="AD115">
            <v>0.76896455484231097</v>
          </cell>
          <cell r="AE115">
            <v>0.77909738717339672</v>
          </cell>
          <cell r="AF115">
            <v>0.77848101265822789</v>
          </cell>
          <cell r="AM115">
            <v>0.72919497072845385</v>
          </cell>
          <cell r="AN115">
            <v>0.72928969326033422</v>
          </cell>
          <cell r="AO115">
            <v>0.72928969326033422</v>
          </cell>
          <cell r="AP115">
            <v>0.75502050535785148</v>
          </cell>
          <cell r="AQ115">
            <v>0.73859564164648916</v>
          </cell>
          <cell r="AR115">
            <v>0.73801845046126158</v>
          </cell>
        </row>
        <row r="116">
          <cell r="D116">
            <v>41</v>
          </cell>
          <cell r="E116">
            <v>0.76928314734253833</v>
          </cell>
          <cell r="F116">
            <v>0.76896455484231097</v>
          </cell>
          <cell r="G116">
            <v>0.77909738717339672</v>
          </cell>
          <cell r="H116">
            <v>0.77848101265822789</v>
          </cell>
          <cell r="O116">
            <v>0.72453274755482466</v>
          </cell>
          <cell r="P116">
            <v>0.72462941847206386</v>
          </cell>
          <cell r="Q116">
            <v>0.72462941847206386</v>
          </cell>
          <cell r="R116">
            <v>0.72432830327567177</v>
          </cell>
          <cell r="S116">
            <v>0.73386902757061057</v>
          </cell>
          <cell r="T116">
            <v>0.73330683624801274</v>
          </cell>
          <cell r="AA116">
            <v>0.72453274755482466</v>
          </cell>
          <cell r="AB116">
            <v>0.72462941847206386</v>
          </cell>
          <cell r="AC116">
            <v>0.76928314734253833</v>
          </cell>
          <cell r="AD116">
            <v>0.76896455484231097</v>
          </cell>
          <cell r="AE116">
            <v>0.77909738717339672</v>
          </cell>
          <cell r="AF116">
            <v>0.77848101265822789</v>
          </cell>
          <cell r="AM116">
            <v>0.72919497072845385</v>
          </cell>
          <cell r="AN116">
            <v>0.72928969326033422</v>
          </cell>
          <cell r="AO116">
            <v>0.72928969326033422</v>
          </cell>
          <cell r="AP116">
            <v>0.75502050535785148</v>
          </cell>
          <cell r="AQ116">
            <v>0.73859564164648916</v>
          </cell>
          <cell r="AR116">
            <v>0.73801845046126158</v>
          </cell>
        </row>
        <row r="117">
          <cell r="D117">
            <v>42</v>
          </cell>
          <cell r="E117">
            <v>0.76928314734253833</v>
          </cell>
          <cell r="F117">
            <v>0.76896455484231097</v>
          </cell>
          <cell r="G117">
            <v>0.77909738717339672</v>
          </cell>
          <cell r="H117">
            <v>0.77848101265822789</v>
          </cell>
          <cell r="O117">
            <v>0.72453274755482466</v>
          </cell>
          <cell r="P117">
            <v>0.72462941847206386</v>
          </cell>
          <cell r="Q117">
            <v>0.72462941847206386</v>
          </cell>
          <cell r="R117">
            <v>0.72432830327567177</v>
          </cell>
          <cell r="S117">
            <v>0.73386902757061057</v>
          </cell>
          <cell r="T117">
            <v>0.73330683624801274</v>
          </cell>
          <cell r="AA117">
            <v>0.72453274755482466</v>
          </cell>
          <cell r="AB117">
            <v>0.72462941847206386</v>
          </cell>
          <cell r="AC117">
            <v>0.76928314734253833</v>
          </cell>
          <cell r="AD117">
            <v>0.76896455484231097</v>
          </cell>
          <cell r="AE117">
            <v>0.77909738717339672</v>
          </cell>
          <cell r="AF117">
            <v>0.77848101265822789</v>
          </cell>
          <cell r="AM117">
            <v>0.72919497072845385</v>
          </cell>
          <cell r="AN117">
            <v>0.72928969326033422</v>
          </cell>
          <cell r="AO117">
            <v>0.72928969326033422</v>
          </cell>
          <cell r="AP117">
            <v>0.75502050535785148</v>
          </cell>
          <cell r="AQ117">
            <v>0.73859564164648916</v>
          </cell>
          <cell r="AR117">
            <v>0.73801845046126158</v>
          </cell>
        </row>
        <row r="118">
          <cell r="D118">
            <v>43</v>
          </cell>
          <cell r="E118">
            <v>0.76928314734253833</v>
          </cell>
          <cell r="F118">
            <v>0.76896455484231097</v>
          </cell>
          <cell r="G118">
            <v>0.77909738717339672</v>
          </cell>
          <cell r="H118">
            <v>0.77848101265822789</v>
          </cell>
          <cell r="O118">
            <v>0.72453274755482466</v>
          </cell>
          <cell r="P118">
            <v>0.72462941847206386</v>
          </cell>
          <cell r="Q118">
            <v>0.72462941847206386</v>
          </cell>
          <cell r="R118">
            <v>0.72432830327567177</v>
          </cell>
          <cell r="S118">
            <v>0.73386902757061057</v>
          </cell>
          <cell r="T118">
            <v>0.73330683624801274</v>
          </cell>
          <cell r="AA118">
            <v>0.72453274755482466</v>
          </cell>
          <cell r="AB118">
            <v>0.72462941847206386</v>
          </cell>
          <cell r="AC118">
            <v>0.76928314734253833</v>
          </cell>
          <cell r="AD118">
            <v>0.76896455484231097</v>
          </cell>
          <cell r="AE118">
            <v>0.77909738717339672</v>
          </cell>
          <cell r="AF118">
            <v>0.77848101265822789</v>
          </cell>
          <cell r="AM118">
            <v>0.72919497072845385</v>
          </cell>
          <cell r="AN118">
            <v>0.72928969326033422</v>
          </cell>
          <cell r="AO118">
            <v>0.72928969326033422</v>
          </cell>
          <cell r="AP118">
            <v>0.75502050535785148</v>
          </cell>
          <cell r="AQ118">
            <v>0.73859564164648916</v>
          </cell>
          <cell r="AR118">
            <v>0.73801845046126158</v>
          </cell>
        </row>
        <row r="119">
          <cell r="D119">
            <v>44</v>
          </cell>
          <cell r="E119">
            <v>0.76928314734253833</v>
          </cell>
          <cell r="F119">
            <v>0.76896455484231097</v>
          </cell>
          <cell r="G119">
            <v>0.77909738717339672</v>
          </cell>
          <cell r="H119">
            <v>0.77848101265822789</v>
          </cell>
          <cell r="O119">
            <v>0.72453274755482466</v>
          </cell>
          <cell r="P119">
            <v>0.72462941847206386</v>
          </cell>
          <cell r="Q119">
            <v>0.72462941847206386</v>
          </cell>
          <cell r="R119">
            <v>0.72432830327567177</v>
          </cell>
          <cell r="S119">
            <v>0.73386902757061057</v>
          </cell>
          <cell r="T119">
            <v>0.73330683624801274</v>
          </cell>
          <cell r="AA119">
            <v>0.72453274755482466</v>
          </cell>
          <cell r="AB119">
            <v>0.72462941847206386</v>
          </cell>
          <cell r="AC119">
            <v>0.76928314734253833</v>
          </cell>
          <cell r="AD119">
            <v>0.76896455484231097</v>
          </cell>
          <cell r="AE119">
            <v>0.77909738717339672</v>
          </cell>
          <cell r="AF119">
            <v>0.77848101265822789</v>
          </cell>
          <cell r="AM119">
            <v>0.72919497072845385</v>
          </cell>
          <cell r="AN119">
            <v>0.72928969326033422</v>
          </cell>
          <cell r="AO119">
            <v>0.72928969326033422</v>
          </cell>
          <cell r="AP119">
            <v>0.75502050535785148</v>
          </cell>
          <cell r="AQ119">
            <v>0.73859564164648916</v>
          </cell>
          <cell r="AR119">
            <v>0.73801845046126158</v>
          </cell>
        </row>
        <row r="120">
          <cell r="D120">
            <v>45</v>
          </cell>
          <cell r="E120">
            <v>0.76928314734253833</v>
          </cell>
          <cell r="F120">
            <v>0.76896455484231097</v>
          </cell>
          <cell r="G120">
            <v>0.77909738717339672</v>
          </cell>
          <cell r="H120">
            <v>0.77848101265822789</v>
          </cell>
          <cell r="O120">
            <v>0.72453274755482466</v>
          </cell>
          <cell r="P120">
            <v>0.72462941847206386</v>
          </cell>
          <cell r="Q120">
            <v>0.72462941847206386</v>
          </cell>
          <cell r="R120">
            <v>0.72432830327567177</v>
          </cell>
          <cell r="S120">
            <v>0.73386902757061057</v>
          </cell>
          <cell r="T120">
            <v>0.73330683624801274</v>
          </cell>
          <cell r="AA120">
            <v>0.72453274755482466</v>
          </cell>
          <cell r="AB120">
            <v>0.72462941847206386</v>
          </cell>
          <cell r="AC120">
            <v>0.76928314734253833</v>
          </cell>
          <cell r="AD120">
            <v>0.76896455484231097</v>
          </cell>
          <cell r="AE120">
            <v>0.77909738717339672</v>
          </cell>
          <cell r="AF120">
            <v>0.77848101265822789</v>
          </cell>
          <cell r="AM120">
            <v>0.72919497072845385</v>
          </cell>
          <cell r="AN120">
            <v>0.72928969326033422</v>
          </cell>
          <cell r="AO120">
            <v>0.72928969326033422</v>
          </cell>
          <cell r="AP120">
            <v>0.75502050535785148</v>
          </cell>
          <cell r="AQ120">
            <v>0.73859564164648916</v>
          </cell>
          <cell r="AR120">
            <v>0.73801845046126158</v>
          </cell>
        </row>
        <row r="121">
          <cell r="D121">
            <v>46</v>
          </cell>
          <cell r="E121">
            <v>0.76928314734253833</v>
          </cell>
          <cell r="F121">
            <v>0.76896455484231097</v>
          </cell>
          <cell r="G121">
            <v>0.77909738717339672</v>
          </cell>
          <cell r="H121">
            <v>0.77848101265822789</v>
          </cell>
          <cell r="O121">
            <v>0.72453274755482466</v>
          </cell>
          <cell r="P121">
            <v>0.72462941847206386</v>
          </cell>
          <cell r="Q121">
            <v>0.72462941847206386</v>
          </cell>
          <cell r="R121">
            <v>0.72432830327567177</v>
          </cell>
          <cell r="S121">
            <v>0.73386902757061057</v>
          </cell>
          <cell r="T121">
            <v>0.73330683624801274</v>
          </cell>
          <cell r="AA121">
            <v>0.72453274755482466</v>
          </cell>
          <cell r="AB121">
            <v>0.72462941847206386</v>
          </cell>
          <cell r="AC121">
            <v>0.76928314734253833</v>
          </cell>
          <cell r="AD121">
            <v>0.76896455484231097</v>
          </cell>
          <cell r="AE121">
            <v>0.77909738717339672</v>
          </cell>
          <cell r="AF121">
            <v>0.77848101265822789</v>
          </cell>
          <cell r="AM121">
            <v>0.72919497072845385</v>
          </cell>
          <cell r="AN121">
            <v>0.72928969326033422</v>
          </cell>
          <cell r="AO121">
            <v>0.72928969326033422</v>
          </cell>
          <cell r="AP121">
            <v>0.75502050535785148</v>
          </cell>
          <cell r="AQ121">
            <v>0.73859564164648916</v>
          </cell>
          <cell r="AR121">
            <v>0.73801845046126158</v>
          </cell>
        </row>
        <row r="122">
          <cell r="D122">
            <v>47</v>
          </cell>
          <cell r="E122">
            <v>1.3076224702099486</v>
          </cell>
          <cell r="F122">
            <v>1.3080472602102526</v>
          </cell>
          <cell r="G122">
            <v>1.2945368171021376</v>
          </cell>
          <cell r="H122">
            <v>1.295358649789029</v>
          </cell>
          <cell r="O122">
            <v>1.3672896699269002</v>
          </cell>
          <cell r="P122">
            <v>1.3671607753705823</v>
          </cell>
          <cell r="Q122">
            <v>1.3671607753705823</v>
          </cell>
          <cell r="R122">
            <v>1.3675622622991039</v>
          </cell>
          <cell r="S122">
            <v>1.3548412965725196</v>
          </cell>
          <cell r="T122">
            <v>1.3555908850026503</v>
          </cell>
          <cell r="AA122">
            <v>1.3672896699269002</v>
          </cell>
          <cell r="AB122">
            <v>1.3671607753705823</v>
          </cell>
          <cell r="AC122">
            <v>1.3076224702099486</v>
          </cell>
          <cell r="AD122">
            <v>1.3080472602102526</v>
          </cell>
          <cell r="AE122">
            <v>1.2945368171021376</v>
          </cell>
          <cell r="AF122">
            <v>1.295358649789029</v>
          </cell>
          <cell r="AM122">
            <v>1.3610733723620612</v>
          </cell>
          <cell r="AN122">
            <v>1.3609470756528876</v>
          </cell>
          <cell r="AO122">
            <v>1.3609470756528876</v>
          </cell>
          <cell r="AP122">
            <v>1.3266393261895317</v>
          </cell>
          <cell r="AQ122">
            <v>1.3485391444713466</v>
          </cell>
          <cell r="AR122">
            <v>1.3493087327183177</v>
          </cell>
        </row>
        <row r="123">
          <cell r="D123">
            <v>48</v>
          </cell>
          <cell r="E123">
            <v>1.3076224702099486</v>
          </cell>
          <cell r="F123">
            <v>1.3080472602102526</v>
          </cell>
          <cell r="G123">
            <v>1.2945368171021376</v>
          </cell>
          <cell r="H123">
            <v>1.295358649789029</v>
          </cell>
          <cell r="O123">
            <v>1.3672896699269002</v>
          </cell>
          <cell r="P123">
            <v>1.3671607753705823</v>
          </cell>
          <cell r="Q123">
            <v>1.3671607753705823</v>
          </cell>
          <cell r="R123">
            <v>1.3675622622991039</v>
          </cell>
          <cell r="S123">
            <v>1.3548412965725196</v>
          </cell>
          <cell r="T123">
            <v>1.3555908850026503</v>
          </cell>
          <cell r="AA123">
            <v>1.3672896699269002</v>
          </cell>
          <cell r="AB123">
            <v>1.3671607753705823</v>
          </cell>
          <cell r="AC123">
            <v>1.3076224702099486</v>
          </cell>
          <cell r="AD123">
            <v>1.3080472602102526</v>
          </cell>
          <cell r="AE123">
            <v>1.2945368171021376</v>
          </cell>
          <cell r="AF123">
            <v>1.295358649789029</v>
          </cell>
          <cell r="AM123">
            <v>1.3610733723620612</v>
          </cell>
          <cell r="AN123">
            <v>1.3609470756528876</v>
          </cell>
          <cell r="AO123">
            <v>1.3609470756528876</v>
          </cell>
          <cell r="AP123">
            <v>1.3266393261895317</v>
          </cell>
          <cell r="AQ123">
            <v>1.3485391444713466</v>
          </cell>
          <cell r="AR123">
            <v>1.3493087327183177</v>
          </cell>
        </row>
        <row r="124">
          <cell r="D124">
            <v>49</v>
          </cell>
          <cell r="E124">
            <v>1.3076224702099486</v>
          </cell>
          <cell r="F124">
            <v>1.3080472602102526</v>
          </cell>
          <cell r="G124">
            <v>1.2945368171021376</v>
          </cell>
          <cell r="H124">
            <v>1.295358649789029</v>
          </cell>
          <cell r="O124">
            <v>1.3672896699269002</v>
          </cell>
          <cell r="P124">
            <v>1.3671607753705823</v>
          </cell>
          <cell r="Q124">
            <v>1.3671607753705823</v>
          </cell>
          <cell r="R124">
            <v>1.3675622622991039</v>
          </cell>
          <cell r="S124">
            <v>1.3548412965725196</v>
          </cell>
          <cell r="T124">
            <v>1.3555908850026503</v>
          </cell>
          <cell r="AA124">
            <v>1.3672896699269002</v>
          </cell>
          <cell r="AB124">
            <v>1.3671607753705823</v>
          </cell>
          <cell r="AC124">
            <v>1.3076224702099486</v>
          </cell>
          <cell r="AD124">
            <v>1.3080472602102526</v>
          </cell>
          <cell r="AE124">
            <v>1.2945368171021376</v>
          </cell>
          <cell r="AF124">
            <v>1.295358649789029</v>
          </cell>
          <cell r="AM124">
            <v>1.3610733723620612</v>
          </cell>
          <cell r="AN124">
            <v>1.3609470756528876</v>
          </cell>
          <cell r="AO124">
            <v>1.3609470756528876</v>
          </cell>
          <cell r="AP124">
            <v>1.3266393261895317</v>
          </cell>
          <cell r="AQ124">
            <v>1.3485391444713466</v>
          </cell>
          <cell r="AR124">
            <v>1.3493087327183177</v>
          </cell>
        </row>
        <row r="125">
          <cell r="D125">
            <v>50</v>
          </cell>
          <cell r="E125">
            <v>1.3076224702099486</v>
          </cell>
          <cell r="F125">
            <v>1.3080472602102526</v>
          </cell>
          <cell r="G125">
            <v>1.2945368171021376</v>
          </cell>
          <cell r="H125">
            <v>1.295358649789029</v>
          </cell>
          <cell r="O125">
            <v>1.3672896699269002</v>
          </cell>
          <cell r="P125">
            <v>1.3671607753705823</v>
          </cell>
          <cell r="Q125">
            <v>1.3671607753705823</v>
          </cell>
          <cell r="R125">
            <v>1.3675622622991039</v>
          </cell>
          <cell r="S125">
            <v>1.3548412965725196</v>
          </cell>
          <cell r="T125">
            <v>1.3555908850026503</v>
          </cell>
          <cell r="AA125">
            <v>1.3672896699269002</v>
          </cell>
          <cell r="AB125">
            <v>1.3671607753705823</v>
          </cell>
          <cell r="AC125">
            <v>1.3076224702099486</v>
          </cell>
          <cell r="AD125">
            <v>1.3080472602102526</v>
          </cell>
          <cell r="AE125">
            <v>1.2945368171021376</v>
          </cell>
          <cell r="AF125">
            <v>1.295358649789029</v>
          </cell>
          <cell r="AM125">
            <v>1.3610733723620612</v>
          </cell>
          <cell r="AN125">
            <v>1.3609470756528876</v>
          </cell>
          <cell r="AO125">
            <v>1.3609470756528876</v>
          </cell>
          <cell r="AP125">
            <v>1.3266393261895317</v>
          </cell>
          <cell r="AQ125">
            <v>1.3485391444713466</v>
          </cell>
          <cell r="AR125">
            <v>1.3493087327183177</v>
          </cell>
        </row>
        <row r="126">
          <cell r="D126">
            <v>51</v>
          </cell>
          <cell r="E126">
            <v>1.3076224702099486</v>
          </cell>
          <cell r="F126">
            <v>1.3080472602102526</v>
          </cell>
          <cell r="G126">
            <v>1.2945368171021376</v>
          </cell>
          <cell r="H126">
            <v>1.295358649789029</v>
          </cell>
          <cell r="O126">
            <v>1.3672896699269002</v>
          </cell>
          <cell r="P126">
            <v>1.3671607753705823</v>
          </cell>
          <cell r="Q126">
            <v>1.3671607753705823</v>
          </cell>
          <cell r="R126">
            <v>1.3675622622991039</v>
          </cell>
          <cell r="S126">
            <v>1.3548412965725196</v>
          </cell>
          <cell r="T126">
            <v>1.3555908850026503</v>
          </cell>
          <cell r="AA126">
            <v>1.3672896699269002</v>
          </cell>
          <cell r="AB126">
            <v>1.3671607753705823</v>
          </cell>
          <cell r="AC126">
            <v>1.3076224702099486</v>
          </cell>
          <cell r="AD126">
            <v>1.3080472602102526</v>
          </cell>
          <cell r="AE126">
            <v>1.2945368171021376</v>
          </cell>
          <cell r="AF126">
            <v>1.295358649789029</v>
          </cell>
          <cell r="AM126">
            <v>1.3610733723620612</v>
          </cell>
          <cell r="AN126">
            <v>1.3609470756528876</v>
          </cell>
          <cell r="AO126">
            <v>1.3609470756528876</v>
          </cell>
          <cell r="AP126">
            <v>1.3266393261895317</v>
          </cell>
          <cell r="AQ126">
            <v>1.3485391444713466</v>
          </cell>
          <cell r="AR126">
            <v>1.3493087327183177</v>
          </cell>
        </row>
        <row r="127">
          <cell r="D127">
            <v>52</v>
          </cell>
          <cell r="E127">
            <v>1.3076224702099486</v>
          </cell>
          <cell r="F127">
            <v>1.3080472602102526</v>
          </cell>
          <cell r="G127">
            <v>1.2945368171021376</v>
          </cell>
          <cell r="H127">
            <v>1.295358649789029</v>
          </cell>
          <cell r="O127">
            <v>1.3672896699269002</v>
          </cell>
          <cell r="P127">
            <v>1.3671607753705823</v>
          </cell>
          <cell r="Q127">
            <v>1.3671607753705823</v>
          </cell>
          <cell r="R127">
            <v>1.3675622622991039</v>
          </cell>
          <cell r="S127">
            <v>1.3548412965725196</v>
          </cell>
          <cell r="T127">
            <v>1.3555908850026503</v>
          </cell>
          <cell r="AA127">
            <v>1.3672896699269002</v>
          </cell>
          <cell r="AB127">
            <v>1.3671607753705823</v>
          </cell>
          <cell r="AC127">
            <v>1.3076224702099486</v>
          </cell>
          <cell r="AD127">
            <v>1.3080472602102526</v>
          </cell>
          <cell r="AE127">
            <v>1.2945368171021376</v>
          </cell>
          <cell r="AF127">
            <v>1.295358649789029</v>
          </cell>
          <cell r="AM127">
            <v>1.3610733723620612</v>
          </cell>
          <cell r="AN127">
            <v>1.3609470756528876</v>
          </cell>
          <cell r="AO127">
            <v>1.3609470756528876</v>
          </cell>
          <cell r="AP127">
            <v>1.3266393261895317</v>
          </cell>
          <cell r="AQ127">
            <v>1.3485391444713466</v>
          </cell>
          <cell r="AR127">
            <v>1.3493087327183177</v>
          </cell>
        </row>
        <row r="128">
          <cell r="D128">
            <v>53</v>
          </cell>
          <cell r="E128">
            <v>1.3076224702099486</v>
          </cell>
          <cell r="F128">
            <v>1.3080472602102526</v>
          </cell>
          <cell r="G128">
            <v>1.2945368171021376</v>
          </cell>
          <cell r="H128">
            <v>1.295358649789029</v>
          </cell>
          <cell r="O128">
            <v>1.3672896699269002</v>
          </cell>
          <cell r="P128">
            <v>1.3671607753705823</v>
          </cell>
          <cell r="Q128">
            <v>1.3671607753705823</v>
          </cell>
          <cell r="R128">
            <v>1.3675622622991039</v>
          </cell>
          <cell r="S128">
            <v>1.3548412965725196</v>
          </cell>
          <cell r="T128">
            <v>1.3555908850026503</v>
          </cell>
          <cell r="AA128">
            <v>1.3672896699269002</v>
          </cell>
          <cell r="AB128">
            <v>1.3671607753705823</v>
          </cell>
          <cell r="AC128">
            <v>1.3076224702099486</v>
          </cell>
          <cell r="AD128">
            <v>1.3080472602102526</v>
          </cell>
          <cell r="AE128">
            <v>1.2945368171021376</v>
          </cell>
          <cell r="AF128">
            <v>1.295358649789029</v>
          </cell>
          <cell r="AM128">
            <v>1.3610733723620612</v>
          </cell>
          <cell r="AN128">
            <v>1.3609470756528876</v>
          </cell>
          <cell r="AO128">
            <v>1.3609470756528876</v>
          </cell>
          <cell r="AP128">
            <v>1.3266393261895317</v>
          </cell>
          <cell r="AQ128">
            <v>1.3485391444713466</v>
          </cell>
          <cell r="AR128">
            <v>1.3493087327183177</v>
          </cell>
        </row>
        <row r="129">
          <cell r="D129">
            <v>54</v>
          </cell>
          <cell r="E129">
            <v>1.3076224702099486</v>
          </cell>
          <cell r="F129">
            <v>1.3080472602102526</v>
          </cell>
          <cell r="G129">
            <v>1.2945368171021376</v>
          </cell>
          <cell r="H129">
            <v>1.295358649789029</v>
          </cell>
          <cell r="O129">
            <v>1.3672896699269002</v>
          </cell>
          <cell r="P129">
            <v>1.3671607753705823</v>
          </cell>
          <cell r="Q129">
            <v>1.3671607753705823</v>
          </cell>
          <cell r="R129">
            <v>1.3675622622991039</v>
          </cell>
          <cell r="S129">
            <v>1.3548412965725196</v>
          </cell>
          <cell r="T129">
            <v>1.3555908850026503</v>
          </cell>
          <cell r="AA129">
            <v>1.3672896699269002</v>
          </cell>
          <cell r="AB129">
            <v>1.3671607753705823</v>
          </cell>
          <cell r="AC129">
            <v>1.3076224702099486</v>
          </cell>
          <cell r="AD129">
            <v>1.3080472602102526</v>
          </cell>
          <cell r="AE129">
            <v>1.2945368171021376</v>
          </cell>
          <cell r="AF129">
            <v>1.295358649789029</v>
          </cell>
          <cell r="AM129">
            <v>1.3610733723620612</v>
          </cell>
          <cell r="AN129">
            <v>1.3609470756528876</v>
          </cell>
          <cell r="AO129">
            <v>1.3609470756528876</v>
          </cell>
          <cell r="AP129">
            <v>1.3266393261895317</v>
          </cell>
          <cell r="AQ129">
            <v>1.3485391444713466</v>
          </cell>
          <cell r="AR129">
            <v>1.3493087327183177</v>
          </cell>
        </row>
        <row r="130">
          <cell r="D130">
            <v>55</v>
          </cell>
          <cell r="E130">
            <v>0.76928314734253833</v>
          </cell>
          <cell r="F130">
            <v>0.76896455484231097</v>
          </cell>
          <cell r="G130">
            <v>0.77909738717339672</v>
          </cell>
          <cell r="H130">
            <v>0.77848101265822789</v>
          </cell>
          <cell r="O130">
            <v>0.72453274755482466</v>
          </cell>
          <cell r="P130">
            <v>0.72462941847206386</v>
          </cell>
          <cell r="Q130">
            <v>0.72462941847206386</v>
          </cell>
          <cell r="R130">
            <v>0.72432830327567177</v>
          </cell>
          <cell r="S130">
            <v>0.73386902757061057</v>
          </cell>
          <cell r="T130">
            <v>0.73330683624801274</v>
          </cell>
          <cell r="AA130">
            <v>0.72453274755482466</v>
          </cell>
          <cell r="AB130">
            <v>0.72462941847206386</v>
          </cell>
          <cell r="AC130">
            <v>0.76928314734253833</v>
          </cell>
          <cell r="AD130">
            <v>0.76896455484231097</v>
          </cell>
          <cell r="AE130">
            <v>0.77909738717339672</v>
          </cell>
          <cell r="AF130">
            <v>0.77848101265822789</v>
          </cell>
          <cell r="AM130">
            <v>0.72919497072845385</v>
          </cell>
          <cell r="AN130">
            <v>0.72928969326033422</v>
          </cell>
          <cell r="AO130">
            <v>0.72928969326033422</v>
          </cell>
          <cell r="AP130">
            <v>0.75502050535785148</v>
          </cell>
          <cell r="AQ130">
            <v>0.73859564164648916</v>
          </cell>
          <cell r="AR130">
            <v>0.73801845046126158</v>
          </cell>
        </row>
        <row r="131">
          <cell r="D131">
            <v>56</v>
          </cell>
          <cell r="E131">
            <v>0.76928314734253833</v>
          </cell>
          <cell r="F131">
            <v>0.76896455484231097</v>
          </cell>
          <cell r="G131">
            <v>0.77909738717339672</v>
          </cell>
          <cell r="H131">
            <v>0.77848101265822789</v>
          </cell>
          <cell r="O131">
            <v>0.72453274755482466</v>
          </cell>
          <cell r="P131">
            <v>0.72462941847206386</v>
          </cell>
          <cell r="Q131">
            <v>0.72462941847206386</v>
          </cell>
          <cell r="R131">
            <v>0.72432830327567177</v>
          </cell>
          <cell r="S131">
            <v>0.73386902757061057</v>
          </cell>
          <cell r="T131">
            <v>0.73330683624801274</v>
          </cell>
          <cell r="AA131">
            <v>0.72453274755482466</v>
          </cell>
          <cell r="AB131">
            <v>0.72462941847206386</v>
          </cell>
          <cell r="AC131">
            <v>0.76928314734253833</v>
          </cell>
          <cell r="AD131">
            <v>0.76896455484231097</v>
          </cell>
          <cell r="AE131">
            <v>0.77909738717339672</v>
          </cell>
          <cell r="AF131">
            <v>0.77848101265822789</v>
          </cell>
          <cell r="AM131">
            <v>0.72919497072845385</v>
          </cell>
          <cell r="AN131">
            <v>0.72928969326033422</v>
          </cell>
          <cell r="AO131">
            <v>0.72928969326033422</v>
          </cell>
          <cell r="AP131">
            <v>0.75502050535785148</v>
          </cell>
          <cell r="AQ131">
            <v>0.73859564164648916</v>
          </cell>
          <cell r="AR131">
            <v>0.73801845046126158</v>
          </cell>
        </row>
        <row r="132">
          <cell r="D132">
            <v>57</v>
          </cell>
          <cell r="E132">
            <v>0.76928314734253833</v>
          </cell>
          <cell r="F132">
            <v>0.76896455484231097</v>
          </cell>
          <cell r="G132">
            <v>0.77909738717339672</v>
          </cell>
          <cell r="H132">
            <v>0.77848101265822789</v>
          </cell>
          <cell r="O132">
            <v>0.72453274755482466</v>
          </cell>
          <cell r="P132">
            <v>0.72462941847206386</v>
          </cell>
          <cell r="Q132">
            <v>0.72462941847206386</v>
          </cell>
          <cell r="R132">
            <v>0.72432830327567177</v>
          </cell>
          <cell r="S132">
            <v>0.73386902757061057</v>
          </cell>
          <cell r="T132">
            <v>0.73330683624801274</v>
          </cell>
          <cell r="AA132">
            <v>0.72453274755482466</v>
          </cell>
          <cell r="AB132">
            <v>0.72462941847206386</v>
          </cell>
          <cell r="AC132">
            <v>0.76928314734253833</v>
          </cell>
          <cell r="AD132">
            <v>0.76896455484231097</v>
          </cell>
          <cell r="AE132">
            <v>0.77909738717339672</v>
          </cell>
          <cell r="AF132">
            <v>0.77848101265822789</v>
          </cell>
          <cell r="AM132">
            <v>0.72919497072845385</v>
          </cell>
          <cell r="AN132">
            <v>0.72928969326033422</v>
          </cell>
          <cell r="AO132">
            <v>0.72928969326033422</v>
          </cell>
          <cell r="AP132">
            <v>0.75502050535785148</v>
          </cell>
          <cell r="AQ132">
            <v>0.73859564164648916</v>
          </cell>
          <cell r="AR132">
            <v>0.73801845046126158</v>
          </cell>
        </row>
        <row r="133">
          <cell r="D133">
            <v>58</v>
          </cell>
          <cell r="E133">
            <v>0.76928314734253833</v>
          </cell>
          <cell r="F133">
            <v>0.76896455484231097</v>
          </cell>
          <cell r="G133">
            <v>0.77909738717339672</v>
          </cell>
          <cell r="H133">
            <v>0.77848101265822789</v>
          </cell>
          <cell r="O133">
            <v>0.72453274755482466</v>
          </cell>
          <cell r="P133">
            <v>0.72462941847206386</v>
          </cell>
          <cell r="Q133">
            <v>0.72462941847206386</v>
          </cell>
          <cell r="R133">
            <v>0.72432830327567177</v>
          </cell>
          <cell r="S133">
            <v>0.73386902757061057</v>
          </cell>
          <cell r="T133">
            <v>0.73330683624801274</v>
          </cell>
          <cell r="AA133">
            <v>0.72453274755482466</v>
          </cell>
          <cell r="AB133">
            <v>0.72462941847206386</v>
          </cell>
          <cell r="AC133">
            <v>0.76928314734253833</v>
          </cell>
          <cell r="AD133">
            <v>0.76896455484231097</v>
          </cell>
          <cell r="AE133">
            <v>0.77909738717339672</v>
          </cell>
          <cell r="AF133">
            <v>0.77848101265822789</v>
          </cell>
          <cell r="AM133">
            <v>0.72919497072845385</v>
          </cell>
          <cell r="AN133">
            <v>0.72928969326033422</v>
          </cell>
          <cell r="AO133">
            <v>0.72928969326033422</v>
          </cell>
          <cell r="AP133">
            <v>0.75502050535785148</v>
          </cell>
          <cell r="AQ133">
            <v>0.73859564164648916</v>
          </cell>
          <cell r="AR133">
            <v>0.73801845046126158</v>
          </cell>
        </row>
        <row r="134">
          <cell r="D134">
            <v>59</v>
          </cell>
          <cell r="E134">
            <v>0.76928314734253833</v>
          </cell>
          <cell r="F134">
            <v>0.76896455484231097</v>
          </cell>
          <cell r="G134">
            <v>0.77909738717339672</v>
          </cell>
          <cell r="H134">
            <v>0.77848101265822789</v>
          </cell>
          <cell r="O134">
            <v>0.72453274755482466</v>
          </cell>
          <cell r="P134">
            <v>0.72462941847206386</v>
          </cell>
          <cell r="Q134">
            <v>0.72462941847206386</v>
          </cell>
          <cell r="R134">
            <v>0.72432830327567177</v>
          </cell>
          <cell r="S134">
            <v>0.73386902757061057</v>
          </cell>
          <cell r="T134">
            <v>0.73330683624801274</v>
          </cell>
          <cell r="AA134">
            <v>0.72453274755482466</v>
          </cell>
          <cell r="AB134">
            <v>0.72462941847206386</v>
          </cell>
          <cell r="AC134">
            <v>0.76928314734253833</v>
          </cell>
          <cell r="AD134">
            <v>0.76896455484231097</v>
          </cell>
          <cell r="AE134">
            <v>0.77909738717339672</v>
          </cell>
          <cell r="AF134">
            <v>0.77848101265822789</v>
          </cell>
          <cell r="AM134">
            <v>0.72919497072845385</v>
          </cell>
          <cell r="AN134">
            <v>0.72928969326033422</v>
          </cell>
          <cell r="AO134">
            <v>0.72928969326033422</v>
          </cell>
          <cell r="AP134">
            <v>0.75502050535785148</v>
          </cell>
          <cell r="AQ134">
            <v>0.73859564164648916</v>
          </cell>
          <cell r="AR134">
            <v>0.73801845046126158</v>
          </cell>
        </row>
        <row r="135">
          <cell r="D135">
            <v>60</v>
          </cell>
          <cell r="E135">
            <v>0.76928314734253833</v>
          </cell>
          <cell r="F135">
            <v>0.76896455484231097</v>
          </cell>
          <cell r="G135">
            <v>0.77909738717339672</v>
          </cell>
          <cell r="H135">
            <v>0.77848101265822789</v>
          </cell>
          <cell r="O135">
            <v>0.72453274755482466</v>
          </cell>
          <cell r="P135">
            <v>0.72462941847206386</v>
          </cell>
          <cell r="Q135">
            <v>0.72462941847206386</v>
          </cell>
          <cell r="R135">
            <v>0.72432830327567177</v>
          </cell>
          <cell r="S135">
            <v>0.73386902757061057</v>
          </cell>
          <cell r="T135">
            <v>0.73330683624801274</v>
          </cell>
          <cell r="AA135">
            <v>0.72453274755482466</v>
          </cell>
          <cell r="AB135">
            <v>0.72462941847206386</v>
          </cell>
          <cell r="AC135">
            <v>0.76928314734253833</v>
          </cell>
          <cell r="AD135">
            <v>0.76896455484231097</v>
          </cell>
          <cell r="AE135">
            <v>0.77909738717339672</v>
          </cell>
          <cell r="AF135">
            <v>0.77848101265822789</v>
          </cell>
          <cell r="AM135">
            <v>0.72919497072845385</v>
          </cell>
          <cell r="AN135">
            <v>0.72928969326033422</v>
          </cell>
          <cell r="AO135">
            <v>0.72928969326033422</v>
          </cell>
          <cell r="AP135">
            <v>0.75502050535785148</v>
          </cell>
          <cell r="AQ135">
            <v>0.73859564164648916</v>
          </cell>
          <cell r="AR135">
            <v>0.73801845046126158</v>
          </cell>
        </row>
        <row r="136">
          <cell r="D136">
            <v>61</v>
          </cell>
          <cell r="E136">
            <v>0.76928314734253833</v>
          </cell>
          <cell r="F136">
            <v>0.76896455484231097</v>
          </cell>
          <cell r="G136">
            <v>0.77909738717339672</v>
          </cell>
          <cell r="H136">
            <v>0.77848101265822789</v>
          </cell>
          <cell r="O136">
            <v>0.72453274755482466</v>
          </cell>
          <cell r="P136">
            <v>0.72462941847206386</v>
          </cell>
          <cell r="Q136">
            <v>0.72462941847206386</v>
          </cell>
          <cell r="R136">
            <v>0.72432830327567177</v>
          </cell>
          <cell r="S136">
            <v>0.73386902757061057</v>
          </cell>
          <cell r="T136">
            <v>0.73330683624801274</v>
          </cell>
          <cell r="AA136">
            <v>0.72453274755482466</v>
          </cell>
          <cell r="AB136">
            <v>0.72462941847206386</v>
          </cell>
          <cell r="AC136">
            <v>0.76928314734253833</v>
          </cell>
          <cell r="AD136">
            <v>0.76896455484231097</v>
          </cell>
          <cell r="AE136">
            <v>0.77909738717339672</v>
          </cell>
          <cell r="AF136">
            <v>0.77848101265822789</v>
          </cell>
          <cell r="AM136">
            <v>0.72919497072845385</v>
          </cell>
          <cell r="AN136">
            <v>0.72928969326033422</v>
          </cell>
          <cell r="AO136">
            <v>0.72928969326033422</v>
          </cell>
          <cell r="AP136">
            <v>0.75502050535785148</v>
          </cell>
          <cell r="AQ136">
            <v>0.73859564164648916</v>
          </cell>
          <cell r="AR136">
            <v>0.73801845046126158</v>
          </cell>
        </row>
        <row r="137">
          <cell r="D137">
            <v>62</v>
          </cell>
          <cell r="E137">
            <v>0.76928314734253833</v>
          </cell>
          <cell r="F137">
            <v>0.76896455484231097</v>
          </cell>
          <cell r="G137">
            <v>0.77909738717339672</v>
          </cell>
          <cell r="H137">
            <v>0.77848101265822789</v>
          </cell>
          <cell r="O137">
            <v>0.72453274755482466</v>
          </cell>
          <cell r="P137">
            <v>0.72462941847206386</v>
          </cell>
          <cell r="Q137">
            <v>0.72462941847206386</v>
          </cell>
          <cell r="R137">
            <v>0.72432830327567177</v>
          </cell>
          <cell r="S137">
            <v>0.73386902757061057</v>
          </cell>
          <cell r="T137">
            <v>0.73330683624801274</v>
          </cell>
          <cell r="AA137">
            <v>0.72453274755482466</v>
          </cell>
          <cell r="AB137">
            <v>0.72462941847206386</v>
          </cell>
          <cell r="AC137">
            <v>0.76928314734253833</v>
          </cell>
          <cell r="AD137">
            <v>0.76896455484231097</v>
          </cell>
          <cell r="AE137">
            <v>0.77909738717339672</v>
          </cell>
          <cell r="AF137">
            <v>0.77848101265822789</v>
          </cell>
          <cell r="AM137">
            <v>0.72919497072845385</v>
          </cell>
          <cell r="AN137">
            <v>0.72928969326033422</v>
          </cell>
          <cell r="AO137">
            <v>0.72928969326033422</v>
          </cell>
          <cell r="AP137">
            <v>0.75502050535785148</v>
          </cell>
          <cell r="AQ137">
            <v>0.73859564164648916</v>
          </cell>
          <cell r="AR137">
            <v>0.73801845046126158</v>
          </cell>
        </row>
        <row r="138">
          <cell r="D138">
            <v>63</v>
          </cell>
          <cell r="E138">
            <v>0.76928314734253833</v>
          </cell>
          <cell r="F138">
            <v>0.76896455484231097</v>
          </cell>
          <cell r="G138">
            <v>0.77909738717339672</v>
          </cell>
          <cell r="H138">
            <v>0.77848101265822789</v>
          </cell>
          <cell r="O138">
            <v>0.72453274755482466</v>
          </cell>
          <cell r="P138">
            <v>0.72462941847206386</v>
          </cell>
          <cell r="Q138">
            <v>0.72462941847206386</v>
          </cell>
          <cell r="R138">
            <v>0.72432830327567177</v>
          </cell>
          <cell r="S138">
            <v>0.73386902757061057</v>
          </cell>
          <cell r="T138">
            <v>0.73330683624801274</v>
          </cell>
          <cell r="AA138">
            <v>0.72453274755482466</v>
          </cell>
          <cell r="AB138">
            <v>0.72462941847206386</v>
          </cell>
          <cell r="AC138">
            <v>0.76928314734253833</v>
          </cell>
          <cell r="AD138">
            <v>0.76896455484231097</v>
          </cell>
          <cell r="AE138">
            <v>0.77909738717339672</v>
          </cell>
          <cell r="AF138">
            <v>0.77848101265822789</v>
          </cell>
          <cell r="AM138">
            <v>0.72919497072845385</v>
          </cell>
          <cell r="AN138">
            <v>0.72928969326033422</v>
          </cell>
          <cell r="AO138">
            <v>0.72928969326033422</v>
          </cell>
          <cell r="AP138">
            <v>0.75502050535785148</v>
          </cell>
          <cell r="AQ138">
            <v>0.73859564164648916</v>
          </cell>
          <cell r="AR138">
            <v>0.73801845046126158</v>
          </cell>
        </row>
        <row r="139">
          <cell r="D139">
            <v>64</v>
          </cell>
          <cell r="E139">
            <v>0.76928314734253833</v>
          </cell>
          <cell r="F139">
            <v>0.76896455484231097</v>
          </cell>
          <cell r="G139">
            <v>0.77909738717339672</v>
          </cell>
          <cell r="H139">
            <v>0.77848101265822789</v>
          </cell>
          <cell r="O139">
            <v>0.72453274755482466</v>
          </cell>
          <cell r="P139">
            <v>0.72462941847206386</v>
          </cell>
          <cell r="Q139">
            <v>0.72462941847206386</v>
          </cell>
          <cell r="R139">
            <v>0.72432830327567177</v>
          </cell>
          <cell r="S139">
            <v>0.73386902757061057</v>
          </cell>
          <cell r="T139">
            <v>0.73330683624801274</v>
          </cell>
          <cell r="AA139">
            <v>0.72453274755482466</v>
          </cell>
          <cell r="AB139">
            <v>0.72462941847206386</v>
          </cell>
          <cell r="AC139">
            <v>0.76928314734253833</v>
          </cell>
          <cell r="AD139">
            <v>0.76896455484231097</v>
          </cell>
          <cell r="AE139">
            <v>0.77909738717339672</v>
          </cell>
          <cell r="AF139">
            <v>0.77848101265822789</v>
          </cell>
          <cell r="AM139">
            <v>0.72919497072845385</v>
          </cell>
          <cell r="AN139">
            <v>0.72928969326033422</v>
          </cell>
          <cell r="AO139">
            <v>0.72928969326033422</v>
          </cell>
          <cell r="AP139">
            <v>0.75502050535785148</v>
          </cell>
          <cell r="AQ139">
            <v>0.73859564164648916</v>
          </cell>
          <cell r="AR139">
            <v>0.73801845046126158</v>
          </cell>
        </row>
        <row r="140">
          <cell r="D140">
            <v>65</v>
          </cell>
          <cell r="E140">
            <v>0.76928314734253833</v>
          </cell>
          <cell r="F140">
            <v>0.76896455484231097</v>
          </cell>
          <cell r="G140">
            <v>0.77909738717339672</v>
          </cell>
          <cell r="H140">
            <v>0.77848101265822789</v>
          </cell>
          <cell r="O140">
            <v>0.72453274755482466</v>
          </cell>
          <cell r="P140">
            <v>0.72462941847206386</v>
          </cell>
          <cell r="Q140">
            <v>0.72462941847206386</v>
          </cell>
          <cell r="R140">
            <v>0.72432830327567177</v>
          </cell>
          <cell r="S140">
            <v>0.73386902757061057</v>
          </cell>
          <cell r="T140">
            <v>0.73330683624801274</v>
          </cell>
          <cell r="AA140">
            <v>0.72453274755482466</v>
          </cell>
          <cell r="AB140">
            <v>0.72462941847206386</v>
          </cell>
          <cell r="AC140">
            <v>0.76928314734253833</v>
          </cell>
          <cell r="AD140">
            <v>0.76896455484231097</v>
          </cell>
          <cell r="AE140">
            <v>0.77909738717339672</v>
          </cell>
          <cell r="AF140">
            <v>0.77848101265822789</v>
          </cell>
          <cell r="AM140">
            <v>0.72919497072845385</v>
          </cell>
          <cell r="AN140">
            <v>0.72928969326033422</v>
          </cell>
          <cell r="AO140">
            <v>0.72928969326033422</v>
          </cell>
          <cell r="AP140">
            <v>0.75502050535785148</v>
          </cell>
          <cell r="AQ140">
            <v>0.73859564164648916</v>
          </cell>
          <cell r="AR140">
            <v>0.73801845046126158</v>
          </cell>
        </row>
        <row r="141">
          <cell r="D141">
            <v>66</v>
          </cell>
          <cell r="E141">
            <v>0.76928314734253833</v>
          </cell>
          <cell r="F141">
            <v>0.76896455484231097</v>
          </cell>
          <cell r="G141">
            <v>0.77909738717339672</v>
          </cell>
          <cell r="H141">
            <v>0.77848101265822789</v>
          </cell>
          <cell r="O141">
            <v>0.72453274755482466</v>
          </cell>
          <cell r="P141">
            <v>0.72462941847206386</v>
          </cell>
          <cell r="Q141">
            <v>0.72462941847206386</v>
          </cell>
          <cell r="R141">
            <v>0.72432830327567177</v>
          </cell>
          <cell r="S141">
            <v>0.73386902757061057</v>
          </cell>
          <cell r="T141">
            <v>0.73330683624801274</v>
          </cell>
          <cell r="AA141">
            <v>0.72453274755482466</v>
          </cell>
          <cell r="AB141">
            <v>0.72462941847206386</v>
          </cell>
          <cell r="AC141">
            <v>0.76928314734253833</v>
          </cell>
          <cell r="AD141">
            <v>0.76896455484231097</v>
          </cell>
          <cell r="AE141">
            <v>0.77909738717339672</v>
          </cell>
          <cell r="AF141">
            <v>0.77848101265822789</v>
          </cell>
          <cell r="AM141">
            <v>0.72919497072845385</v>
          </cell>
          <cell r="AN141">
            <v>0.72928969326033422</v>
          </cell>
          <cell r="AO141">
            <v>0.72928969326033422</v>
          </cell>
          <cell r="AP141">
            <v>0.75502050535785148</v>
          </cell>
          <cell r="AQ141">
            <v>0.73859564164648916</v>
          </cell>
          <cell r="AR141">
            <v>0.73801845046126158</v>
          </cell>
        </row>
        <row r="142">
          <cell r="D142">
            <v>67</v>
          </cell>
          <cell r="E142">
            <v>0.76928314734253833</v>
          </cell>
          <cell r="F142">
            <v>0.76896455484231097</v>
          </cell>
          <cell r="G142">
            <v>0.77909738717339672</v>
          </cell>
          <cell r="H142">
            <v>0.77848101265822789</v>
          </cell>
          <cell r="O142">
            <v>0.72453274755482466</v>
          </cell>
          <cell r="P142">
            <v>0.72462941847206386</v>
          </cell>
          <cell r="Q142">
            <v>0.72462941847206386</v>
          </cell>
          <cell r="R142">
            <v>0.72432830327567177</v>
          </cell>
          <cell r="S142">
            <v>0.73386902757061057</v>
          </cell>
          <cell r="T142">
            <v>0.73330683624801274</v>
          </cell>
          <cell r="AA142">
            <v>0.72453274755482466</v>
          </cell>
          <cell r="AB142">
            <v>0.72462941847206386</v>
          </cell>
          <cell r="AC142">
            <v>0.76928314734253833</v>
          </cell>
          <cell r="AD142">
            <v>0.76896455484231097</v>
          </cell>
          <cell r="AE142">
            <v>0.77909738717339672</v>
          </cell>
          <cell r="AF142">
            <v>0.77848101265822789</v>
          </cell>
          <cell r="AM142">
            <v>0.72919497072845385</v>
          </cell>
          <cell r="AN142">
            <v>0.72928969326033422</v>
          </cell>
          <cell r="AO142">
            <v>0.72928969326033422</v>
          </cell>
          <cell r="AP142">
            <v>0.75502050535785148</v>
          </cell>
          <cell r="AQ142">
            <v>0.73859564164648916</v>
          </cell>
          <cell r="AR142">
            <v>0.73801845046126158</v>
          </cell>
        </row>
        <row r="143">
          <cell r="D143">
            <v>68</v>
          </cell>
          <cell r="E143">
            <v>0.76928314734253833</v>
          </cell>
          <cell r="F143">
            <v>0.76896455484231097</v>
          </cell>
          <cell r="G143">
            <v>0.77909738717339672</v>
          </cell>
          <cell r="H143">
            <v>0.77848101265822789</v>
          </cell>
          <cell r="O143">
            <v>0.72453274755482466</v>
          </cell>
          <cell r="P143">
            <v>0.72462941847206386</v>
          </cell>
          <cell r="Q143">
            <v>0.72462941847206386</v>
          </cell>
          <cell r="R143">
            <v>0.72432830327567177</v>
          </cell>
          <cell r="S143">
            <v>0.73386902757061057</v>
          </cell>
          <cell r="T143">
            <v>0.73330683624801274</v>
          </cell>
          <cell r="AA143">
            <v>0.72453274755482466</v>
          </cell>
          <cell r="AB143">
            <v>0.72462941847206386</v>
          </cell>
          <cell r="AC143">
            <v>0.76928314734253833</v>
          </cell>
          <cell r="AD143">
            <v>0.76896455484231097</v>
          </cell>
          <cell r="AE143">
            <v>0.77909738717339672</v>
          </cell>
          <cell r="AF143">
            <v>0.77848101265822789</v>
          </cell>
          <cell r="AM143">
            <v>0.72919497072845385</v>
          </cell>
          <cell r="AN143">
            <v>0.72928969326033422</v>
          </cell>
          <cell r="AO143">
            <v>0.72928969326033422</v>
          </cell>
          <cell r="AP143">
            <v>0.75502050535785148</v>
          </cell>
          <cell r="AQ143">
            <v>0.73859564164648916</v>
          </cell>
          <cell r="AR143">
            <v>0.73801845046126158</v>
          </cell>
        </row>
        <row r="144">
          <cell r="D144">
            <v>69</v>
          </cell>
          <cell r="E144">
            <v>0.76928314734253833</v>
          </cell>
          <cell r="F144">
            <v>0.76896455484231097</v>
          </cell>
          <cell r="G144">
            <v>0.77909738717339672</v>
          </cell>
          <cell r="H144">
            <v>0.77848101265822789</v>
          </cell>
          <cell r="O144">
            <v>0.72453274755482466</v>
          </cell>
          <cell r="P144">
            <v>0.72462941847206386</v>
          </cell>
          <cell r="Q144">
            <v>0.72462941847206386</v>
          </cell>
          <cell r="R144">
            <v>0.72432830327567177</v>
          </cell>
          <cell r="S144">
            <v>0.73386902757061057</v>
          </cell>
          <cell r="T144">
            <v>0.73330683624801274</v>
          </cell>
          <cell r="AA144">
            <v>0.72453274755482466</v>
          </cell>
          <cell r="AB144">
            <v>0.72462941847206386</v>
          </cell>
          <cell r="AC144">
            <v>0.76928314734253833</v>
          </cell>
          <cell r="AD144">
            <v>0.76896455484231097</v>
          </cell>
          <cell r="AE144">
            <v>0.77909738717339672</v>
          </cell>
          <cell r="AF144">
            <v>0.77848101265822789</v>
          </cell>
          <cell r="AM144">
            <v>0.72919497072845385</v>
          </cell>
          <cell r="AN144">
            <v>0.72928969326033422</v>
          </cell>
          <cell r="AO144">
            <v>0.72928969326033422</v>
          </cell>
          <cell r="AP144">
            <v>0.75502050535785148</v>
          </cell>
          <cell r="AQ144">
            <v>0.73859564164648916</v>
          </cell>
          <cell r="AR144">
            <v>0.73801845046126158</v>
          </cell>
        </row>
        <row r="145">
          <cell r="D145">
            <v>70</v>
          </cell>
          <cell r="E145">
            <v>0.76928314734253833</v>
          </cell>
          <cell r="F145">
            <v>0.76896455484231097</v>
          </cell>
          <cell r="G145">
            <v>0.77909738717339672</v>
          </cell>
          <cell r="H145">
            <v>0.77848101265822789</v>
          </cell>
          <cell r="O145">
            <v>0.72453274755482466</v>
          </cell>
          <cell r="P145">
            <v>0.72462941847206386</v>
          </cell>
          <cell r="Q145">
            <v>0.72462941847206386</v>
          </cell>
          <cell r="R145">
            <v>0.72432830327567177</v>
          </cell>
          <cell r="S145">
            <v>0.73386902757061057</v>
          </cell>
          <cell r="T145">
            <v>0.73330683624801274</v>
          </cell>
          <cell r="AA145">
            <v>0.72453274755482466</v>
          </cell>
          <cell r="AB145">
            <v>0.72462941847206386</v>
          </cell>
          <cell r="AC145">
            <v>0.76928314734253833</v>
          </cell>
          <cell r="AD145">
            <v>0.76896455484231097</v>
          </cell>
          <cell r="AE145">
            <v>0.77909738717339672</v>
          </cell>
          <cell r="AF145">
            <v>0.77848101265822789</v>
          </cell>
          <cell r="AM145">
            <v>0.72919497072845385</v>
          </cell>
          <cell r="AN145">
            <v>0.72928969326033422</v>
          </cell>
          <cell r="AO145">
            <v>0.72928969326033422</v>
          </cell>
          <cell r="AP145">
            <v>0.75502050535785148</v>
          </cell>
          <cell r="AQ145">
            <v>0.73859564164648916</v>
          </cell>
          <cell r="AR145">
            <v>0.73801845046126158</v>
          </cell>
        </row>
        <row r="146">
          <cell r="D146">
            <v>71</v>
          </cell>
          <cell r="E146">
            <v>1.3076224702099486</v>
          </cell>
          <cell r="F146">
            <v>1.3080472602102526</v>
          </cell>
          <cell r="G146">
            <v>1.2945368171021376</v>
          </cell>
          <cell r="H146">
            <v>1.295358649789029</v>
          </cell>
          <cell r="O146">
            <v>1.3672896699269002</v>
          </cell>
          <cell r="P146">
            <v>1.3671607753705823</v>
          </cell>
          <cell r="Q146">
            <v>1.3671607753705823</v>
          </cell>
          <cell r="R146">
            <v>1.3675622622991039</v>
          </cell>
          <cell r="S146">
            <v>1.3548412965725196</v>
          </cell>
          <cell r="T146">
            <v>1.3555908850026503</v>
          </cell>
          <cell r="AA146">
            <v>1.3672896699269002</v>
          </cell>
          <cell r="AB146">
            <v>1.3671607753705823</v>
          </cell>
          <cell r="AC146">
            <v>1.3076224702099486</v>
          </cell>
          <cell r="AD146">
            <v>1.3080472602102526</v>
          </cell>
          <cell r="AE146">
            <v>1.2945368171021376</v>
          </cell>
          <cell r="AF146">
            <v>1.295358649789029</v>
          </cell>
          <cell r="AM146">
            <v>1.3610733723620612</v>
          </cell>
          <cell r="AN146">
            <v>1.3609470756528876</v>
          </cell>
          <cell r="AO146">
            <v>1.3609470756528876</v>
          </cell>
          <cell r="AP146">
            <v>1.3266393261895317</v>
          </cell>
          <cell r="AQ146">
            <v>1.3485391444713466</v>
          </cell>
          <cell r="AR146">
            <v>1.3493087327183177</v>
          </cell>
        </row>
        <row r="147">
          <cell r="D147">
            <v>72</v>
          </cell>
          <cell r="E147">
            <v>1.3076224702099486</v>
          </cell>
          <cell r="F147">
            <v>1.3080472602102526</v>
          </cell>
          <cell r="G147">
            <v>1.2945368171021376</v>
          </cell>
          <cell r="H147">
            <v>1.295358649789029</v>
          </cell>
          <cell r="O147">
            <v>1.3672896699269002</v>
          </cell>
          <cell r="P147">
            <v>1.3671607753705823</v>
          </cell>
          <cell r="Q147">
            <v>1.3671607753705823</v>
          </cell>
          <cell r="R147">
            <v>1.3675622622991039</v>
          </cell>
          <cell r="S147">
            <v>1.3548412965725196</v>
          </cell>
          <cell r="T147">
            <v>1.3555908850026503</v>
          </cell>
          <cell r="AA147">
            <v>1.3672896699269002</v>
          </cell>
          <cell r="AB147">
            <v>1.3671607753705823</v>
          </cell>
          <cell r="AC147">
            <v>1.3076224702099486</v>
          </cell>
          <cell r="AD147">
            <v>1.3080472602102526</v>
          </cell>
          <cell r="AE147">
            <v>1.2945368171021376</v>
          </cell>
          <cell r="AF147">
            <v>1.295358649789029</v>
          </cell>
          <cell r="AM147">
            <v>1.3610733723620612</v>
          </cell>
          <cell r="AN147">
            <v>1.3609470756528876</v>
          </cell>
          <cell r="AO147">
            <v>1.3609470756528876</v>
          </cell>
          <cell r="AP147">
            <v>1.3266393261895317</v>
          </cell>
          <cell r="AQ147">
            <v>1.3485391444713466</v>
          </cell>
          <cell r="AR147">
            <v>1.3493087327183177</v>
          </cell>
        </row>
        <row r="148">
          <cell r="D148">
            <v>73</v>
          </cell>
          <cell r="E148">
            <v>1.3076224702099486</v>
          </cell>
          <cell r="F148">
            <v>1.3080472602102526</v>
          </cell>
          <cell r="G148">
            <v>1.2945368171021376</v>
          </cell>
          <cell r="H148">
            <v>1.295358649789029</v>
          </cell>
          <cell r="O148">
            <v>1.3672896699269002</v>
          </cell>
          <cell r="P148">
            <v>1.3671607753705823</v>
          </cell>
          <cell r="Q148">
            <v>1.3671607753705823</v>
          </cell>
          <cell r="R148">
            <v>1.3675622622991039</v>
          </cell>
          <cell r="S148">
            <v>1.3548412965725196</v>
          </cell>
          <cell r="T148">
            <v>1.3555908850026503</v>
          </cell>
          <cell r="AA148">
            <v>1.3672896699269002</v>
          </cell>
          <cell r="AB148">
            <v>1.3671607753705823</v>
          </cell>
          <cell r="AC148">
            <v>1.3076224702099486</v>
          </cell>
          <cell r="AD148">
            <v>1.3080472602102526</v>
          </cell>
          <cell r="AE148">
            <v>1.2945368171021376</v>
          </cell>
          <cell r="AF148">
            <v>1.295358649789029</v>
          </cell>
          <cell r="AM148">
            <v>1.3610733723620612</v>
          </cell>
          <cell r="AN148">
            <v>1.3609470756528876</v>
          </cell>
          <cell r="AO148">
            <v>1.3609470756528876</v>
          </cell>
          <cell r="AP148">
            <v>1.3266393261895317</v>
          </cell>
          <cell r="AQ148">
            <v>1.3485391444713466</v>
          </cell>
          <cell r="AR148">
            <v>1.3493087327183177</v>
          </cell>
        </row>
        <row r="149">
          <cell r="D149">
            <v>74</v>
          </cell>
          <cell r="E149">
            <v>1.3076224702099486</v>
          </cell>
          <cell r="F149">
            <v>1.3080472602102526</v>
          </cell>
          <cell r="G149">
            <v>1.2945368171021376</v>
          </cell>
          <cell r="H149">
            <v>1.295358649789029</v>
          </cell>
          <cell r="O149">
            <v>1.3672896699269002</v>
          </cell>
          <cell r="P149">
            <v>1.3671607753705823</v>
          </cell>
          <cell r="Q149">
            <v>1.3671607753705823</v>
          </cell>
          <cell r="R149">
            <v>1.3675622622991039</v>
          </cell>
          <cell r="S149">
            <v>1.3548412965725196</v>
          </cell>
          <cell r="T149">
            <v>1.3555908850026503</v>
          </cell>
          <cell r="AA149">
            <v>1.3672896699269002</v>
          </cell>
          <cell r="AB149">
            <v>1.3671607753705823</v>
          </cell>
          <cell r="AC149">
            <v>1.3076224702099486</v>
          </cell>
          <cell r="AD149">
            <v>1.3080472602102526</v>
          </cell>
          <cell r="AE149">
            <v>1.2945368171021376</v>
          </cell>
          <cell r="AF149">
            <v>1.295358649789029</v>
          </cell>
          <cell r="AM149">
            <v>1.3610733723620612</v>
          </cell>
          <cell r="AN149">
            <v>1.3609470756528876</v>
          </cell>
          <cell r="AO149">
            <v>1.3609470756528876</v>
          </cell>
          <cell r="AP149">
            <v>1.3266393261895317</v>
          </cell>
          <cell r="AQ149">
            <v>1.3485391444713466</v>
          </cell>
          <cell r="AR149">
            <v>1.3493087327183177</v>
          </cell>
        </row>
        <row r="150">
          <cell r="D150">
            <v>75</v>
          </cell>
          <cell r="E150">
            <v>1.3076224702099486</v>
          </cell>
          <cell r="F150">
            <v>1.3080472602102526</v>
          </cell>
          <cell r="G150">
            <v>1.2945368171021376</v>
          </cell>
          <cell r="H150">
            <v>1.295358649789029</v>
          </cell>
          <cell r="O150">
            <v>1.3672896699269002</v>
          </cell>
          <cell r="P150">
            <v>1.3671607753705823</v>
          </cell>
          <cell r="Q150">
            <v>1.3671607753705823</v>
          </cell>
          <cell r="R150">
            <v>1.3675622622991039</v>
          </cell>
          <cell r="S150">
            <v>1.3548412965725196</v>
          </cell>
          <cell r="T150">
            <v>1.3555908850026503</v>
          </cell>
          <cell r="AA150">
            <v>1.3672896699269002</v>
          </cell>
          <cell r="AB150">
            <v>1.3671607753705823</v>
          </cell>
          <cell r="AC150">
            <v>1.3076224702099486</v>
          </cell>
          <cell r="AD150">
            <v>1.3080472602102526</v>
          </cell>
          <cell r="AE150">
            <v>1.2945368171021376</v>
          </cell>
          <cell r="AF150">
            <v>1.295358649789029</v>
          </cell>
          <cell r="AM150">
            <v>1.3610733723620612</v>
          </cell>
          <cell r="AN150">
            <v>1.3609470756528876</v>
          </cell>
          <cell r="AO150">
            <v>1.3609470756528876</v>
          </cell>
          <cell r="AP150">
            <v>1.3266393261895317</v>
          </cell>
          <cell r="AQ150">
            <v>1.3485391444713466</v>
          </cell>
          <cell r="AR150">
            <v>1.3493087327183177</v>
          </cell>
        </row>
        <row r="151">
          <cell r="D151">
            <v>76</v>
          </cell>
          <cell r="E151">
            <v>1.3076224702099486</v>
          </cell>
          <cell r="F151">
            <v>1.3080472602102526</v>
          </cell>
          <cell r="G151">
            <v>1.2945368171021376</v>
          </cell>
          <cell r="H151">
            <v>1.295358649789029</v>
          </cell>
          <cell r="O151">
            <v>1.3672896699269002</v>
          </cell>
          <cell r="P151">
            <v>1.3671607753705823</v>
          </cell>
          <cell r="Q151">
            <v>1.3671607753705823</v>
          </cell>
          <cell r="R151">
            <v>1.3675622622991039</v>
          </cell>
          <cell r="S151">
            <v>1.3548412965725196</v>
          </cell>
          <cell r="T151">
            <v>1.3555908850026503</v>
          </cell>
          <cell r="AA151">
            <v>1.3672896699269002</v>
          </cell>
          <cell r="AB151">
            <v>1.3671607753705823</v>
          </cell>
          <cell r="AC151">
            <v>1.3076224702099486</v>
          </cell>
          <cell r="AD151">
            <v>1.3080472602102526</v>
          </cell>
          <cell r="AE151">
            <v>1.2945368171021376</v>
          </cell>
          <cell r="AF151">
            <v>1.295358649789029</v>
          </cell>
          <cell r="AM151">
            <v>1.3610733723620612</v>
          </cell>
          <cell r="AN151">
            <v>1.3609470756528876</v>
          </cell>
          <cell r="AO151">
            <v>1.3609470756528876</v>
          </cell>
          <cell r="AP151">
            <v>1.3266393261895317</v>
          </cell>
          <cell r="AQ151">
            <v>1.3485391444713466</v>
          </cell>
          <cell r="AR151">
            <v>1.3493087327183177</v>
          </cell>
        </row>
        <row r="152">
          <cell r="D152">
            <v>77</v>
          </cell>
          <cell r="E152">
            <v>1.3076224702099486</v>
          </cell>
          <cell r="F152">
            <v>1.3080472602102526</v>
          </cell>
          <cell r="G152">
            <v>1.2945368171021376</v>
          </cell>
          <cell r="H152">
            <v>1.295358649789029</v>
          </cell>
          <cell r="O152">
            <v>1.3672896699269002</v>
          </cell>
          <cell r="P152">
            <v>1.3671607753705823</v>
          </cell>
          <cell r="Q152">
            <v>1.3671607753705823</v>
          </cell>
          <cell r="R152">
            <v>1.3675622622991039</v>
          </cell>
          <cell r="S152">
            <v>1.3548412965725196</v>
          </cell>
          <cell r="T152">
            <v>1.3555908850026503</v>
          </cell>
          <cell r="AA152">
            <v>1.3672896699269002</v>
          </cell>
          <cell r="AB152">
            <v>1.3671607753705823</v>
          </cell>
          <cell r="AC152">
            <v>1.3076224702099486</v>
          </cell>
          <cell r="AD152">
            <v>1.3080472602102526</v>
          </cell>
          <cell r="AE152">
            <v>1.2945368171021376</v>
          </cell>
          <cell r="AF152">
            <v>1.295358649789029</v>
          </cell>
          <cell r="AM152">
            <v>1.3610733723620612</v>
          </cell>
          <cell r="AN152">
            <v>1.3609470756528876</v>
          </cell>
          <cell r="AO152">
            <v>1.3609470756528876</v>
          </cell>
          <cell r="AP152">
            <v>1.3266393261895317</v>
          </cell>
          <cell r="AQ152">
            <v>1.3485391444713466</v>
          </cell>
          <cell r="AR152">
            <v>1.3493087327183177</v>
          </cell>
        </row>
        <row r="153">
          <cell r="D153">
            <v>78</v>
          </cell>
          <cell r="E153">
            <v>1.3076224702099486</v>
          </cell>
          <cell r="F153">
            <v>1.3080472602102526</v>
          </cell>
          <cell r="G153">
            <v>1.2945368171021376</v>
          </cell>
          <cell r="H153">
            <v>1.295358649789029</v>
          </cell>
          <cell r="O153">
            <v>1.3672896699269002</v>
          </cell>
          <cell r="P153">
            <v>1.3671607753705823</v>
          </cell>
          <cell r="Q153">
            <v>1.3671607753705823</v>
          </cell>
          <cell r="R153">
            <v>1.3675622622991039</v>
          </cell>
          <cell r="S153">
            <v>1.3548412965725196</v>
          </cell>
          <cell r="T153">
            <v>1.3555908850026503</v>
          </cell>
          <cell r="AA153">
            <v>1.3672896699269002</v>
          </cell>
          <cell r="AB153">
            <v>1.3671607753705823</v>
          </cell>
          <cell r="AC153">
            <v>1.3076224702099486</v>
          </cell>
          <cell r="AD153">
            <v>1.3080472602102526</v>
          </cell>
          <cell r="AE153">
            <v>1.2945368171021376</v>
          </cell>
          <cell r="AF153">
            <v>1.295358649789029</v>
          </cell>
          <cell r="AM153">
            <v>1.3610733723620612</v>
          </cell>
          <cell r="AN153">
            <v>1.3609470756528876</v>
          </cell>
          <cell r="AO153">
            <v>1.3609470756528876</v>
          </cell>
          <cell r="AP153">
            <v>1.3266393261895317</v>
          </cell>
          <cell r="AQ153">
            <v>1.3485391444713466</v>
          </cell>
          <cell r="AR153">
            <v>1.3493087327183177</v>
          </cell>
        </row>
        <row r="154">
          <cell r="D154">
            <v>79</v>
          </cell>
          <cell r="E154">
            <v>0.76928314734253833</v>
          </cell>
          <cell r="F154">
            <v>0.76896455484231097</v>
          </cell>
          <cell r="G154">
            <v>0.77909738717339672</v>
          </cell>
          <cell r="H154">
            <v>0.77848101265822789</v>
          </cell>
          <cell r="O154">
            <v>0.72453274755482466</v>
          </cell>
          <cell r="P154">
            <v>0.72462941847206386</v>
          </cell>
          <cell r="Q154">
            <v>0.72462941847206386</v>
          </cell>
          <cell r="R154">
            <v>0.72432830327567177</v>
          </cell>
          <cell r="S154">
            <v>0.73386902757061057</v>
          </cell>
          <cell r="T154">
            <v>0.73330683624801274</v>
          </cell>
          <cell r="AA154">
            <v>0.72453274755482466</v>
          </cell>
          <cell r="AB154">
            <v>0.72462941847206386</v>
          </cell>
          <cell r="AC154">
            <v>0.76928314734253833</v>
          </cell>
          <cell r="AD154">
            <v>0.76896455484231097</v>
          </cell>
          <cell r="AE154">
            <v>0.77909738717339672</v>
          </cell>
          <cell r="AF154">
            <v>0.77848101265822789</v>
          </cell>
          <cell r="AM154">
            <v>0.72919497072845385</v>
          </cell>
          <cell r="AN154">
            <v>0.72928969326033422</v>
          </cell>
          <cell r="AO154">
            <v>0.72928969326033422</v>
          </cell>
          <cell r="AP154">
            <v>0.75502050535785148</v>
          </cell>
          <cell r="AQ154">
            <v>0.73859564164648916</v>
          </cell>
          <cell r="AR154">
            <v>0.73801845046126158</v>
          </cell>
        </row>
        <row r="155">
          <cell r="D155">
            <v>80</v>
          </cell>
          <cell r="E155">
            <v>0.76928314734253833</v>
          </cell>
          <cell r="F155">
            <v>0.76896455484231097</v>
          </cell>
          <cell r="G155">
            <v>0.77909738717339672</v>
          </cell>
          <cell r="H155">
            <v>0.77848101265822789</v>
          </cell>
          <cell r="O155">
            <v>0.72453274755482466</v>
          </cell>
          <cell r="P155">
            <v>0.72462941847206386</v>
          </cell>
          <cell r="Q155">
            <v>0.72462941847206386</v>
          </cell>
          <cell r="R155">
            <v>0.72432830327567177</v>
          </cell>
          <cell r="S155">
            <v>0.73386902757061057</v>
          </cell>
          <cell r="T155">
            <v>0.73330683624801274</v>
          </cell>
          <cell r="AA155">
            <v>0.72453274755482466</v>
          </cell>
          <cell r="AB155">
            <v>0.72462941847206386</v>
          </cell>
          <cell r="AC155">
            <v>0.76928314734253833</v>
          </cell>
          <cell r="AD155">
            <v>0.76896455484231097</v>
          </cell>
          <cell r="AE155">
            <v>0.77909738717339672</v>
          </cell>
          <cell r="AF155">
            <v>0.77848101265822789</v>
          </cell>
          <cell r="AM155">
            <v>0.72919497072845385</v>
          </cell>
          <cell r="AN155">
            <v>0.72928969326033422</v>
          </cell>
          <cell r="AO155">
            <v>0.72928969326033422</v>
          </cell>
          <cell r="AP155">
            <v>0.75502050535785148</v>
          </cell>
          <cell r="AQ155">
            <v>0.73859564164648916</v>
          </cell>
          <cell r="AR155">
            <v>0.73801845046126158</v>
          </cell>
        </row>
        <row r="156">
          <cell r="D156">
            <v>81</v>
          </cell>
          <cell r="E156">
            <v>0.76928314734253833</v>
          </cell>
          <cell r="F156">
            <v>0.76896455484231097</v>
          </cell>
          <cell r="G156">
            <v>0.77909738717339672</v>
          </cell>
          <cell r="H156">
            <v>0.77848101265822789</v>
          </cell>
          <cell r="O156">
            <v>0.72453274755482466</v>
          </cell>
          <cell r="P156">
            <v>0.72462941847206386</v>
          </cell>
          <cell r="Q156">
            <v>0.72462941847206386</v>
          </cell>
          <cell r="R156">
            <v>0.72432830327567177</v>
          </cell>
          <cell r="S156">
            <v>0.73386902757061057</v>
          </cell>
          <cell r="T156">
            <v>0.73330683624801274</v>
          </cell>
          <cell r="AA156">
            <v>0.72453274755482466</v>
          </cell>
          <cell r="AB156">
            <v>0.72462941847206386</v>
          </cell>
          <cell r="AC156">
            <v>0.76928314734253833</v>
          </cell>
          <cell r="AD156">
            <v>0.76896455484231097</v>
          </cell>
          <cell r="AE156">
            <v>0.77909738717339672</v>
          </cell>
          <cell r="AF156">
            <v>0.77848101265822789</v>
          </cell>
          <cell r="AM156">
            <v>0.72919497072845385</v>
          </cell>
          <cell r="AN156">
            <v>0.72928969326033422</v>
          </cell>
          <cell r="AO156">
            <v>0.72928969326033422</v>
          </cell>
          <cell r="AP156">
            <v>0.75502050535785148</v>
          </cell>
          <cell r="AQ156">
            <v>0.73859564164648916</v>
          </cell>
          <cell r="AR156">
            <v>0.73801845046126158</v>
          </cell>
        </row>
        <row r="157">
          <cell r="D157">
            <v>82</v>
          </cell>
          <cell r="E157">
            <v>0.76928314734253833</v>
          </cell>
          <cell r="F157">
            <v>0.76896455484231097</v>
          </cell>
          <cell r="G157">
            <v>0.77909738717339672</v>
          </cell>
          <cell r="H157">
            <v>0.77848101265822789</v>
          </cell>
          <cell r="O157">
            <v>0.72453274755482466</v>
          </cell>
          <cell r="P157">
            <v>0.72462941847206386</v>
          </cell>
          <cell r="Q157">
            <v>0.72462941847206386</v>
          </cell>
          <cell r="R157">
            <v>0.72432830327567177</v>
          </cell>
          <cell r="S157">
            <v>0.73386902757061057</v>
          </cell>
          <cell r="T157">
            <v>0.73330683624801274</v>
          </cell>
          <cell r="AA157">
            <v>0.72453274755482466</v>
          </cell>
          <cell r="AB157">
            <v>0.72462941847206386</v>
          </cell>
          <cell r="AC157">
            <v>0.76928314734253833</v>
          </cell>
          <cell r="AD157">
            <v>0.76896455484231097</v>
          </cell>
          <cell r="AE157">
            <v>0.77909738717339672</v>
          </cell>
          <cell r="AF157">
            <v>0.77848101265822789</v>
          </cell>
          <cell r="AM157">
            <v>0.72919497072845385</v>
          </cell>
          <cell r="AN157">
            <v>0.72928969326033422</v>
          </cell>
          <cell r="AO157">
            <v>0.72928969326033422</v>
          </cell>
          <cell r="AP157">
            <v>0.75502050535785148</v>
          </cell>
          <cell r="AQ157">
            <v>0.73859564164648916</v>
          </cell>
          <cell r="AR157">
            <v>0.73801845046126158</v>
          </cell>
        </row>
        <row r="158">
          <cell r="D158">
            <v>83</v>
          </cell>
          <cell r="E158">
            <v>0.76928314734253833</v>
          </cell>
          <cell r="F158">
            <v>0.76896455484231097</v>
          </cell>
          <cell r="G158">
            <v>0.77909738717339672</v>
          </cell>
          <cell r="H158">
            <v>0.77848101265822789</v>
          </cell>
          <cell r="O158">
            <v>0.72453274755482466</v>
          </cell>
          <cell r="P158">
            <v>0.72462941847206386</v>
          </cell>
          <cell r="Q158">
            <v>0.72462941847206386</v>
          </cell>
          <cell r="R158">
            <v>0.72432830327567177</v>
          </cell>
          <cell r="S158">
            <v>0.73386902757061057</v>
          </cell>
          <cell r="T158">
            <v>0.73330683624801274</v>
          </cell>
          <cell r="AA158">
            <v>0.72453274755482466</v>
          </cell>
          <cell r="AB158">
            <v>0.72462941847206386</v>
          </cell>
          <cell r="AC158">
            <v>0.76928314734253833</v>
          </cell>
          <cell r="AD158">
            <v>0.76896455484231097</v>
          </cell>
          <cell r="AE158">
            <v>0.77909738717339672</v>
          </cell>
          <cell r="AF158">
            <v>0.77848101265822789</v>
          </cell>
          <cell r="AM158">
            <v>0.72919497072845385</v>
          </cell>
          <cell r="AN158">
            <v>0.72928969326033422</v>
          </cell>
          <cell r="AO158">
            <v>0.72928969326033422</v>
          </cell>
          <cell r="AP158">
            <v>0.75502050535785148</v>
          </cell>
          <cell r="AQ158">
            <v>0.73859564164648916</v>
          </cell>
          <cell r="AR158">
            <v>0.73801845046126158</v>
          </cell>
        </row>
        <row r="159">
          <cell r="D159">
            <v>84</v>
          </cell>
          <cell r="E159">
            <v>0.76928314734253833</v>
          </cell>
          <cell r="F159">
            <v>0.76896455484231097</v>
          </cell>
          <cell r="G159">
            <v>0.77909738717339672</v>
          </cell>
          <cell r="H159">
            <v>0.77848101265822789</v>
          </cell>
          <cell r="O159">
            <v>0.72453274755482466</v>
          </cell>
          <cell r="P159">
            <v>0.72462941847206386</v>
          </cell>
          <cell r="Q159">
            <v>0.72462941847206386</v>
          </cell>
          <cell r="R159">
            <v>0.72432830327567177</v>
          </cell>
          <cell r="S159">
            <v>0.73386902757061057</v>
          </cell>
          <cell r="T159">
            <v>0.73330683624801274</v>
          </cell>
          <cell r="AA159">
            <v>0.72453274755482466</v>
          </cell>
          <cell r="AB159">
            <v>0.72462941847206386</v>
          </cell>
          <cell r="AC159">
            <v>0.76928314734253833</v>
          </cell>
          <cell r="AD159">
            <v>0.76896455484231097</v>
          </cell>
          <cell r="AE159">
            <v>0.77909738717339672</v>
          </cell>
          <cell r="AF159">
            <v>0.77848101265822789</v>
          </cell>
          <cell r="AM159">
            <v>0.72919497072845385</v>
          </cell>
          <cell r="AN159">
            <v>0.72928969326033422</v>
          </cell>
          <cell r="AO159">
            <v>0.72928969326033422</v>
          </cell>
          <cell r="AP159">
            <v>0.75502050535785148</v>
          </cell>
          <cell r="AQ159">
            <v>0.73859564164648916</v>
          </cell>
          <cell r="AR159">
            <v>0.73801845046126158</v>
          </cell>
        </row>
        <row r="160">
          <cell r="D160">
            <v>85</v>
          </cell>
          <cell r="E160">
            <v>0.76928314734253833</v>
          </cell>
          <cell r="F160">
            <v>0.76896455484231097</v>
          </cell>
          <cell r="G160">
            <v>0.77909738717339672</v>
          </cell>
          <cell r="H160">
            <v>0.77848101265822789</v>
          </cell>
          <cell r="O160">
            <v>0.72453274755482466</v>
          </cell>
          <cell r="P160">
            <v>0.72462941847206386</v>
          </cell>
          <cell r="Q160">
            <v>0.72462941847206386</v>
          </cell>
          <cell r="R160">
            <v>0.72432830327567177</v>
          </cell>
          <cell r="S160">
            <v>0.73386902757061057</v>
          </cell>
          <cell r="T160">
            <v>0.73330683624801274</v>
          </cell>
          <cell r="AA160">
            <v>0.72453274755482466</v>
          </cell>
          <cell r="AB160">
            <v>0.72462941847206386</v>
          </cell>
          <cell r="AC160">
            <v>0.76928314734253833</v>
          </cell>
          <cell r="AD160">
            <v>0.76896455484231097</v>
          </cell>
          <cell r="AE160">
            <v>0.77909738717339672</v>
          </cell>
          <cell r="AF160">
            <v>0.77848101265822789</v>
          </cell>
          <cell r="AM160">
            <v>0.72919497072845385</v>
          </cell>
          <cell r="AN160">
            <v>0.72928969326033422</v>
          </cell>
          <cell r="AO160">
            <v>0.72928969326033422</v>
          </cell>
          <cell r="AP160">
            <v>0.75502050535785148</v>
          </cell>
          <cell r="AQ160">
            <v>0.73859564164648916</v>
          </cell>
          <cell r="AR160">
            <v>0.73801845046126158</v>
          </cell>
        </row>
        <row r="161">
          <cell r="D161">
            <v>86</v>
          </cell>
          <cell r="E161">
            <v>0.76928314734253833</v>
          </cell>
          <cell r="F161">
            <v>0.76896455484231097</v>
          </cell>
          <cell r="G161">
            <v>0.77909738717339672</v>
          </cell>
          <cell r="H161">
            <v>0.77848101265822789</v>
          </cell>
          <cell r="O161">
            <v>0.72453274755482466</v>
          </cell>
          <cell r="P161">
            <v>0.72462941847206386</v>
          </cell>
          <cell r="Q161">
            <v>0.72462941847206386</v>
          </cell>
          <cell r="R161">
            <v>0.72432830327567177</v>
          </cell>
          <cell r="S161">
            <v>0.73386902757061057</v>
          </cell>
          <cell r="T161">
            <v>0.73330683624801274</v>
          </cell>
          <cell r="AA161">
            <v>0.72453274755482466</v>
          </cell>
          <cell r="AB161">
            <v>0.72462941847206386</v>
          </cell>
          <cell r="AC161">
            <v>0.76928314734253833</v>
          </cell>
          <cell r="AD161">
            <v>0.76896455484231097</v>
          </cell>
          <cell r="AE161">
            <v>0.77909738717339672</v>
          </cell>
          <cell r="AF161">
            <v>0.77848101265822789</v>
          </cell>
          <cell r="AM161">
            <v>0.72919497072845385</v>
          </cell>
          <cell r="AN161">
            <v>0.72928969326033422</v>
          </cell>
          <cell r="AO161">
            <v>0.72928969326033422</v>
          </cell>
          <cell r="AP161">
            <v>0.75502050535785148</v>
          </cell>
          <cell r="AQ161">
            <v>0.73859564164648916</v>
          </cell>
          <cell r="AR161">
            <v>0.73801845046126158</v>
          </cell>
        </row>
        <row r="162">
          <cell r="D162">
            <v>87</v>
          </cell>
          <cell r="E162">
            <v>0.76928314734253833</v>
          </cell>
          <cell r="F162">
            <v>0.76896455484231097</v>
          </cell>
          <cell r="G162">
            <v>0.77909738717339672</v>
          </cell>
          <cell r="H162">
            <v>0.77848101265822789</v>
          </cell>
          <cell r="O162">
            <v>0.72453274755482466</v>
          </cell>
          <cell r="P162">
            <v>0.72462941847206386</v>
          </cell>
          <cell r="Q162">
            <v>0.72462941847206386</v>
          </cell>
          <cell r="R162">
            <v>0.72432830327567177</v>
          </cell>
          <cell r="S162">
            <v>0.73386902757061057</v>
          </cell>
          <cell r="T162">
            <v>0.73330683624801274</v>
          </cell>
          <cell r="AA162">
            <v>0.72453274755482466</v>
          </cell>
          <cell r="AB162">
            <v>0.72462941847206386</v>
          </cell>
          <cell r="AC162">
            <v>0.76928314734253833</v>
          </cell>
          <cell r="AD162">
            <v>0.76896455484231097</v>
          </cell>
          <cell r="AE162">
            <v>0.77909738717339672</v>
          </cell>
          <cell r="AF162">
            <v>0.77848101265822789</v>
          </cell>
          <cell r="AM162">
            <v>0.72919497072845385</v>
          </cell>
          <cell r="AN162">
            <v>0.72928969326033422</v>
          </cell>
          <cell r="AO162">
            <v>0.72928969326033422</v>
          </cell>
          <cell r="AP162">
            <v>0.75502050535785148</v>
          </cell>
          <cell r="AQ162">
            <v>0.73859564164648916</v>
          </cell>
          <cell r="AR162">
            <v>0.73801845046126158</v>
          </cell>
        </row>
        <row r="163">
          <cell r="D163">
            <v>88</v>
          </cell>
          <cell r="E163">
            <v>0.76928314734253833</v>
          </cell>
          <cell r="F163">
            <v>0.76896455484231097</v>
          </cell>
          <cell r="G163">
            <v>0.77909738717339672</v>
          </cell>
          <cell r="H163">
            <v>0.77848101265822789</v>
          </cell>
          <cell r="O163">
            <v>0.72453274755482466</v>
          </cell>
          <cell r="P163">
            <v>0.72462941847206386</v>
          </cell>
          <cell r="Q163">
            <v>0.72462941847206386</v>
          </cell>
          <cell r="R163">
            <v>0.72432830327567177</v>
          </cell>
          <cell r="S163">
            <v>0.73386902757061057</v>
          </cell>
          <cell r="T163">
            <v>0.73330683624801274</v>
          </cell>
          <cell r="AA163">
            <v>0.72453274755482466</v>
          </cell>
          <cell r="AB163">
            <v>0.72462941847206386</v>
          </cell>
          <cell r="AC163">
            <v>0.76928314734253833</v>
          </cell>
          <cell r="AD163">
            <v>0.76896455484231097</v>
          </cell>
          <cell r="AE163">
            <v>0.77909738717339672</v>
          </cell>
          <cell r="AF163">
            <v>0.77848101265822789</v>
          </cell>
          <cell r="AM163">
            <v>0.72919497072845385</v>
          </cell>
          <cell r="AN163">
            <v>0.72928969326033422</v>
          </cell>
          <cell r="AO163">
            <v>0.72928969326033422</v>
          </cell>
          <cell r="AP163">
            <v>0.75502050535785148</v>
          </cell>
          <cell r="AQ163">
            <v>0.73859564164648916</v>
          </cell>
          <cell r="AR163">
            <v>0.73801845046126158</v>
          </cell>
        </row>
        <row r="164">
          <cell r="D164">
            <v>89</v>
          </cell>
          <cell r="E164">
            <v>0.76928314734253833</v>
          </cell>
          <cell r="F164">
            <v>0.76896455484231097</v>
          </cell>
          <cell r="G164">
            <v>0.77909738717339672</v>
          </cell>
          <cell r="H164">
            <v>0.77848101265822789</v>
          </cell>
          <cell r="O164">
            <v>0.72453274755482466</v>
          </cell>
          <cell r="P164">
            <v>0.72462941847206386</v>
          </cell>
          <cell r="Q164">
            <v>0.72462941847206386</v>
          </cell>
          <cell r="R164">
            <v>0.72432830327567177</v>
          </cell>
          <cell r="S164">
            <v>0.73386902757061057</v>
          </cell>
          <cell r="T164">
            <v>0.73330683624801274</v>
          </cell>
          <cell r="AA164">
            <v>0.72453274755482466</v>
          </cell>
          <cell r="AB164">
            <v>0.72462941847206386</v>
          </cell>
          <cell r="AC164">
            <v>0.76928314734253833</v>
          </cell>
          <cell r="AD164">
            <v>0.76896455484231097</v>
          </cell>
          <cell r="AE164">
            <v>0.77909738717339672</v>
          </cell>
          <cell r="AF164">
            <v>0.77848101265822789</v>
          </cell>
          <cell r="AM164">
            <v>0.72919497072845385</v>
          </cell>
          <cell r="AN164">
            <v>0.72928969326033422</v>
          </cell>
          <cell r="AO164">
            <v>0.72928969326033422</v>
          </cell>
          <cell r="AP164">
            <v>0.75502050535785148</v>
          </cell>
          <cell r="AQ164">
            <v>0.73859564164648916</v>
          </cell>
          <cell r="AR164">
            <v>0.73801845046126158</v>
          </cell>
        </row>
        <row r="165">
          <cell r="D165">
            <v>90</v>
          </cell>
          <cell r="E165">
            <v>0.76928314734253833</v>
          </cell>
          <cell r="F165">
            <v>0.76896455484231097</v>
          </cell>
          <cell r="G165">
            <v>0.77909738717339672</v>
          </cell>
          <cell r="H165">
            <v>0.77848101265822789</v>
          </cell>
          <cell r="O165">
            <v>0.72453274755482466</v>
          </cell>
          <cell r="P165">
            <v>0.72462941847206386</v>
          </cell>
          <cell r="Q165">
            <v>0.72462941847206386</v>
          </cell>
          <cell r="R165">
            <v>0.72432830327567177</v>
          </cell>
          <cell r="S165">
            <v>0.73386902757061057</v>
          </cell>
          <cell r="T165">
            <v>0.73330683624801274</v>
          </cell>
          <cell r="AA165">
            <v>0.72453274755482466</v>
          </cell>
          <cell r="AB165">
            <v>0.72462941847206386</v>
          </cell>
          <cell r="AC165">
            <v>0.76928314734253833</v>
          </cell>
          <cell r="AD165">
            <v>0.76896455484231097</v>
          </cell>
          <cell r="AE165">
            <v>0.77909738717339672</v>
          </cell>
          <cell r="AF165">
            <v>0.77848101265822789</v>
          </cell>
          <cell r="AM165">
            <v>0.72919497072845385</v>
          </cell>
          <cell r="AN165">
            <v>0.72928969326033422</v>
          </cell>
          <cell r="AO165">
            <v>0.72928969326033422</v>
          </cell>
          <cell r="AP165">
            <v>0.75502050535785148</v>
          </cell>
          <cell r="AQ165">
            <v>0.73859564164648916</v>
          </cell>
          <cell r="AR165">
            <v>0.73801845046126158</v>
          </cell>
        </row>
        <row r="166">
          <cell r="D166">
            <v>91</v>
          </cell>
          <cell r="E166">
            <v>0.76928314734253833</v>
          </cell>
          <cell r="F166">
            <v>0.76896455484231097</v>
          </cell>
          <cell r="G166">
            <v>0.77909738717339672</v>
          </cell>
          <cell r="H166">
            <v>0.77848101265822789</v>
          </cell>
          <cell r="O166">
            <v>0.72453274755482466</v>
          </cell>
          <cell r="P166">
            <v>0.72462941847206386</v>
          </cell>
          <cell r="Q166">
            <v>0.72462941847206386</v>
          </cell>
          <cell r="R166">
            <v>0.72432830327567177</v>
          </cell>
          <cell r="S166">
            <v>0.73386902757061057</v>
          </cell>
          <cell r="T166">
            <v>0.73330683624801274</v>
          </cell>
          <cell r="AA166">
            <v>0.72453274755482466</v>
          </cell>
          <cell r="AB166">
            <v>0.72462941847206386</v>
          </cell>
          <cell r="AC166">
            <v>0.76928314734253833</v>
          </cell>
          <cell r="AD166">
            <v>0.76896455484231097</v>
          </cell>
          <cell r="AE166">
            <v>0.77909738717339672</v>
          </cell>
          <cell r="AF166">
            <v>0.77848101265822789</v>
          </cell>
          <cell r="AM166">
            <v>0.72919497072845385</v>
          </cell>
          <cell r="AN166">
            <v>0.72928969326033422</v>
          </cell>
          <cell r="AO166">
            <v>0.72928969326033422</v>
          </cell>
          <cell r="AP166">
            <v>0.75502050535785148</v>
          </cell>
          <cell r="AQ166">
            <v>0.73859564164648916</v>
          </cell>
          <cell r="AR166">
            <v>0.73801845046126158</v>
          </cell>
        </row>
        <row r="167">
          <cell r="D167">
            <v>92</v>
          </cell>
          <cell r="E167">
            <v>0.76928314734253833</v>
          </cell>
          <cell r="F167">
            <v>0.76896455484231097</v>
          </cell>
          <cell r="G167">
            <v>0.77909738717339672</v>
          </cell>
          <cell r="H167">
            <v>0.77848101265822789</v>
          </cell>
          <cell r="O167">
            <v>0.72453274755482466</v>
          </cell>
          <cell r="P167">
            <v>0.72462941847206386</v>
          </cell>
          <cell r="Q167">
            <v>0.72462941847206386</v>
          </cell>
          <cell r="R167">
            <v>0.72432830327567177</v>
          </cell>
          <cell r="S167">
            <v>0.73386902757061057</v>
          </cell>
          <cell r="T167">
            <v>0.73330683624801274</v>
          </cell>
          <cell r="AA167">
            <v>0.72453274755482466</v>
          </cell>
          <cell r="AB167">
            <v>0.72462941847206386</v>
          </cell>
          <cell r="AC167">
            <v>0.76928314734253833</v>
          </cell>
          <cell r="AD167">
            <v>0.76896455484231097</v>
          </cell>
          <cell r="AE167">
            <v>0.77909738717339672</v>
          </cell>
          <cell r="AF167">
            <v>0.77848101265822789</v>
          </cell>
          <cell r="AM167">
            <v>0.72919497072845385</v>
          </cell>
          <cell r="AN167">
            <v>0.72928969326033422</v>
          </cell>
          <cell r="AO167">
            <v>0.72928969326033422</v>
          </cell>
          <cell r="AP167">
            <v>0.75502050535785148</v>
          </cell>
          <cell r="AQ167">
            <v>0.73859564164648916</v>
          </cell>
          <cell r="AR167">
            <v>0.73801845046126158</v>
          </cell>
        </row>
        <row r="168">
          <cell r="D168">
            <v>93</v>
          </cell>
          <cell r="E168">
            <v>0.76928314734253833</v>
          </cell>
          <cell r="F168">
            <v>0.76896455484231097</v>
          </cell>
          <cell r="G168">
            <v>0.77909738717339672</v>
          </cell>
          <cell r="H168">
            <v>0.77848101265822789</v>
          </cell>
          <cell r="O168">
            <v>0.72453274755482466</v>
          </cell>
          <cell r="P168">
            <v>0.72462941847206386</v>
          </cell>
          <cell r="Q168">
            <v>0.72462941847206386</v>
          </cell>
          <cell r="R168">
            <v>0.72432830327567177</v>
          </cell>
          <cell r="S168">
            <v>0.73386902757061057</v>
          </cell>
          <cell r="T168">
            <v>0.73330683624801274</v>
          </cell>
          <cell r="AA168">
            <v>0.72453274755482466</v>
          </cell>
          <cell r="AB168">
            <v>0.72462941847206386</v>
          </cell>
          <cell r="AC168">
            <v>0.76928314734253833</v>
          </cell>
          <cell r="AD168">
            <v>0.76896455484231097</v>
          </cell>
          <cell r="AE168">
            <v>0.77909738717339672</v>
          </cell>
          <cell r="AF168">
            <v>0.77848101265822789</v>
          </cell>
          <cell r="AM168">
            <v>0.72919497072845385</v>
          </cell>
          <cell r="AN168">
            <v>0.72928969326033422</v>
          </cell>
          <cell r="AO168">
            <v>0.72928969326033422</v>
          </cell>
          <cell r="AP168">
            <v>0.75502050535785148</v>
          </cell>
          <cell r="AQ168">
            <v>0.73859564164648916</v>
          </cell>
          <cell r="AR168">
            <v>0.73801845046126158</v>
          </cell>
        </row>
        <row r="169">
          <cell r="D169">
            <v>94</v>
          </cell>
          <cell r="E169">
            <v>0.76928314734253833</v>
          </cell>
          <cell r="F169">
            <v>0.76896455484231097</v>
          </cell>
          <cell r="G169">
            <v>0.77909738717339672</v>
          </cell>
          <cell r="H169">
            <v>0.77848101265822789</v>
          </cell>
          <cell r="O169">
            <v>0.72453274755482466</v>
          </cell>
          <cell r="P169">
            <v>0.72462941847206386</v>
          </cell>
          <cell r="Q169">
            <v>0.72462941847206386</v>
          </cell>
          <cell r="R169">
            <v>0.72432830327567177</v>
          </cell>
          <cell r="S169">
            <v>0.73386902757061057</v>
          </cell>
          <cell r="T169">
            <v>0.73330683624801274</v>
          </cell>
          <cell r="AA169">
            <v>0.72453274755482466</v>
          </cell>
          <cell r="AB169">
            <v>0.72462941847206386</v>
          </cell>
          <cell r="AC169">
            <v>0.76928314734253833</v>
          </cell>
          <cell r="AD169">
            <v>0.76896455484231097</v>
          </cell>
          <cell r="AE169">
            <v>0.77909738717339672</v>
          </cell>
          <cell r="AF169">
            <v>0.77848101265822789</v>
          </cell>
          <cell r="AM169">
            <v>0.72919497072845385</v>
          </cell>
          <cell r="AN169">
            <v>0.72928969326033422</v>
          </cell>
          <cell r="AO169">
            <v>0.72928969326033422</v>
          </cell>
          <cell r="AP169">
            <v>0.75502050535785148</v>
          </cell>
          <cell r="AQ169">
            <v>0.73859564164648916</v>
          </cell>
          <cell r="AR169">
            <v>0.73801845046126158</v>
          </cell>
        </row>
        <row r="170">
          <cell r="D170">
            <v>95</v>
          </cell>
          <cell r="E170">
            <v>1.3076224702099486</v>
          </cell>
          <cell r="F170">
            <v>1.3080472602102526</v>
          </cell>
          <cell r="G170">
            <v>1.2945368171021376</v>
          </cell>
          <cell r="H170">
            <v>1.295358649789029</v>
          </cell>
          <cell r="O170">
            <v>1.3672896699269002</v>
          </cell>
          <cell r="P170">
            <v>1.3671607753705823</v>
          </cell>
          <cell r="Q170">
            <v>1.3671607753705823</v>
          </cell>
          <cell r="R170">
            <v>1.3675622622991039</v>
          </cell>
          <cell r="S170">
            <v>1.3548412965725196</v>
          </cell>
          <cell r="T170">
            <v>1.3555908850026503</v>
          </cell>
          <cell r="AA170">
            <v>1.3672896699269002</v>
          </cell>
          <cell r="AB170">
            <v>1.3671607753705823</v>
          </cell>
          <cell r="AC170">
            <v>1.3076224702099486</v>
          </cell>
          <cell r="AD170">
            <v>1.3080472602102526</v>
          </cell>
          <cell r="AE170">
            <v>1.2945368171021376</v>
          </cell>
          <cell r="AF170">
            <v>1.295358649789029</v>
          </cell>
          <cell r="AM170">
            <v>1.3610733723620612</v>
          </cell>
          <cell r="AN170">
            <v>1.3609470756528876</v>
          </cell>
          <cell r="AO170">
            <v>1.3609470756528876</v>
          </cell>
          <cell r="AP170">
            <v>1.3266393261895317</v>
          </cell>
          <cell r="AQ170">
            <v>1.3485391444713466</v>
          </cell>
          <cell r="AR170">
            <v>1.3493087327183177</v>
          </cell>
        </row>
        <row r="171">
          <cell r="D171">
            <v>96</v>
          </cell>
          <cell r="E171">
            <v>1.3076224702099486</v>
          </cell>
          <cell r="F171">
            <v>1.3080472602102526</v>
          </cell>
          <cell r="G171">
            <v>1.2945368171021376</v>
          </cell>
          <cell r="H171">
            <v>1.295358649789029</v>
          </cell>
          <cell r="O171">
            <v>1.3672896699269002</v>
          </cell>
          <cell r="P171">
            <v>1.3671607753705823</v>
          </cell>
          <cell r="Q171">
            <v>1.3671607753705823</v>
          </cell>
          <cell r="R171">
            <v>1.3675622622991039</v>
          </cell>
          <cell r="S171">
            <v>1.3548412965725196</v>
          </cell>
          <cell r="T171">
            <v>1.3555908850026503</v>
          </cell>
          <cell r="AA171">
            <v>1.3672896699269002</v>
          </cell>
          <cell r="AB171">
            <v>1.3671607753705823</v>
          </cell>
          <cell r="AC171">
            <v>1.3076224702099486</v>
          </cell>
          <cell r="AD171">
            <v>1.3080472602102526</v>
          </cell>
          <cell r="AE171">
            <v>1.2945368171021376</v>
          </cell>
          <cell r="AF171">
            <v>1.295358649789029</v>
          </cell>
          <cell r="AM171">
            <v>1.3610733723620612</v>
          </cell>
          <cell r="AN171">
            <v>1.3609470756528876</v>
          </cell>
          <cell r="AO171">
            <v>1.3609470756528876</v>
          </cell>
          <cell r="AP171">
            <v>1.3266393261895317</v>
          </cell>
          <cell r="AQ171">
            <v>1.3485391444713466</v>
          </cell>
          <cell r="AR171">
            <v>1.3493087327183177</v>
          </cell>
        </row>
        <row r="172">
          <cell r="D172">
            <v>97</v>
          </cell>
          <cell r="E172">
            <v>1.3076224702099486</v>
          </cell>
          <cell r="F172">
            <v>1.3080472602102526</v>
          </cell>
          <cell r="G172">
            <v>1.2945368171021376</v>
          </cell>
          <cell r="H172">
            <v>1.295358649789029</v>
          </cell>
          <cell r="O172">
            <v>1.3672896699269002</v>
          </cell>
          <cell r="P172">
            <v>1.3671607753705823</v>
          </cell>
          <cell r="Q172">
            <v>1.3671607753705823</v>
          </cell>
          <cell r="R172">
            <v>1.3675622622991039</v>
          </cell>
          <cell r="S172">
            <v>1.3548412965725196</v>
          </cell>
          <cell r="T172">
            <v>1.3555908850026503</v>
          </cell>
          <cell r="AA172">
            <v>1.3672896699269002</v>
          </cell>
          <cell r="AB172">
            <v>1.3671607753705823</v>
          </cell>
          <cell r="AC172">
            <v>1.3076224702099486</v>
          </cell>
          <cell r="AD172">
            <v>1.3080472602102526</v>
          </cell>
          <cell r="AE172">
            <v>1.2945368171021376</v>
          </cell>
          <cell r="AF172">
            <v>1.295358649789029</v>
          </cell>
          <cell r="AM172">
            <v>1.3610733723620612</v>
          </cell>
          <cell r="AN172">
            <v>1.3609470756528876</v>
          </cell>
          <cell r="AO172">
            <v>1.3609470756528876</v>
          </cell>
          <cell r="AP172">
            <v>1.3266393261895317</v>
          </cell>
          <cell r="AQ172">
            <v>1.3485391444713466</v>
          </cell>
          <cell r="AR172">
            <v>1.3493087327183177</v>
          </cell>
        </row>
        <row r="173">
          <cell r="D173">
            <v>98</v>
          </cell>
          <cell r="E173">
            <v>1.3076224702099486</v>
          </cell>
          <cell r="F173">
            <v>1.3080472602102526</v>
          </cell>
          <cell r="G173">
            <v>1.2945368171021376</v>
          </cell>
          <cell r="H173">
            <v>1.295358649789029</v>
          </cell>
          <cell r="O173">
            <v>1.3672896699269002</v>
          </cell>
          <cell r="P173">
            <v>1.3671607753705823</v>
          </cell>
          <cell r="Q173">
            <v>1.3671607753705823</v>
          </cell>
          <cell r="R173">
            <v>1.3675622622991039</v>
          </cell>
          <cell r="S173">
            <v>1.3548412965725196</v>
          </cell>
          <cell r="T173">
            <v>1.3555908850026503</v>
          </cell>
          <cell r="AA173">
            <v>1.3672896699269002</v>
          </cell>
          <cell r="AB173">
            <v>1.3671607753705823</v>
          </cell>
          <cell r="AC173">
            <v>1.3076224702099486</v>
          </cell>
          <cell r="AD173">
            <v>1.3080472602102526</v>
          </cell>
          <cell r="AE173">
            <v>1.2945368171021376</v>
          </cell>
          <cell r="AF173">
            <v>1.295358649789029</v>
          </cell>
          <cell r="AM173">
            <v>1.3610733723620612</v>
          </cell>
          <cell r="AN173">
            <v>1.3609470756528876</v>
          </cell>
          <cell r="AO173">
            <v>1.3609470756528876</v>
          </cell>
          <cell r="AP173">
            <v>1.3266393261895317</v>
          </cell>
          <cell r="AQ173">
            <v>1.3485391444713466</v>
          </cell>
          <cell r="AR173">
            <v>1.3493087327183177</v>
          </cell>
        </row>
        <row r="174">
          <cell r="D174">
            <v>99</v>
          </cell>
          <cell r="E174">
            <v>1.3076224702099486</v>
          </cell>
          <cell r="F174">
            <v>1.3080472602102526</v>
          </cell>
          <cell r="G174">
            <v>1.2945368171021376</v>
          </cell>
          <cell r="H174">
            <v>1.295358649789029</v>
          </cell>
          <cell r="O174">
            <v>1.3672896699269002</v>
          </cell>
          <cell r="P174">
            <v>1.3671607753705823</v>
          </cell>
          <cell r="Q174">
            <v>1.3671607753705823</v>
          </cell>
          <cell r="R174">
            <v>1.3675622622991039</v>
          </cell>
          <cell r="S174">
            <v>1.3548412965725196</v>
          </cell>
          <cell r="T174">
            <v>1.3555908850026503</v>
          </cell>
          <cell r="AA174">
            <v>1.3672896699269002</v>
          </cell>
          <cell r="AB174">
            <v>1.3671607753705823</v>
          </cell>
          <cell r="AC174">
            <v>1.3076224702099486</v>
          </cell>
          <cell r="AD174">
            <v>1.3080472602102526</v>
          </cell>
          <cell r="AE174">
            <v>1.2945368171021376</v>
          </cell>
          <cell r="AF174">
            <v>1.295358649789029</v>
          </cell>
          <cell r="AM174">
            <v>1.3610733723620612</v>
          </cell>
          <cell r="AN174">
            <v>1.3609470756528876</v>
          </cell>
          <cell r="AO174">
            <v>1.3609470756528876</v>
          </cell>
          <cell r="AP174">
            <v>1.3266393261895317</v>
          </cell>
          <cell r="AQ174">
            <v>1.3485391444713466</v>
          </cell>
          <cell r="AR174">
            <v>1.3493087327183177</v>
          </cell>
        </row>
        <row r="175">
          <cell r="D175">
            <v>100</v>
          </cell>
          <cell r="E175">
            <v>1.3076224702099486</v>
          </cell>
          <cell r="F175">
            <v>1.3080472602102526</v>
          </cell>
          <cell r="G175">
            <v>1.2945368171021376</v>
          </cell>
          <cell r="H175">
            <v>1.295358649789029</v>
          </cell>
          <cell r="O175">
            <v>1.3672896699269002</v>
          </cell>
          <cell r="P175">
            <v>1.3671607753705823</v>
          </cell>
          <cell r="Q175">
            <v>1.3671607753705823</v>
          </cell>
          <cell r="R175">
            <v>1.3675622622991039</v>
          </cell>
          <cell r="S175">
            <v>1.3548412965725196</v>
          </cell>
          <cell r="T175">
            <v>1.3555908850026503</v>
          </cell>
          <cell r="AA175">
            <v>1.3672896699269002</v>
          </cell>
          <cell r="AB175">
            <v>1.3671607753705823</v>
          </cell>
          <cell r="AC175">
            <v>1.3076224702099486</v>
          </cell>
          <cell r="AD175">
            <v>1.3080472602102526</v>
          </cell>
          <cell r="AE175">
            <v>1.2945368171021376</v>
          </cell>
          <cell r="AF175">
            <v>1.295358649789029</v>
          </cell>
          <cell r="AM175">
            <v>1.3610733723620612</v>
          </cell>
          <cell r="AN175">
            <v>1.3609470756528876</v>
          </cell>
          <cell r="AO175">
            <v>1.3609470756528876</v>
          </cell>
          <cell r="AP175">
            <v>1.3266393261895317</v>
          </cell>
          <cell r="AQ175">
            <v>1.3485391444713466</v>
          </cell>
          <cell r="AR175">
            <v>1.3493087327183177</v>
          </cell>
        </row>
        <row r="176">
          <cell r="D176">
            <v>101</v>
          </cell>
          <cell r="E176">
            <v>1.3076224702099486</v>
          </cell>
          <cell r="F176">
            <v>1.3080472602102526</v>
          </cell>
          <cell r="G176">
            <v>1.2945368171021376</v>
          </cell>
          <cell r="H176">
            <v>1.295358649789029</v>
          </cell>
          <cell r="O176">
            <v>1.3672896699269002</v>
          </cell>
          <cell r="P176">
            <v>1.3671607753705823</v>
          </cell>
          <cell r="Q176">
            <v>1.3671607753705823</v>
          </cell>
          <cell r="R176">
            <v>1.3675622622991039</v>
          </cell>
          <cell r="S176">
            <v>1.3548412965725196</v>
          </cell>
          <cell r="T176">
            <v>1.3555908850026503</v>
          </cell>
          <cell r="AA176">
            <v>1.3672896699269002</v>
          </cell>
          <cell r="AB176">
            <v>1.3671607753705823</v>
          </cell>
          <cell r="AC176">
            <v>1.3076224702099486</v>
          </cell>
          <cell r="AD176">
            <v>1.3080472602102526</v>
          </cell>
          <cell r="AE176">
            <v>1.2945368171021376</v>
          </cell>
          <cell r="AF176">
            <v>1.295358649789029</v>
          </cell>
          <cell r="AM176">
            <v>1.3610733723620612</v>
          </cell>
          <cell r="AN176">
            <v>1.3609470756528876</v>
          </cell>
          <cell r="AO176">
            <v>1.3609470756528876</v>
          </cell>
          <cell r="AP176">
            <v>1.3266393261895317</v>
          </cell>
          <cell r="AQ176">
            <v>1.3485391444713466</v>
          </cell>
          <cell r="AR176">
            <v>1.3493087327183177</v>
          </cell>
        </row>
        <row r="177">
          <cell r="D177">
            <v>102</v>
          </cell>
          <cell r="E177">
            <v>1.3076224702099486</v>
          </cell>
          <cell r="F177">
            <v>1.3080472602102526</v>
          </cell>
          <cell r="G177">
            <v>1.2945368171021376</v>
          </cell>
          <cell r="H177">
            <v>1.295358649789029</v>
          </cell>
          <cell r="O177">
            <v>1.3672896699269002</v>
          </cell>
          <cell r="P177">
            <v>1.3671607753705823</v>
          </cell>
          <cell r="Q177">
            <v>1.3671607753705823</v>
          </cell>
          <cell r="R177">
            <v>1.3675622622991039</v>
          </cell>
          <cell r="S177">
            <v>1.3548412965725196</v>
          </cell>
          <cell r="T177">
            <v>1.3555908850026503</v>
          </cell>
          <cell r="AA177">
            <v>1.3672896699269002</v>
          </cell>
          <cell r="AB177">
            <v>1.3671607753705823</v>
          </cell>
          <cell r="AC177">
            <v>1.3076224702099486</v>
          </cell>
          <cell r="AD177">
            <v>1.3080472602102526</v>
          </cell>
          <cell r="AE177">
            <v>1.2945368171021376</v>
          </cell>
          <cell r="AF177">
            <v>1.295358649789029</v>
          </cell>
          <cell r="AM177">
            <v>1.3610733723620612</v>
          </cell>
          <cell r="AN177">
            <v>1.3609470756528876</v>
          </cell>
          <cell r="AO177">
            <v>1.3609470756528876</v>
          </cell>
          <cell r="AP177">
            <v>1.3266393261895317</v>
          </cell>
          <cell r="AQ177">
            <v>1.3485391444713466</v>
          </cell>
          <cell r="AR177">
            <v>1.3493087327183177</v>
          </cell>
        </row>
        <row r="178">
          <cell r="D178">
            <v>103</v>
          </cell>
          <cell r="E178">
            <v>0.76928314734253833</v>
          </cell>
          <cell r="F178">
            <v>0.76896455484231097</v>
          </cell>
          <cell r="G178">
            <v>0.77909738717339672</v>
          </cell>
          <cell r="H178">
            <v>0.77848101265822789</v>
          </cell>
          <cell r="O178">
            <v>0.72453274755482466</v>
          </cell>
          <cell r="P178">
            <v>0.72462941847206386</v>
          </cell>
          <cell r="Q178">
            <v>0.72462941847206386</v>
          </cell>
          <cell r="R178">
            <v>0.72432830327567177</v>
          </cell>
          <cell r="S178">
            <v>0.73386902757061057</v>
          </cell>
          <cell r="T178">
            <v>0.73330683624801274</v>
          </cell>
          <cell r="AA178">
            <v>0.72453274755482466</v>
          </cell>
          <cell r="AB178">
            <v>0.72462941847206386</v>
          </cell>
          <cell r="AC178">
            <v>0.76928314734253833</v>
          </cell>
          <cell r="AD178">
            <v>0.76896455484231097</v>
          </cell>
          <cell r="AE178">
            <v>0.77909738717339672</v>
          </cell>
          <cell r="AF178">
            <v>0.77848101265822789</v>
          </cell>
          <cell r="AM178">
            <v>0.72919497072845385</v>
          </cell>
          <cell r="AN178">
            <v>0.72928969326033422</v>
          </cell>
          <cell r="AO178">
            <v>0.72928969326033422</v>
          </cell>
          <cell r="AP178">
            <v>0.75502050535785148</v>
          </cell>
          <cell r="AQ178">
            <v>0.73859564164648916</v>
          </cell>
          <cell r="AR178">
            <v>0.73801845046126158</v>
          </cell>
        </row>
        <row r="179">
          <cell r="D179">
            <v>104</v>
          </cell>
          <cell r="E179">
            <v>0.76928314734253833</v>
          </cell>
          <cell r="F179">
            <v>0.76896455484231097</v>
          </cell>
          <cell r="G179">
            <v>0.77909738717339672</v>
          </cell>
          <cell r="H179">
            <v>0.77848101265822789</v>
          </cell>
          <cell r="O179">
            <v>0.72453274755482466</v>
          </cell>
          <cell r="P179">
            <v>0.72462941847206386</v>
          </cell>
          <cell r="Q179">
            <v>0.72462941847206386</v>
          </cell>
          <cell r="R179">
            <v>0.72432830327567177</v>
          </cell>
          <cell r="S179">
            <v>0.73386902757061057</v>
          </cell>
          <cell r="T179">
            <v>0.73330683624801274</v>
          </cell>
          <cell r="AA179">
            <v>0.72453274755482466</v>
          </cell>
          <cell r="AB179">
            <v>0.72462941847206386</v>
          </cell>
          <cell r="AC179">
            <v>0.76928314734253833</v>
          </cell>
          <cell r="AD179">
            <v>0.76896455484231097</v>
          </cell>
          <cell r="AE179">
            <v>0.77909738717339672</v>
          </cell>
          <cell r="AF179">
            <v>0.77848101265822789</v>
          </cell>
          <cell r="AM179">
            <v>0.72919497072845385</v>
          </cell>
          <cell r="AN179">
            <v>0.72928969326033422</v>
          </cell>
          <cell r="AO179">
            <v>0.72928969326033422</v>
          </cell>
          <cell r="AP179">
            <v>0.75502050535785148</v>
          </cell>
          <cell r="AQ179">
            <v>0.73859564164648916</v>
          </cell>
          <cell r="AR179">
            <v>0.73801845046126158</v>
          </cell>
        </row>
        <row r="180">
          <cell r="D180">
            <v>105</v>
          </cell>
          <cell r="E180">
            <v>0.76928314734253833</v>
          </cell>
          <cell r="F180">
            <v>0.76896455484231097</v>
          </cell>
          <cell r="G180">
            <v>0.77909738717339672</v>
          </cell>
          <cell r="H180">
            <v>0.77848101265822789</v>
          </cell>
          <cell r="O180">
            <v>0.72453274755482466</v>
          </cell>
          <cell r="P180">
            <v>0.72462941847206386</v>
          </cell>
          <cell r="Q180">
            <v>0.72462941847206386</v>
          </cell>
          <cell r="R180">
            <v>0.72432830327567177</v>
          </cell>
          <cell r="S180">
            <v>0.73386902757061057</v>
          </cell>
          <cell r="T180">
            <v>0.73330683624801274</v>
          </cell>
          <cell r="AA180">
            <v>0.72453274755482466</v>
          </cell>
          <cell r="AB180">
            <v>0.72462941847206386</v>
          </cell>
          <cell r="AC180">
            <v>0.76928314734253833</v>
          </cell>
          <cell r="AD180">
            <v>0.76896455484231097</v>
          </cell>
          <cell r="AE180">
            <v>0.77909738717339672</v>
          </cell>
          <cell r="AF180">
            <v>0.77848101265822789</v>
          </cell>
          <cell r="AM180">
            <v>0.72919497072845385</v>
          </cell>
          <cell r="AN180">
            <v>0.72928969326033422</v>
          </cell>
          <cell r="AO180">
            <v>0.72928969326033422</v>
          </cell>
          <cell r="AP180">
            <v>0.75502050535785148</v>
          </cell>
          <cell r="AQ180">
            <v>0.73859564164648916</v>
          </cell>
          <cell r="AR180">
            <v>0.73801845046126158</v>
          </cell>
        </row>
        <row r="181">
          <cell r="D181">
            <v>106</v>
          </cell>
          <cell r="E181">
            <v>0.76928314734253833</v>
          </cell>
          <cell r="F181">
            <v>0.76896455484231097</v>
          </cell>
          <cell r="G181">
            <v>0.77909738717339672</v>
          </cell>
          <cell r="H181">
            <v>0.77848101265822789</v>
          </cell>
          <cell r="O181">
            <v>0.72453274755482466</v>
          </cell>
          <cell r="P181">
            <v>0.72462941847206386</v>
          </cell>
          <cell r="Q181">
            <v>0.72462941847206386</v>
          </cell>
          <cell r="R181">
            <v>0.72432830327567177</v>
          </cell>
          <cell r="S181">
            <v>0.73386902757061057</v>
          </cell>
          <cell r="T181">
            <v>0.73330683624801274</v>
          </cell>
          <cell r="AA181">
            <v>0.72453274755482466</v>
          </cell>
          <cell r="AB181">
            <v>0.72462941847206386</v>
          </cell>
          <cell r="AC181">
            <v>0.76928314734253833</v>
          </cell>
          <cell r="AD181">
            <v>0.76896455484231097</v>
          </cell>
          <cell r="AE181">
            <v>0.77909738717339672</v>
          </cell>
          <cell r="AF181">
            <v>0.77848101265822789</v>
          </cell>
          <cell r="AM181">
            <v>0.72919497072845385</v>
          </cell>
          <cell r="AN181">
            <v>0.72928969326033422</v>
          </cell>
          <cell r="AO181">
            <v>0.72928969326033422</v>
          </cell>
          <cell r="AP181">
            <v>0.75502050535785148</v>
          </cell>
          <cell r="AQ181">
            <v>0.73859564164648916</v>
          </cell>
          <cell r="AR181">
            <v>0.73801845046126158</v>
          </cell>
        </row>
        <row r="182">
          <cell r="D182">
            <v>107</v>
          </cell>
          <cell r="E182">
            <v>0.76928314734253833</v>
          </cell>
          <cell r="F182">
            <v>0.76896455484231097</v>
          </cell>
          <cell r="G182">
            <v>0.77909738717339672</v>
          </cell>
          <cell r="H182">
            <v>0.77848101265822789</v>
          </cell>
          <cell r="O182">
            <v>0.72453274755482466</v>
          </cell>
          <cell r="P182">
            <v>0.72462941847206386</v>
          </cell>
          <cell r="Q182">
            <v>0.72462941847206386</v>
          </cell>
          <cell r="R182">
            <v>0.72432830327567177</v>
          </cell>
          <cell r="S182">
            <v>0.73386902757061057</v>
          </cell>
          <cell r="T182">
            <v>0.73330683624801274</v>
          </cell>
          <cell r="AA182">
            <v>0.72453274755482466</v>
          </cell>
          <cell r="AB182">
            <v>0.72462941847206386</v>
          </cell>
          <cell r="AC182">
            <v>0.76928314734253833</v>
          </cell>
          <cell r="AD182">
            <v>0.76896455484231097</v>
          </cell>
          <cell r="AE182">
            <v>0.77909738717339672</v>
          </cell>
          <cell r="AF182">
            <v>0.77848101265822789</v>
          </cell>
          <cell r="AM182">
            <v>0.72919497072845385</v>
          </cell>
          <cell r="AN182">
            <v>0.72928969326033422</v>
          </cell>
          <cell r="AO182">
            <v>0.72928969326033422</v>
          </cell>
          <cell r="AP182">
            <v>0.75502050535785148</v>
          </cell>
          <cell r="AQ182">
            <v>0.73859564164648916</v>
          </cell>
          <cell r="AR182">
            <v>0.73801845046126158</v>
          </cell>
        </row>
        <row r="183">
          <cell r="D183">
            <v>108</v>
          </cell>
          <cell r="E183">
            <v>0.76928314734253833</v>
          </cell>
          <cell r="F183">
            <v>0.76896455484231097</v>
          </cell>
          <cell r="G183">
            <v>0.77909738717339672</v>
          </cell>
          <cell r="H183">
            <v>0.77848101265822789</v>
          </cell>
          <cell r="O183">
            <v>0.72453274755482466</v>
          </cell>
          <cell r="P183">
            <v>0.72462941847206386</v>
          </cell>
          <cell r="Q183">
            <v>0.72462941847206386</v>
          </cell>
          <cell r="R183">
            <v>0.72432830327567177</v>
          </cell>
          <cell r="S183">
            <v>0.73386902757061057</v>
          </cell>
          <cell r="T183">
            <v>0.73330683624801274</v>
          </cell>
          <cell r="AA183">
            <v>0.72453274755482466</v>
          </cell>
          <cell r="AB183">
            <v>0.72462941847206386</v>
          </cell>
          <cell r="AC183">
            <v>0.76928314734253833</v>
          </cell>
          <cell r="AD183">
            <v>0.76896455484231097</v>
          </cell>
          <cell r="AE183">
            <v>0.77909738717339672</v>
          </cell>
          <cell r="AF183">
            <v>0.77848101265822789</v>
          </cell>
          <cell r="AM183">
            <v>0.72919497072845385</v>
          </cell>
          <cell r="AN183">
            <v>0.72928969326033422</v>
          </cell>
          <cell r="AO183">
            <v>0.72928969326033422</v>
          </cell>
          <cell r="AP183">
            <v>0.75502050535785148</v>
          </cell>
          <cell r="AQ183">
            <v>0.73859564164648916</v>
          </cell>
          <cell r="AR183">
            <v>0.73801845046126158</v>
          </cell>
        </row>
        <row r="184">
          <cell r="D184">
            <v>109</v>
          </cell>
          <cell r="E184">
            <v>0.76928314734253833</v>
          </cell>
          <cell r="F184">
            <v>0.76896455484231097</v>
          </cell>
          <cell r="G184">
            <v>0.77909738717339672</v>
          </cell>
          <cell r="H184">
            <v>0.77848101265822789</v>
          </cell>
          <cell r="O184">
            <v>0.72453274755482466</v>
          </cell>
          <cell r="P184">
            <v>0.72462941847206386</v>
          </cell>
          <cell r="Q184">
            <v>0.72462941847206386</v>
          </cell>
          <cell r="R184">
            <v>0.72432830327567177</v>
          </cell>
          <cell r="S184">
            <v>0.73386902757061057</v>
          </cell>
          <cell r="T184">
            <v>0.73330683624801274</v>
          </cell>
          <cell r="AA184">
            <v>0.72453274755482466</v>
          </cell>
          <cell r="AB184">
            <v>0.72462941847206386</v>
          </cell>
          <cell r="AC184">
            <v>0.76928314734253833</v>
          </cell>
          <cell r="AD184">
            <v>0.76896455484231097</v>
          </cell>
          <cell r="AE184">
            <v>0.77909738717339672</v>
          </cell>
          <cell r="AF184">
            <v>0.77848101265822789</v>
          </cell>
          <cell r="AM184">
            <v>0.72919497072845385</v>
          </cell>
          <cell r="AN184">
            <v>0.72928969326033422</v>
          </cell>
          <cell r="AO184">
            <v>0.72928969326033422</v>
          </cell>
          <cell r="AP184">
            <v>0.75502050535785148</v>
          </cell>
          <cell r="AQ184">
            <v>0.73859564164648916</v>
          </cell>
          <cell r="AR184">
            <v>0.73801845046126158</v>
          </cell>
        </row>
        <row r="185">
          <cell r="D185">
            <v>110</v>
          </cell>
          <cell r="E185">
            <v>0.76928314734253833</v>
          </cell>
          <cell r="F185">
            <v>0.76896455484231097</v>
          </cell>
          <cell r="G185">
            <v>0.77909738717339672</v>
          </cell>
          <cell r="H185">
            <v>0.77848101265822789</v>
          </cell>
          <cell r="O185">
            <v>0.72453274755482466</v>
          </cell>
          <cell r="P185">
            <v>0.72462941847206386</v>
          </cell>
          <cell r="Q185">
            <v>0.72462941847206386</v>
          </cell>
          <cell r="R185">
            <v>0.72432830327567177</v>
          </cell>
          <cell r="S185">
            <v>0.73386902757061057</v>
          </cell>
          <cell r="T185">
            <v>0.73330683624801274</v>
          </cell>
          <cell r="AA185">
            <v>0.72453274755482466</v>
          </cell>
          <cell r="AB185">
            <v>0.72462941847206386</v>
          </cell>
          <cell r="AC185">
            <v>0.76928314734253833</v>
          </cell>
          <cell r="AD185">
            <v>0.76896455484231097</v>
          </cell>
          <cell r="AE185">
            <v>0.77909738717339672</v>
          </cell>
          <cell r="AF185">
            <v>0.77848101265822789</v>
          </cell>
          <cell r="AM185">
            <v>0.72919497072845385</v>
          </cell>
          <cell r="AN185">
            <v>0.72928969326033422</v>
          </cell>
          <cell r="AO185">
            <v>0.72928969326033422</v>
          </cell>
          <cell r="AP185">
            <v>0.75502050535785148</v>
          </cell>
          <cell r="AQ185">
            <v>0.73859564164648916</v>
          </cell>
          <cell r="AR185">
            <v>0.73801845046126158</v>
          </cell>
        </row>
        <row r="186">
          <cell r="D186">
            <v>111</v>
          </cell>
          <cell r="E186">
            <v>0.76928314734253833</v>
          </cell>
          <cell r="F186">
            <v>0.76896455484231097</v>
          </cell>
          <cell r="G186">
            <v>0.77909738717339672</v>
          </cell>
          <cell r="H186">
            <v>0.77848101265822789</v>
          </cell>
          <cell r="O186">
            <v>0.72453274755482466</v>
          </cell>
          <cell r="P186">
            <v>0.72462941847206386</v>
          </cell>
          <cell r="Q186">
            <v>0.72462941847206386</v>
          </cell>
          <cell r="R186">
            <v>0.72432830327567177</v>
          </cell>
          <cell r="S186">
            <v>0.73386902757061057</v>
          </cell>
          <cell r="T186">
            <v>0.73330683624801274</v>
          </cell>
          <cell r="AA186">
            <v>0.72453274755482466</v>
          </cell>
          <cell r="AB186">
            <v>0.72462941847206386</v>
          </cell>
          <cell r="AC186">
            <v>0.76928314734253833</v>
          </cell>
          <cell r="AD186">
            <v>0.76896455484231097</v>
          </cell>
          <cell r="AE186">
            <v>0.77909738717339672</v>
          </cell>
          <cell r="AF186">
            <v>0.77848101265822789</v>
          </cell>
          <cell r="AM186">
            <v>0.72919497072845385</v>
          </cell>
          <cell r="AN186">
            <v>0.72928969326033422</v>
          </cell>
          <cell r="AO186">
            <v>0.72928969326033422</v>
          </cell>
          <cell r="AP186">
            <v>0.75502050535785148</v>
          </cell>
          <cell r="AQ186">
            <v>0.73859564164648916</v>
          </cell>
          <cell r="AR186">
            <v>0.73801845046126158</v>
          </cell>
        </row>
        <row r="187">
          <cell r="D187">
            <v>112</v>
          </cell>
          <cell r="E187">
            <v>0.76928314734253833</v>
          </cell>
          <cell r="F187">
            <v>0.76896455484231097</v>
          </cell>
          <cell r="G187">
            <v>0.77909738717339672</v>
          </cell>
          <cell r="H187">
            <v>0.77848101265822789</v>
          </cell>
          <cell r="O187">
            <v>0.72453274755482466</v>
          </cell>
          <cell r="P187">
            <v>0.72462941847206386</v>
          </cell>
          <cell r="Q187">
            <v>0.72462941847206386</v>
          </cell>
          <cell r="R187">
            <v>0.72432830327567177</v>
          </cell>
          <cell r="S187">
            <v>0.73386902757061057</v>
          </cell>
          <cell r="T187">
            <v>0.73330683624801274</v>
          </cell>
          <cell r="AA187">
            <v>0.72453274755482466</v>
          </cell>
          <cell r="AB187">
            <v>0.72462941847206386</v>
          </cell>
          <cell r="AC187">
            <v>0.76928314734253833</v>
          </cell>
          <cell r="AD187">
            <v>0.76896455484231097</v>
          </cell>
          <cell r="AE187">
            <v>0.77909738717339672</v>
          </cell>
          <cell r="AF187">
            <v>0.77848101265822789</v>
          </cell>
          <cell r="AM187">
            <v>0.72919497072845385</v>
          </cell>
          <cell r="AN187">
            <v>0.72928969326033422</v>
          </cell>
          <cell r="AO187">
            <v>0.72928969326033422</v>
          </cell>
          <cell r="AP187">
            <v>0.75502050535785148</v>
          </cell>
          <cell r="AQ187">
            <v>0.73859564164648916</v>
          </cell>
          <cell r="AR187">
            <v>0.73801845046126158</v>
          </cell>
        </row>
        <row r="188">
          <cell r="D188">
            <v>113</v>
          </cell>
          <cell r="E188">
            <v>0.76928314734253833</v>
          </cell>
          <cell r="F188">
            <v>0.76896455484231097</v>
          </cell>
          <cell r="G188">
            <v>0.77909738717339672</v>
          </cell>
          <cell r="H188">
            <v>0.77848101265822789</v>
          </cell>
          <cell r="O188">
            <v>0.72453274755482466</v>
          </cell>
          <cell r="P188">
            <v>0.72462941847206386</v>
          </cell>
          <cell r="Q188">
            <v>0.72462941847206386</v>
          </cell>
          <cell r="R188">
            <v>0.72432830327567177</v>
          </cell>
          <cell r="S188">
            <v>0.73386902757061057</v>
          </cell>
          <cell r="T188">
            <v>0.73330683624801274</v>
          </cell>
          <cell r="AA188">
            <v>0.72453274755482466</v>
          </cell>
          <cell r="AB188">
            <v>0.72462941847206386</v>
          </cell>
          <cell r="AC188">
            <v>0.76928314734253833</v>
          </cell>
          <cell r="AD188">
            <v>0.76896455484231097</v>
          </cell>
          <cell r="AE188">
            <v>0.77909738717339672</v>
          </cell>
          <cell r="AF188">
            <v>0.77848101265822789</v>
          </cell>
          <cell r="AM188">
            <v>0.72919497072845385</v>
          </cell>
          <cell r="AN188">
            <v>0.72928969326033422</v>
          </cell>
          <cell r="AO188">
            <v>0.72928969326033422</v>
          </cell>
          <cell r="AP188">
            <v>0.75502050535785148</v>
          </cell>
          <cell r="AQ188">
            <v>0.73859564164648916</v>
          </cell>
          <cell r="AR188">
            <v>0.73801845046126158</v>
          </cell>
        </row>
        <row r="189">
          <cell r="D189">
            <v>114</v>
          </cell>
          <cell r="E189">
            <v>0.76928314734253833</v>
          </cell>
          <cell r="F189">
            <v>0.76896455484231097</v>
          </cell>
          <cell r="G189">
            <v>0.77909738717339672</v>
          </cell>
          <cell r="H189">
            <v>0.77848101265822789</v>
          </cell>
          <cell r="O189">
            <v>0.72453274755482466</v>
          </cell>
          <cell r="P189">
            <v>0.72462941847206386</v>
          </cell>
          <cell r="Q189">
            <v>0.72462941847206386</v>
          </cell>
          <cell r="R189">
            <v>0.72432830327567177</v>
          </cell>
          <cell r="S189">
            <v>0.73386902757061057</v>
          </cell>
          <cell r="T189">
            <v>0.73330683624801274</v>
          </cell>
          <cell r="AA189">
            <v>0.72453274755482466</v>
          </cell>
          <cell r="AB189">
            <v>0.72462941847206386</v>
          </cell>
          <cell r="AC189">
            <v>0.76928314734253833</v>
          </cell>
          <cell r="AD189">
            <v>0.76896455484231097</v>
          </cell>
          <cell r="AE189">
            <v>0.77909738717339672</v>
          </cell>
          <cell r="AF189">
            <v>0.77848101265822789</v>
          </cell>
          <cell r="AM189">
            <v>0.72919497072845385</v>
          </cell>
          <cell r="AN189">
            <v>0.72928969326033422</v>
          </cell>
          <cell r="AO189">
            <v>0.72928969326033422</v>
          </cell>
          <cell r="AP189">
            <v>0.75502050535785148</v>
          </cell>
          <cell r="AQ189">
            <v>0.73859564164648916</v>
          </cell>
          <cell r="AR189">
            <v>0.73801845046126158</v>
          </cell>
        </row>
        <row r="190">
          <cell r="D190">
            <v>115</v>
          </cell>
          <cell r="E190">
            <v>0.76928314734253833</v>
          </cell>
          <cell r="F190">
            <v>0.76896455484231097</v>
          </cell>
          <cell r="G190">
            <v>0.77909738717339672</v>
          </cell>
          <cell r="H190">
            <v>0.77848101265822789</v>
          </cell>
          <cell r="O190">
            <v>0.72453274755482466</v>
          </cell>
          <cell r="P190">
            <v>0.72462941847206386</v>
          </cell>
          <cell r="Q190">
            <v>0.72462941847206386</v>
          </cell>
          <cell r="R190">
            <v>0.72432830327567177</v>
          </cell>
          <cell r="S190">
            <v>0.73386902757061057</v>
          </cell>
          <cell r="T190">
            <v>0.73330683624801274</v>
          </cell>
          <cell r="AA190">
            <v>0.72453274755482466</v>
          </cell>
          <cell r="AB190">
            <v>0.72462941847206386</v>
          </cell>
          <cell r="AC190">
            <v>0.76928314734253833</v>
          </cell>
          <cell r="AD190">
            <v>0.76896455484231097</v>
          </cell>
          <cell r="AE190">
            <v>0.77909738717339672</v>
          </cell>
          <cell r="AF190">
            <v>0.77848101265822789</v>
          </cell>
          <cell r="AM190">
            <v>0.72919497072845385</v>
          </cell>
          <cell r="AN190">
            <v>0.72928969326033422</v>
          </cell>
          <cell r="AO190">
            <v>0.72928969326033422</v>
          </cell>
          <cell r="AP190">
            <v>0.75502050535785148</v>
          </cell>
          <cell r="AQ190">
            <v>0.73859564164648916</v>
          </cell>
          <cell r="AR190">
            <v>0.73801845046126158</v>
          </cell>
        </row>
        <row r="191">
          <cell r="D191">
            <v>116</v>
          </cell>
          <cell r="E191">
            <v>0.76928314734253833</v>
          </cell>
          <cell r="F191">
            <v>0.76896455484231097</v>
          </cell>
          <cell r="G191">
            <v>0.77909738717339672</v>
          </cell>
          <cell r="H191">
            <v>0.77848101265822789</v>
          </cell>
          <cell r="O191">
            <v>0.72453274755482466</v>
          </cell>
          <cell r="P191">
            <v>0.72462941847206386</v>
          </cell>
          <cell r="Q191">
            <v>0.72462941847206386</v>
          </cell>
          <cell r="R191">
            <v>0.72432830327567177</v>
          </cell>
          <cell r="S191">
            <v>0.73386902757061057</v>
          </cell>
          <cell r="T191">
            <v>0.73330683624801274</v>
          </cell>
          <cell r="AA191">
            <v>0.72453274755482466</v>
          </cell>
          <cell r="AB191">
            <v>0.72462941847206386</v>
          </cell>
          <cell r="AC191">
            <v>0.76928314734253833</v>
          </cell>
          <cell r="AD191">
            <v>0.76896455484231097</v>
          </cell>
          <cell r="AE191">
            <v>0.77909738717339672</v>
          </cell>
          <cell r="AF191">
            <v>0.77848101265822789</v>
          </cell>
          <cell r="AM191">
            <v>0.72919497072845385</v>
          </cell>
          <cell r="AN191">
            <v>0.72928969326033422</v>
          </cell>
          <cell r="AO191">
            <v>0.72928969326033422</v>
          </cell>
          <cell r="AP191">
            <v>0.75502050535785148</v>
          </cell>
          <cell r="AQ191">
            <v>0.73859564164648916</v>
          </cell>
          <cell r="AR191">
            <v>0.73801845046126158</v>
          </cell>
        </row>
        <row r="192">
          <cell r="D192">
            <v>117</v>
          </cell>
          <cell r="E192">
            <v>0.76928314734253833</v>
          </cell>
          <cell r="F192">
            <v>0.76896455484231097</v>
          </cell>
          <cell r="G192">
            <v>0.77909738717339672</v>
          </cell>
          <cell r="H192">
            <v>0.77848101265822789</v>
          </cell>
          <cell r="O192">
            <v>0.72453274755482466</v>
          </cell>
          <cell r="P192">
            <v>0.72462941847206386</v>
          </cell>
          <cell r="Q192">
            <v>0.72462941847206386</v>
          </cell>
          <cell r="R192">
            <v>0.72432830327567177</v>
          </cell>
          <cell r="S192">
            <v>0.73386902757061057</v>
          </cell>
          <cell r="T192">
            <v>0.73330683624801274</v>
          </cell>
          <cell r="AA192">
            <v>0.72453274755482466</v>
          </cell>
          <cell r="AB192">
            <v>0.72462941847206386</v>
          </cell>
          <cell r="AC192">
            <v>0.76928314734253833</v>
          </cell>
          <cell r="AD192">
            <v>0.76896455484231097</v>
          </cell>
          <cell r="AE192">
            <v>0.77909738717339672</v>
          </cell>
          <cell r="AF192">
            <v>0.77848101265822789</v>
          </cell>
          <cell r="AM192">
            <v>0.72919497072845385</v>
          </cell>
          <cell r="AN192">
            <v>0.72928969326033422</v>
          </cell>
          <cell r="AO192">
            <v>0.72928969326033422</v>
          </cell>
          <cell r="AP192">
            <v>0.75502050535785148</v>
          </cell>
          <cell r="AQ192">
            <v>0.73859564164648916</v>
          </cell>
          <cell r="AR192">
            <v>0.73801845046126158</v>
          </cell>
        </row>
        <row r="193">
          <cell r="D193">
            <v>118</v>
          </cell>
          <cell r="E193">
            <v>0.76928314734253833</v>
          </cell>
          <cell r="F193">
            <v>0.76896455484231097</v>
          </cell>
          <cell r="G193">
            <v>0.77909738717339672</v>
          </cell>
          <cell r="H193">
            <v>0.77848101265822789</v>
          </cell>
          <cell r="O193">
            <v>0.72453274755482466</v>
          </cell>
          <cell r="P193">
            <v>0.72462941847206386</v>
          </cell>
          <cell r="Q193">
            <v>0.72462941847206386</v>
          </cell>
          <cell r="R193">
            <v>0.72432830327567177</v>
          </cell>
          <cell r="S193">
            <v>0.73386902757061057</v>
          </cell>
          <cell r="T193">
            <v>0.73330683624801274</v>
          </cell>
          <cell r="AA193">
            <v>0.72453274755482466</v>
          </cell>
          <cell r="AB193">
            <v>0.72462941847206386</v>
          </cell>
          <cell r="AC193">
            <v>0.76928314734253833</v>
          </cell>
          <cell r="AD193">
            <v>0.76896455484231097</v>
          </cell>
          <cell r="AE193">
            <v>0.77909738717339672</v>
          </cell>
          <cell r="AF193">
            <v>0.77848101265822789</v>
          </cell>
          <cell r="AM193">
            <v>0.72919497072845385</v>
          </cell>
          <cell r="AN193">
            <v>0.72928969326033422</v>
          </cell>
          <cell r="AO193">
            <v>0.72928969326033422</v>
          </cell>
          <cell r="AP193">
            <v>0.75502050535785148</v>
          </cell>
          <cell r="AQ193">
            <v>0.73859564164648916</v>
          </cell>
          <cell r="AR193">
            <v>0.73801845046126158</v>
          </cell>
        </row>
        <row r="194">
          <cell r="D194">
            <v>119</v>
          </cell>
          <cell r="E194">
            <v>1.3076224702099486</v>
          </cell>
          <cell r="F194">
            <v>1.3080472602102526</v>
          </cell>
          <cell r="G194">
            <v>1.2945368171021376</v>
          </cell>
          <cell r="H194">
            <v>1.295358649789029</v>
          </cell>
          <cell r="O194">
            <v>1.3672896699269002</v>
          </cell>
          <cell r="P194">
            <v>1.3671607753705823</v>
          </cell>
          <cell r="Q194">
            <v>1.3671607753705823</v>
          </cell>
          <cell r="R194">
            <v>1.3675622622991039</v>
          </cell>
          <cell r="S194">
            <v>1.3548412965725196</v>
          </cell>
          <cell r="T194">
            <v>1.3555908850026503</v>
          </cell>
          <cell r="AA194">
            <v>1.3672896699269002</v>
          </cell>
          <cell r="AB194">
            <v>1.3671607753705823</v>
          </cell>
          <cell r="AC194">
            <v>1.3076224702099486</v>
          </cell>
          <cell r="AD194">
            <v>1.3080472602102526</v>
          </cell>
          <cell r="AE194">
            <v>1.2945368171021376</v>
          </cell>
          <cell r="AF194">
            <v>1.295358649789029</v>
          </cell>
          <cell r="AM194">
            <v>1.3610733723620612</v>
          </cell>
          <cell r="AN194">
            <v>1.3609470756528876</v>
          </cell>
          <cell r="AO194">
            <v>1.3609470756528876</v>
          </cell>
          <cell r="AP194">
            <v>1.3266393261895317</v>
          </cell>
          <cell r="AQ194">
            <v>1.3485391444713466</v>
          </cell>
          <cell r="AR194">
            <v>1.3493087327183177</v>
          </cell>
        </row>
        <row r="195">
          <cell r="D195">
            <v>120</v>
          </cell>
          <cell r="E195">
            <v>1.3076224702099486</v>
          </cell>
          <cell r="F195">
            <v>1.3080472602102526</v>
          </cell>
          <cell r="G195">
            <v>1.2945368171021376</v>
          </cell>
          <cell r="H195">
            <v>1.295358649789029</v>
          </cell>
          <cell r="O195">
            <v>1.3672896699269002</v>
          </cell>
          <cell r="P195">
            <v>1.3671607753705823</v>
          </cell>
          <cell r="Q195">
            <v>1.3671607753705823</v>
          </cell>
          <cell r="R195">
            <v>1.3675622622991039</v>
          </cell>
          <cell r="S195">
            <v>1.3548412965725196</v>
          </cell>
          <cell r="T195">
            <v>1.3555908850026503</v>
          </cell>
          <cell r="AA195">
            <v>1.3672896699269002</v>
          </cell>
          <cell r="AB195">
            <v>1.3671607753705823</v>
          </cell>
          <cell r="AC195">
            <v>1.3076224702099486</v>
          </cell>
          <cell r="AD195">
            <v>1.3080472602102526</v>
          </cell>
          <cell r="AE195">
            <v>1.2945368171021376</v>
          </cell>
          <cell r="AF195">
            <v>1.295358649789029</v>
          </cell>
          <cell r="AM195">
            <v>1.3610733723620612</v>
          </cell>
          <cell r="AN195">
            <v>1.3609470756528876</v>
          </cell>
          <cell r="AO195">
            <v>1.3609470756528876</v>
          </cell>
          <cell r="AP195">
            <v>1.3266393261895317</v>
          </cell>
          <cell r="AQ195">
            <v>1.3485391444713466</v>
          </cell>
          <cell r="AR195">
            <v>1.3493087327183177</v>
          </cell>
        </row>
        <row r="196">
          <cell r="D196">
            <v>121</v>
          </cell>
          <cell r="E196">
            <v>1.3076224702099486</v>
          </cell>
          <cell r="F196">
            <v>1.3080472602102526</v>
          </cell>
          <cell r="G196">
            <v>1.2945368171021376</v>
          </cell>
          <cell r="H196">
            <v>1.295358649789029</v>
          </cell>
          <cell r="O196">
            <v>1.3672896699269002</v>
          </cell>
          <cell r="P196">
            <v>1.3671607753705823</v>
          </cell>
          <cell r="Q196">
            <v>1.3671607753705823</v>
          </cell>
          <cell r="R196">
            <v>1.3675622622991039</v>
          </cell>
          <cell r="S196">
            <v>1.3548412965725196</v>
          </cell>
          <cell r="T196">
            <v>1.3555908850026503</v>
          </cell>
          <cell r="AA196">
            <v>1.3672896699269002</v>
          </cell>
          <cell r="AB196">
            <v>1.3671607753705823</v>
          </cell>
          <cell r="AC196">
            <v>1.3076224702099486</v>
          </cell>
          <cell r="AD196">
            <v>1.3080472602102526</v>
          </cell>
          <cell r="AE196">
            <v>1.2945368171021376</v>
          </cell>
          <cell r="AF196">
            <v>1.295358649789029</v>
          </cell>
          <cell r="AM196">
            <v>1.3610733723620612</v>
          </cell>
          <cell r="AN196">
            <v>1.3609470756528876</v>
          </cell>
          <cell r="AO196">
            <v>1.3609470756528876</v>
          </cell>
          <cell r="AP196">
            <v>1.3266393261895317</v>
          </cell>
          <cell r="AQ196">
            <v>1.3485391444713466</v>
          </cell>
          <cell r="AR196">
            <v>1.3493087327183177</v>
          </cell>
        </row>
        <row r="197">
          <cell r="D197">
            <v>122</v>
          </cell>
          <cell r="E197">
            <v>1.3076224702099486</v>
          </cell>
          <cell r="F197">
            <v>1.3080472602102526</v>
          </cell>
          <cell r="G197">
            <v>1.2945368171021376</v>
          </cell>
          <cell r="H197">
            <v>1.295358649789029</v>
          </cell>
          <cell r="O197">
            <v>1.3672896699269002</v>
          </cell>
          <cell r="P197">
            <v>1.3671607753705823</v>
          </cell>
          <cell r="Q197">
            <v>1.3671607753705823</v>
          </cell>
          <cell r="R197">
            <v>1.3675622622991039</v>
          </cell>
          <cell r="S197">
            <v>1.3548412965725196</v>
          </cell>
          <cell r="T197">
            <v>1.3555908850026503</v>
          </cell>
          <cell r="AA197">
            <v>1.3672896699269002</v>
          </cell>
          <cell r="AB197">
            <v>1.3671607753705823</v>
          </cell>
          <cell r="AC197">
            <v>1.3076224702099486</v>
          </cell>
          <cell r="AD197">
            <v>1.3080472602102526</v>
          </cell>
          <cell r="AE197">
            <v>1.2945368171021376</v>
          </cell>
          <cell r="AF197">
            <v>1.295358649789029</v>
          </cell>
          <cell r="AM197">
            <v>1.3610733723620612</v>
          </cell>
          <cell r="AN197">
            <v>1.3609470756528876</v>
          </cell>
          <cell r="AO197">
            <v>1.3609470756528876</v>
          </cell>
          <cell r="AP197">
            <v>1.3266393261895317</v>
          </cell>
          <cell r="AQ197">
            <v>1.3485391444713466</v>
          </cell>
          <cell r="AR197">
            <v>1.3493087327183177</v>
          </cell>
        </row>
        <row r="198">
          <cell r="D198">
            <v>123</v>
          </cell>
          <cell r="E198">
            <v>1.3076224702099486</v>
          </cell>
          <cell r="F198">
            <v>1.3080472602102526</v>
          </cell>
          <cell r="G198">
            <v>1.2945368171021376</v>
          </cell>
          <cell r="H198">
            <v>1.295358649789029</v>
          </cell>
          <cell r="O198">
            <v>1.3672896699269002</v>
          </cell>
          <cell r="P198">
            <v>1.3671607753705823</v>
          </cell>
          <cell r="Q198">
            <v>1.3671607753705823</v>
          </cell>
          <cell r="R198">
            <v>1.3675622622991039</v>
          </cell>
          <cell r="S198">
            <v>1.3548412965725196</v>
          </cell>
          <cell r="T198">
            <v>1.3555908850026503</v>
          </cell>
          <cell r="AA198">
            <v>1.3672896699269002</v>
          </cell>
          <cell r="AB198">
            <v>1.3671607753705823</v>
          </cell>
          <cell r="AC198">
            <v>1.3076224702099486</v>
          </cell>
          <cell r="AD198">
            <v>1.3080472602102526</v>
          </cell>
          <cell r="AE198">
            <v>1.2945368171021376</v>
          </cell>
          <cell r="AF198">
            <v>1.295358649789029</v>
          </cell>
          <cell r="AM198">
            <v>1.3610733723620612</v>
          </cell>
          <cell r="AN198">
            <v>1.3609470756528876</v>
          </cell>
          <cell r="AO198">
            <v>1.3609470756528876</v>
          </cell>
          <cell r="AP198">
            <v>1.3266393261895317</v>
          </cell>
          <cell r="AQ198">
            <v>1.3485391444713466</v>
          </cell>
          <cell r="AR198">
            <v>1.3493087327183177</v>
          </cell>
        </row>
        <row r="199">
          <cell r="D199">
            <v>124</v>
          </cell>
          <cell r="E199">
            <v>1.3076224702099486</v>
          </cell>
          <cell r="F199">
            <v>1.3080472602102526</v>
          </cell>
          <cell r="G199">
            <v>1.2945368171021376</v>
          </cell>
          <cell r="H199">
            <v>1.295358649789029</v>
          </cell>
          <cell r="O199">
            <v>1.3672896699269002</v>
          </cell>
          <cell r="P199">
            <v>1.3671607753705823</v>
          </cell>
          <cell r="Q199">
            <v>1.3671607753705823</v>
          </cell>
          <cell r="R199">
            <v>1.3675622622991039</v>
          </cell>
          <cell r="S199">
            <v>1.3548412965725196</v>
          </cell>
          <cell r="T199">
            <v>1.3555908850026503</v>
          </cell>
          <cell r="AA199">
            <v>1.3672896699269002</v>
          </cell>
          <cell r="AB199">
            <v>1.3671607753705823</v>
          </cell>
          <cell r="AC199">
            <v>1.3076224702099486</v>
          </cell>
          <cell r="AD199">
            <v>1.3080472602102526</v>
          </cell>
          <cell r="AE199">
            <v>1.2945368171021376</v>
          </cell>
          <cell r="AF199">
            <v>1.295358649789029</v>
          </cell>
          <cell r="AM199">
            <v>1.3610733723620612</v>
          </cell>
          <cell r="AN199">
            <v>1.3609470756528876</v>
          </cell>
          <cell r="AO199">
            <v>1.3609470756528876</v>
          </cell>
          <cell r="AP199">
            <v>1.3266393261895317</v>
          </cell>
          <cell r="AQ199">
            <v>1.3485391444713466</v>
          </cell>
          <cell r="AR199">
            <v>1.3493087327183177</v>
          </cell>
        </row>
        <row r="200">
          <cell r="D200">
            <v>125</v>
          </cell>
          <cell r="E200">
            <v>1.3076224702099486</v>
          </cell>
          <cell r="F200">
            <v>1.3080472602102526</v>
          </cell>
          <cell r="G200">
            <v>1.2945368171021376</v>
          </cell>
          <cell r="H200">
            <v>1.295358649789029</v>
          </cell>
          <cell r="O200">
            <v>1.3672896699269002</v>
          </cell>
          <cell r="P200">
            <v>1.3671607753705823</v>
          </cell>
          <cell r="Q200">
            <v>1.3671607753705823</v>
          </cell>
          <cell r="R200">
            <v>1.3675622622991039</v>
          </cell>
          <cell r="S200">
            <v>1.3548412965725196</v>
          </cell>
          <cell r="T200">
            <v>1.3555908850026503</v>
          </cell>
          <cell r="AA200">
            <v>1.3672896699269002</v>
          </cell>
          <cell r="AB200">
            <v>1.3671607753705823</v>
          </cell>
          <cell r="AC200">
            <v>1.3076224702099486</v>
          </cell>
          <cell r="AD200">
            <v>1.3080472602102526</v>
          </cell>
          <cell r="AE200">
            <v>1.2945368171021376</v>
          </cell>
          <cell r="AF200">
            <v>1.295358649789029</v>
          </cell>
          <cell r="AM200">
            <v>1.3610733723620612</v>
          </cell>
          <cell r="AN200">
            <v>1.3609470756528876</v>
          </cell>
          <cell r="AO200">
            <v>1.3609470756528876</v>
          </cell>
          <cell r="AP200">
            <v>1.3266393261895317</v>
          </cell>
          <cell r="AQ200">
            <v>1.3485391444713466</v>
          </cell>
          <cell r="AR200">
            <v>1.3493087327183177</v>
          </cell>
        </row>
        <row r="201">
          <cell r="D201">
            <v>126</v>
          </cell>
          <cell r="E201">
            <v>1.3076224702099486</v>
          </cell>
          <cell r="F201">
            <v>1.3080472602102526</v>
          </cell>
          <cell r="G201">
            <v>1.2945368171021376</v>
          </cell>
          <cell r="H201">
            <v>1.295358649789029</v>
          </cell>
          <cell r="O201">
            <v>1.3672896699269002</v>
          </cell>
          <cell r="P201">
            <v>1.3671607753705823</v>
          </cell>
          <cell r="Q201">
            <v>1.3671607753705823</v>
          </cell>
          <cell r="R201">
            <v>1.3675622622991039</v>
          </cell>
          <cell r="S201">
            <v>1.3548412965725196</v>
          </cell>
          <cell r="T201">
            <v>1.3555908850026503</v>
          </cell>
          <cell r="AA201">
            <v>1.3672896699269002</v>
          </cell>
          <cell r="AB201">
            <v>1.3671607753705823</v>
          </cell>
          <cell r="AC201">
            <v>1.3076224702099486</v>
          </cell>
          <cell r="AD201">
            <v>1.3080472602102526</v>
          </cell>
          <cell r="AE201">
            <v>1.2945368171021376</v>
          </cell>
          <cell r="AF201">
            <v>1.295358649789029</v>
          </cell>
          <cell r="AM201">
            <v>1.3610733723620612</v>
          </cell>
          <cell r="AN201">
            <v>1.3609470756528876</v>
          </cell>
          <cell r="AO201">
            <v>1.3609470756528876</v>
          </cell>
          <cell r="AP201">
            <v>1.3266393261895317</v>
          </cell>
          <cell r="AQ201">
            <v>1.3485391444713466</v>
          </cell>
          <cell r="AR201">
            <v>1.3493087327183177</v>
          </cell>
        </row>
        <row r="202">
          <cell r="D202">
            <v>127</v>
          </cell>
          <cell r="E202">
            <v>0.76928314734253833</v>
          </cell>
          <cell r="F202">
            <v>0.76896455484231097</v>
          </cell>
          <cell r="G202">
            <v>0.77909738717339672</v>
          </cell>
          <cell r="H202">
            <v>0.77848101265822789</v>
          </cell>
          <cell r="O202">
            <v>0.72453274755482466</v>
          </cell>
          <cell r="P202">
            <v>0.72462941847206386</v>
          </cell>
          <cell r="Q202">
            <v>0.72462941847206386</v>
          </cell>
          <cell r="R202">
            <v>0.72432830327567177</v>
          </cell>
          <cell r="S202">
            <v>0.73386902757061057</v>
          </cell>
          <cell r="T202">
            <v>0.73330683624801274</v>
          </cell>
          <cell r="AA202">
            <v>0.72453274755482466</v>
          </cell>
          <cell r="AB202">
            <v>0.72462941847206386</v>
          </cell>
          <cell r="AC202">
            <v>0.76928314734253833</v>
          </cell>
          <cell r="AD202">
            <v>0.76896455484231097</v>
          </cell>
          <cell r="AE202">
            <v>0.77909738717339672</v>
          </cell>
          <cell r="AF202">
            <v>0.77848101265822789</v>
          </cell>
          <cell r="AM202">
            <v>0.72919497072845385</v>
          </cell>
          <cell r="AN202">
            <v>0.72928969326033422</v>
          </cell>
          <cell r="AO202">
            <v>0.72928969326033422</v>
          </cell>
          <cell r="AP202">
            <v>0.75502050535785148</v>
          </cell>
          <cell r="AQ202">
            <v>0.73859564164648916</v>
          </cell>
          <cell r="AR202">
            <v>0.73801845046126158</v>
          </cell>
        </row>
        <row r="203">
          <cell r="D203">
            <v>128</v>
          </cell>
          <cell r="E203">
            <v>0.76928314734253833</v>
          </cell>
          <cell r="F203">
            <v>0.76896455484231097</v>
          </cell>
          <cell r="G203">
            <v>0.77909738717339672</v>
          </cell>
          <cell r="H203">
            <v>0.77848101265822789</v>
          </cell>
          <cell r="O203">
            <v>0.72453274755482466</v>
          </cell>
          <cell r="P203">
            <v>0.72462941847206386</v>
          </cell>
          <cell r="Q203">
            <v>0.72462941847206386</v>
          </cell>
          <cell r="R203">
            <v>0.72432830327567177</v>
          </cell>
          <cell r="S203">
            <v>0.73386902757061057</v>
          </cell>
          <cell r="T203">
            <v>0.73330683624801274</v>
          </cell>
          <cell r="AA203">
            <v>0.72453274755482466</v>
          </cell>
          <cell r="AB203">
            <v>0.72462941847206386</v>
          </cell>
          <cell r="AC203">
            <v>0.76928314734253833</v>
          </cell>
          <cell r="AD203">
            <v>0.76896455484231097</v>
          </cell>
          <cell r="AE203">
            <v>0.77909738717339672</v>
          </cell>
          <cell r="AF203">
            <v>0.77848101265822789</v>
          </cell>
          <cell r="AM203">
            <v>0.72919497072845385</v>
          </cell>
          <cell r="AN203">
            <v>0.72928969326033422</v>
          </cell>
          <cell r="AO203">
            <v>0.72928969326033422</v>
          </cell>
          <cell r="AP203">
            <v>0.75502050535785148</v>
          </cell>
          <cell r="AQ203">
            <v>0.73859564164648916</v>
          </cell>
          <cell r="AR203">
            <v>0.73801845046126158</v>
          </cell>
        </row>
        <row r="204">
          <cell r="D204">
            <v>129</v>
          </cell>
          <cell r="E204">
            <v>0.76928314734253833</v>
          </cell>
          <cell r="F204">
            <v>0.76896455484231097</v>
          </cell>
          <cell r="G204">
            <v>0.77909738717339672</v>
          </cell>
          <cell r="H204">
            <v>0.77848101265822789</v>
          </cell>
          <cell r="O204">
            <v>0.72453274755482466</v>
          </cell>
          <cell r="P204">
            <v>0.72462941847206386</v>
          </cell>
          <cell r="Q204">
            <v>0.72462941847206386</v>
          </cell>
          <cell r="R204">
            <v>0.72432830327567177</v>
          </cell>
          <cell r="S204">
            <v>0.73386902757061057</v>
          </cell>
          <cell r="T204">
            <v>0.73330683624801274</v>
          </cell>
          <cell r="AA204">
            <v>0.72453274755482466</v>
          </cell>
          <cell r="AB204">
            <v>0.72462941847206386</v>
          </cell>
          <cell r="AC204">
            <v>0.76928314734253833</v>
          </cell>
          <cell r="AD204">
            <v>0.76896455484231097</v>
          </cell>
          <cell r="AE204">
            <v>0.77909738717339672</v>
          </cell>
          <cell r="AF204">
            <v>0.77848101265822789</v>
          </cell>
          <cell r="AM204">
            <v>0.72919497072845385</v>
          </cell>
          <cell r="AN204">
            <v>0.72928969326033422</v>
          </cell>
          <cell r="AO204">
            <v>0.72928969326033422</v>
          </cell>
          <cell r="AP204">
            <v>0.75502050535785148</v>
          </cell>
          <cell r="AQ204">
            <v>0.73859564164648916</v>
          </cell>
          <cell r="AR204">
            <v>0.73801845046126158</v>
          </cell>
        </row>
        <row r="205">
          <cell r="D205">
            <v>130</v>
          </cell>
          <cell r="E205">
            <v>0.76928314734253833</v>
          </cell>
          <cell r="F205">
            <v>0.76896455484231097</v>
          </cell>
          <cell r="G205">
            <v>0.77909738717339672</v>
          </cell>
          <cell r="H205">
            <v>0.77848101265822789</v>
          </cell>
          <cell r="O205">
            <v>0.72453274755482466</v>
          </cell>
          <cell r="P205">
            <v>0.72462941847206386</v>
          </cell>
          <cell r="Q205">
            <v>0.72462941847206386</v>
          </cell>
          <cell r="R205">
            <v>0.72432830327567177</v>
          </cell>
          <cell r="S205">
            <v>0.73386902757061057</v>
          </cell>
          <cell r="T205">
            <v>0.73330683624801274</v>
          </cell>
          <cell r="AA205">
            <v>0.72453274755482466</v>
          </cell>
          <cell r="AB205">
            <v>0.72462941847206386</v>
          </cell>
          <cell r="AC205">
            <v>0.76928314734253833</v>
          </cell>
          <cell r="AD205">
            <v>0.76896455484231097</v>
          </cell>
          <cell r="AE205">
            <v>0.77909738717339672</v>
          </cell>
          <cell r="AF205">
            <v>0.77848101265822789</v>
          </cell>
          <cell r="AM205">
            <v>0.72919497072845385</v>
          </cell>
          <cell r="AN205">
            <v>0.72928969326033422</v>
          </cell>
          <cell r="AO205">
            <v>0.72928969326033422</v>
          </cell>
          <cell r="AP205">
            <v>0.75502050535785148</v>
          </cell>
          <cell r="AQ205">
            <v>0.73859564164648916</v>
          </cell>
          <cell r="AR205">
            <v>0.73801845046126158</v>
          </cell>
        </row>
        <row r="206">
          <cell r="D206">
            <v>131</v>
          </cell>
          <cell r="E206">
            <v>0.76928314734253833</v>
          </cell>
          <cell r="F206">
            <v>0.76896455484231097</v>
          </cell>
          <cell r="G206">
            <v>0.77909738717339672</v>
          </cell>
          <cell r="H206">
            <v>0.77848101265822789</v>
          </cell>
          <cell r="O206">
            <v>0.72453274755482466</v>
          </cell>
          <cell r="P206">
            <v>0.72462941847206386</v>
          </cell>
          <cell r="Q206">
            <v>0.72462941847206386</v>
          </cell>
          <cell r="R206">
            <v>0.72432830327567177</v>
          </cell>
          <cell r="S206">
            <v>0.73386902757061057</v>
          </cell>
          <cell r="T206">
            <v>0.73330683624801274</v>
          </cell>
          <cell r="AA206">
            <v>0.72453274755482466</v>
          </cell>
          <cell r="AB206">
            <v>0.72462941847206386</v>
          </cell>
          <cell r="AC206">
            <v>0.76928314734253833</v>
          </cell>
          <cell r="AD206">
            <v>0.76896455484231097</v>
          </cell>
          <cell r="AE206">
            <v>0.77909738717339672</v>
          </cell>
          <cell r="AF206">
            <v>0.77848101265822789</v>
          </cell>
          <cell r="AM206">
            <v>0.72919497072845385</v>
          </cell>
          <cell r="AN206">
            <v>0.72928969326033422</v>
          </cell>
          <cell r="AO206">
            <v>0.72928969326033422</v>
          </cell>
          <cell r="AP206">
            <v>0.75502050535785148</v>
          </cell>
          <cell r="AQ206">
            <v>0.73859564164648916</v>
          </cell>
          <cell r="AR206">
            <v>0.73801845046126158</v>
          </cell>
        </row>
        <row r="207">
          <cell r="D207">
            <v>132</v>
          </cell>
          <cell r="E207">
            <v>0.76928314734253833</v>
          </cell>
          <cell r="F207">
            <v>0.76896455484231097</v>
          </cell>
          <cell r="G207">
            <v>0.77909738717339672</v>
          </cell>
          <cell r="H207">
            <v>0.77848101265822789</v>
          </cell>
          <cell r="O207">
            <v>0.72453274755482466</v>
          </cell>
          <cell r="P207">
            <v>0.72462941847206386</v>
          </cell>
          <cell r="Q207">
            <v>0.72462941847206386</v>
          </cell>
          <cell r="R207">
            <v>0.72432830327567177</v>
          </cell>
          <cell r="S207">
            <v>0.73386902757061057</v>
          </cell>
          <cell r="T207">
            <v>0.73330683624801274</v>
          </cell>
          <cell r="AA207">
            <v>0.72453274755482466</v>
          </cell>
          <cell r="AB207">
            <v>0.72462941847206386</v>
          </cell>
          <cell r="AC207">
            <v>0.76928314734253833</v>
          </cell>
          <cell r="AD207">
            <v>0.76896455484231097</v>
          </cell>
          <cell r="AE207">
            <v>0.77909738717339672</v>
          </cell>
          <cell r="AF207">
            <v>0.77848101265822789</v>
          </cell>
          <cell r="AM207">
            <v>0.72919497072845385</v>
          </cell>
          <cell r="AN207">
            <v>0.72928969326033422</v>
          </cell>
          <cell r="AO207">
            <v>0.72928969326033422</v>
          </cell>
          <cell r="AP207">
            <v>0.75502050535785148</v>
          </cell>
          <cell r="AQ207">
            <v>0.73859564164648916</v>
          </cell>
          <cell r="AR207">
            <v>0.73801845046126158</v>
          </cell>
        </row>
        <row r="208">
          <cell r="D208">
            <v>133</v>
          </cell>
          <cell r="E208">
            <v>0.76928314734253833</v>
          </cell>
          <cell r="F208">
            <v>0.76896455484231097</v>
          </cell>
          <cell r="G208">
            <v>0.77909738717339672</v>
          </cell>
          <cell r="H208">
            <v>0.77848101265822789</v>
          </cell>
          <cell r="O208">
            <v>0.72453274755482466</v>
          </cell>
          <cell r="P208">
            <v>0.72462941847206386</v>
          </cell>
          <cell r="Q208">
            <v>0.72462941847206386</v>
          </cell>
          <cell r="R208">
            <v>0.72432830327567177</v>
          </cell>
          <cell r="S208">
            <v>0.73386902757061057</v>
          </cell>
          <cell r="T208">
            <v>0.73330683624801274</v>
          </cell>
          <cell r="AA208">
            <v>0.72453274755482466</v>
          </cell>
          <cell r="AB208">
            <v>0.72462941847206386</v>
          </cell>
          <cell r="AC208">
            <v>0.76928314734253833</v>
          </cell>
          <cell r="AD208">
            <v>0.76896455484231097</v>
          </cell>
          <cell r="AE208">
            <v>0.77909738717339672</v>
          </cell>
          <cell r="AF208">
            <v>0.77848101265822789</v>
          </cell>
          <cell r="AM208">
            <v>0.72919497072845385</v>
          </cell>
          <cell r="AN208">
            <v>0.72928969326033422</v>
          </cell>
          <cell r="AO208">
            <v>0.72928969326033422</v>
          </cell>
          <cell r="AP208">
            <v>0.75502050535785148</v>
          </cell>
          <cell r="AQ208">
            <v>0.73859564164648916</v>
          </cell>
          <cell r="AR208">
            <v>0.73801845046126158</v>
          </cell>
        </row>
        <row r="209">
          <cell r="D209">
            <v>134</v>
          </cell>
          <cell r="E209">
            <v>0.76928314734253833</v>
          </cell>
          <cell r="F209">
            <v>0.76896455484231097</v>
          </cell>
          <cell r="G209">
            <v>0.77909738717339672</v>
          </cell>
          <cell r="H209">
            <v>0.77848101265822789</v>
          </cell>
          <cell r="O209">
            <v>0.72453274755482466</v>
          </cell>
          <cell r="P209">
            <v>0.72462941847206386</v>
          </cell>
          <cell r="Q209">
            <v>0.72462941847206386</v>
          </cell>
          <cell r="R209">
            <v>0.72432830327567177</v>
          </cell>
          <cell r="S209">
            <v>0.73386902757061057</v>
          </cell>
          <cell r="T209">
            <v>0.73330683624801274</v>
          </cell>
          <cell r="AA209">
            <v>0.72453274755482466</v>
          </cell>
          <cell r="AB209">
            <v>0.72462941847206386</v>
          </cell>
          <cell r="AC209">
            <v>0.76928314734253833</v>
          </cell>
          <cell r="AD209">
            <v>0.76896455484231097</v>
          </cell>
          <cell r="AE209">
            <v>0.77909738717339672</v>
          </cell>
          <cell r="AF209">
            <v>0.77848101265822789</v>
          </cell>
          <cell r="AM209">
            <v>0.72919497072845385</v>
          </cell>
          <cell r="AN209">
            <v>0.72928969326033422</v>
          </cell>
          <cell r="AO209">
            <v>0.72928969326033422</v>
          </cell>
          <cell r="AP209">
            <v>0.75502050535785148</v>
          </cell>
          <cell r="AQ209">
            <v>0.73859564164648916</v>
          </cell>
          <cell r="AR209">
            <v>0.73801845046126158</v>
          </cell>
        </row>
        <row r="210">
          <cell r="D210">
            <v>135</v>
          </cell>
          <cell r="E210">
            <v>0.76928314734253833</v>
          </cell>
          <cell r="F210">
            <v>0.76896455484231097</v>
          </cell>
          <cell r="G210">
            <v>0.77909738717339672</v>
          </cell>
          <cell r="H210">
            <v>0.77848101265822789</v>
          </cell>
          <cell r="O210">
            <v>0.72453274755482466</v>
          </cell>
          <cell r="P210">
            <v>0.72462941847206386</v>
          </cell>
          <cell r="Q210">
            <v>0.72462941847206386</v>
          </cell>
          <cell r="R210">
            <v>0.72432830327567177</v>
          </cell>
          <cell r="S210">
            <v>0.73386902757061057</v>
          </cell>
          <cell r="T210">
            <v>0.73330683624801274</v>
          </cell>
          <cell r="AA210">
            <v>0.72453274755482466</v>
          </cell>
          <cell r="AB210">
            <v>0.72462941847206386</v>
          </cell>
          <cell r="AC210">
            <v>0.76928314734253833</v>
          </cell>
          <cell r="AD210">
            <v>0.76896455484231097</v>
          </cell>
          <cell r="AE210">
            <v>0.77909738717339672</v>
          </cell>
          <cell r="AF210">
            <v>0.77848101265822789</v>
          </cell>
          <cell r="AM210">
            <v>0.72919497072845385</v>
          </cell>
          <cell r="AN210">
            <v>0.72928969326033422</v>
          </cell>
          <cell r="AO210">
            <v>0.72928969326033422</v>
          </cell>
          <cell r="AP210">
            <v>0.75502050535785148</v>
          </cell>
          <cell r="AQ210">
            <v>0.73859564164648916</v>
          </cell>
          <cell r="AR210">
            <v>0.73801845046126158</v>
          </cell>
        </row>
        <row r="211">
          <cell r="D211">
            <v>136</v>
          </cell>
          <cell r="E211">
            <v>0.76928314734253833</v>
          </cell>
          <cell r="F211">
            <v>0.76896455484231097</v>
          </cell>
          <cell r="G211">
            <v>0.77909738717339672</v>
          </cell>
          <cell r="H211">
            <v>0.77848101265822789</v>
          </cell>
          <cell r="O211">
            <v>0.72453274755482466</v>
          </cell>
          <cell r="P211">
            <v>0.72462941847206386</v>
          </cell>
          <cell r="Q211">
            <v>0.72462941847206386</v>
          </cell>
          <cell r="R211">
            <v>0.72432830327567177</v>
          </cell>
          <cell r="S211">
            <v>0.73386902757061057</v>
          </cell>
          <cell r="T211">
            <v>0.73330683624801274</v>
          </cell>
          <cell r="AA211">
            <v>0.72453274755482466</v>
          </cell>
          <cell r="AB211">
            <v>0.72462941847206386</v>
          </cell>
          <cell r="AC211">
            <v>0.76928314734253833</v>
          </cell>
          <cell r="AD211">
            <v>0.76896455484231097</v>
          </cell>
          <cell r="AE211">
            <v>0.77909738717339672</v>
          </cell>
          <cell r="AF211">
            <v>0.77848101265822789</v>
          </cell>
          <cell r="AM211">
            <v>0.72919497072845385</v>
          </cell>
          <cell r="AN211">
            <v>0.72928969326033422</v>
          </cell>
          <cell r="AO211">
            <v>0.72928969326033422</v>
          </cell>
          <cell r="AP211">
            <v>0.75502050535785148</v>
          </cell>
          <cell r="AQ211">
            <v>0.73859564164648916</v>
          </cell>
          <cell r="AR211">
            <v>0.73801845046126158</v>
          </cell>
        </row>
        <row r="212">
          <cell r="D212">
            <v>137</v>
          </cell>
          <cell r="E212">
            <v>0.76928314734253833</v>
          </cell>
          <cell r="F212">
            <v>0.76896455484231097</v>
          </cell>
          <cell r="G212">
            <v>0.77909738717339672</v>
          </cell>
          <cell r="H212">
            <v>0.77848101265822789</v>
          </cell>
          <cell r="O212">
            <v>0.72453274755482466</v>
          </cell>
          <cell r="P212">
            <v>0.72462941847206386</v>
          </cell>
          <cell r="Q212">
            <v>0.72462941847206386</v>
          </cell>
          <cell r="R212">
            <v>0.72432830327567177</v>
          </cell>
          <cell r="S212">
            <v>0.73386902757061057</v>
          </cell>
          <cell r="T212">
            <v>0.73330683624801274</v>
          </cell>
          <cell r="AA212">
            <v>0.72453274755482466</v>
          </cell>
          <cell r="AB212">
            <v>0.72462941847206386</v>
          </cell>
          <cell r="AC212">
            <v>0.76928314734253833</v>
          </cell>
          <cell r="AD212">
            <v>0.76896455484231097</v>
          </cell>
          <cell r="AE212">
            <v>0.77909738717339672</v>
          </cell>
          <cell r="AF212">
            <v>0.77848101265822789</v>
          </cell>
          <cell r="AM212">
            <v>0.72919497072845385</v>
          </cell>
          <cell r="AN212">
            <v>0.72928969326033422</v>
          </cell>
          <cell r="AO212">
            <v>0.72928969326033422</v>
          </cell>
          <cell r="AP212">
            <v>0.75502050535785148</v>
          </cell>
          <cell r="AQ212">
            <v>0.73859564164648916</v>
          </cell>
          <cell r="AR212">
            <v>0.73801845046126158</v>
          </cell>
        </row>
        <row r="213">
          <cell r="D213">
            <v>138</v>
          </cell>
          <cell r="E213">
            <v>0.76928314734253833</v>
          </cell>
          <cell r="F213">
            <v>0.76896455484231097</v>
          </cell>
          <cell r="G213">
            <v>0.77909738717339672</v>
          </cell>
          <cell r="H213">
            <v>0.77848101265822789</v>
          </cell>
          <cell r="O213">
            <v>0.72453274755482466</v>
          </cell>
          <cell r="P213">
            <v>0.72462941847206386</v>
          </cell>
          <cell r="Q213">
            <v>0.72462941847206386</v>
          </cell>
          <cell r="R213">
            <v>0.72432830327567177</v>
          </cell>
          <cell r="S213">
            <v>0.73386902757061057</v>
          </cell>
          <cell r="T213">
            <v>0.73330683624801274</v>
          </cell>
          <cell r="AA213">
            <v>0.72453274755482466</v>
          </cell>
          <cell r="AB213">
            <v>0.72462941847206386</v>
          </cell>
          <cell r="AC213">
            <v>0.76928314734253833</v>
          </cell>
          <cell r="AD213">
            <v>0.76896455484231097</v>
          </cell>
          <cell r="AE213">
            <v>0.77909738717339672</v>
          </cell>
          <cell r="AF213">
            <v>0.77848101265822789</v>
          </cell>
          <cell r="AM213">
            <v>0.72919497072845385</v>
          </cell>
          <cell r="AN213">
            <v>0.72928969326033422</v>
          </cell>
          <cell r="AO213">
            <v>0.72928969326033422</v>
          </cell>
          <cell r="AP213">
            <v>0.75502050535785148</v>
          </cell>
          <cell r="AQ213">
            <v>0.73859564164648916</v>
          </cell>
          <cell r="AR213">
            <v>0.73801845046126158</v>
          </cell>
        </row>
        <row r="214">
          <cell r="D214">
            <v>139</v>
          </cell>
          <cell r="E214">
            <v>0.76928314734253833</v>
          </cell>
          <cell r="F214">
            <v>0.76896455484231097</v>
          </cell>
          <cell r="G214">
            <v>0.77909738717339672</v>
          </cell>
          <cell r="H214">
            <v>0.77848101265822789</v>
          </cell>
          <cell r="O214">
            <v>0.72453274755482466</v>
          </cell>
          <cell r="P214">
            <v>0.72462941847206386</v>
          </cell>
          <cell r="Q214">
            <v>0.72462941847206386</v>
          </cell>
          <cell r="R214">
            <v>0.72432830327567177</v>
          </cell>
          <cell r="S214">
            <v>0.73386902757061057</v>
          </cell>
          <cell r="T214">
            <v>0.73330683624801274</v>
          </cell>
          <cell r="AA214">
            <v>0.72453274755482466</v>
          </cell>
          <cell r="AB214">
            <v>0.72462941847206386</v>
          </cell>
          <cell r="AC214">
            <v>0.76928314734253833</v>
          </cell>
          <cell r="AD214">
            <v>0.76896455484231097</v>
          </cell>
          <cell r="AE214">
            <v>0.77909738717339672</v>
          </cell>
          <cell r="AF214">
            <v>0.77848101265822789</v>
          </cell>
          <cell r="AM214">
            <v>0.72919497072845385</v>
          </cell>
          <cell r="AN214">
            <v>0.72928969326033422</v>
          </cell>
          <cell r="AO214">
            <v>0.72928969326033422</v>
          </cell>
          <cell r="AP214">
            <v>0.75502050535785148</v>
          </cell>
          <cell r="AQ214">
            <v>0.73859564164648916</v>
          </cell>
          <cell r="AR214">
            <v>0.73801845046126158</v>
          </cell>
        </row>
        <row r="215">
          <cell r="D215">
            <v>140</v>
          </cell>
          <cell r="E215">
            <v>0.76928314734253833</v>
          </cell>
          <cell r="F215">
            <v>0.76896455484231097</v>
          </cell>
          <cell r="G215">
            <v>0.77909738717339672</v>
          </cell>
          <cell r="H215">
            <v>0.77848101265822789</v>
          </cell>
          <cell r="O215">
            <v>0.72453274755482466</v>
          </cell>
          <cell r="P215">
            <v>0.72462941847206386</v>
          </cell>
          <cell r="Q215">
            <v>0.72462941847206386</v>
          </cell>
          <cell r="R215">
            <v>0.72432830327567177</v>
          </cell>
          <cell r="S215">
            <v>0.73386902757061057</v>
          </cell>
          <cell r="T215">
            <v>0.73330683624801274</v>
          </cell>
          <cell r="AA215">
            <v>0.72453274755482466</v>
          </cell>
          <cell r="AB215">
            <v>0.72462941847206386</v>
          </cell>
          <cell r="AC215">
            <v>0.76928314734253833</v>
          </cell>
          <cell r="AD215">
            <v>0.76896455484231097</v>
          </cell>
          <cell r="AE215">
            <v>0.77909738717339672</v>
          </cell>
          <cell r="AF215">
            <v>0.77848101265822789</v>
          </cell>
          <cell r="AM215">
            <v>0.72919497072845385</v>
          </cell>
          <cell r="AN215">
            <v>0.72928969326033422</v>
          </cell>
          <cell r="AO215">
            <v>0.72928969326033422</v>
          </cell>
          <cell r="AP215">
            <v>0.75502050535785148</v>
          </cell>
          <cell r="AQ215">
            <v>0.73859564164648916</v>
          </cell>
          <cell r="AR215">
            <v>0.73801845046126158</v>
          </cell>
        </row>
        <row r="216">
          <cell r="D216">
            <v>141</v>
          </cell>
          <cell r="E216">
            <v>0.76928314734253833</v>
          </cell>
          <cell r="F216">
            <v>0.76896455484231097</v>
          </cell>
          <cell r="G216">
            <v>0.77909738717339672</v>
          </cell>
          <cell r="H216">
            <v>0.77848101265822789</v>
          </cell>
          <cell r="O216">
            <v>0.72453274755482466</v>
          </cell>
          <cell r="P216">
            <v>0.72462941847206386</v>
          </cell>
          <cell r="Q216">
            <v>0.72462941847206386</v>
          </cell>
          <cell r="R216">
            <v>0.72432830327567177</v>
          </cell>
          <cell r="S216">
            <v>0.73386902757061057</v>
          </cell>
          <cell r="T216">
            <v>0.73330683624801274</v>
          </cell>
          <cell r="AA216">
            <v>0.72453274755482466</v>
          </cell>
          <cell r="AB216">
            <v>0.72462941847206386</v>
          </cell>
          <cell r="AC216">
            <v>0.76928314734253833</v>
          </cell>
          <cell r="AD216">
            <v>0.76896455484231097</v>
          </cell>
          <cell r="AE216">
            <v>0.77909738717339672</v>
          </cell>
          <cell r="AF216">
            <v>0.77848101265822789</v>
          </cell>
          <cell r="AM216">
            <v>0.72919497072845385</v>
          </cell>
          <cell r="AN216">
            <v>0.72928969326033422</v>
          </cell>
          <cell r="AO216">
            <v>0.72928969326033422</v>
          </cell>
          <cell r="AP216">
            <v>0.75502050535785148</v>
          </cell>
          <cell r="AQ216">
            <v>0.73859564164648916</v>
          </cell>
          <cell r="AR216">
            <v>0.73801845046126158</v>
          </cell>
        </row>
        <row r="217">
          <cell r="D217">
            <v>142</v>
          </cell>
          <cell r="E217">
            <v>0.76928314734253833</v>
          </cell>
          <cell r="F217">
            <v>0.76896455484231097</v>
          </cell>
          <cell r="G217">
            <v>0.77909738717339672</v>
          </cell>
          <cell r="H217">
            <v>0.77848101265822789</v>
          </cell>
          <cell r="O217">
            <v>0.72453274755482466</v>
          </cell>
          <cell r="P217">
            <v>0.72462941847206386</v>
          </cell>
          <cell r="Q217">
            <v>0.72462941847206386</v>
          </cell>
          <cell r="R217">
            <v>0.72432830327567177</v>
          </cell>
          <cell r="S217">
            <v>0.73386902757061057</v>
          </cell>
          <cell r="T217">
            <v>0.73330683624801274</v>
          </cell>
          <cell r="AA217">
            <v>0.72453274755482466</v>
          </cell>
          <cell r="AB217">
            <v>0.72462941847206386</v>
          </cell>
          <cell r="AC217">
            <v>0.76928314734253833</v>
          </cell>
          <cell r="AD217">
            <v>0.76896455484231097</v>
          </cell>
          <cell r="AE217">
            <v>0.77909738717339672</v>
          </cell>
          <cell r="AF217">
            <v>0.77848101265822789</v>
          </cell>
          <cell r="AM217">
            <v>0.72919497072845385</v>
          </cell>
          <cell r="AN217">
            <v>0.72928969326033422</v>
          </cell>
          <cell r="AO217">
            <v>0.72928969326033422</v>
          </cell>
          <cell r="AP217">
            <v>0.75502050535785148</v>
          </cell>
          <cell r="AQ217">
            <v>0.73859564164648916</v>
          </cell>
          <cell r="AR217">
            <v>0.73801845046126158</v>
          </cell>
        </row>
        <row r="218">
          <cell r="D218">
            <v>143</v>
          </cell>
          <cell r="E218">
            <v>1.3076224702099486</v>
          </cell>
          <cell r="F218">
            <v>1.3080472602102526</v>
          </cell>
          <cell r="G218">
            <v>1.2945368171021376</v>
          </cell>
          <cell r="H218">
            <v>1.295358649789029</v>
          </cell>
          <cell r="O218">
            <v>1.3672896699269002</v>
          </cell>
          <cell r="P218">
            <v>1.3671607753705823</v>
          </cell>
          <cell r="Q218">
            <v>1.3671607753705823</v>
          </cell>
          <cell r="R218">
            <v>1.3675622622991039</v>
          </cell>
          <cell r="S218">
            <v>1.3548412965725196</v>
          </cell>
          <cell r="T218">
            <v>1.3555908850026503</v>
          </cell>
          <cell r="AA218">
            <v>1.3672896699269002</v>
          </cell>
          <cell r="AB218">
            <v>1.3671607753705823</v>
          </cell>
          <cell r="AC218">
            <v>1.3076224702099486</v>
          </cell>
          <cell r="AD218">
            <v>1.3080472602102526</v>
          </cell>
          <cell r="AE218">
            <v>1.2945368171021376</v>
          </cell>
          <cell r="AF218">
            <v>1.295358649789029</v>
          </cell>
          <cell r="AM218">
            <v>1.3610733723620612</v>
          </cell>
          <cell r="AN218">
            <v>1.3609470756528876</v>
          </cell>
          <cell r="AO218">
            <v>1.3609470756528876</v>
          </cell>
          <cell r="AP218">
            <v>1.3266393261895317</v>
          </cell>
          <cell r="AQ218">
            <v>1.3485391444713466</v>
          </cell>
          <cell r="AR218">
            <v>1.3493087327183177</v>
          </cell>
        </row>
        <row r="219">
          <cell r="D219">
            <v>144</v>
          </cell>
          <cell r="E219">
            <v>1.3076224702099486</v>
          </cell>
          <cell r="F219">
            <v>1.3080472602102526</v>
          </cell>
          <cell r="G219">
            <v>1.2945368171021376</v>
          </cell>
          <cell r="H219">
            <v>1.295358649789029</v>
          </cell>
          <cell r="O219">
            <v>1.3672896699269002</v>
          </cell>
          <cell r="P219">
            <v>1.3671607753705823</v>
          </cell>
          <cell r="Q219">
            <v>1.3671607753705823</v>
          </cell>
          <cell r="R219">
            <v>1.3675622622991039</v>
          </cell>
          <cell r="S219">
            <v>1.3548412965725196</v>
          </cell>
          <cell r="T219">
            <v>1.3555908850026503</v>
          </cell>
          <cell r="AA219">
            <v>1.3672896699269002</v>
          </cell>
          <cell r="AB219">
            <v>1.3671607753705823</v>
          </cell>
          <cell r="AC219">
            <v>1.3076224702099486</v>
          </cell>
          <cell r="AD219">
            <v>1.3080472602102526</v>
          </cell>
          <cell r="AE219">
            <v>1.2945368171021376</v>
          </cell>
          <cell r="AF219">
            <v>1.295358649789029</v>
          </cell>
          <cell r="AM219">
            <v>1.3610733723620612</v>
          </cell>
          <cell r="AN219">
            <v>1.3609470756528876</v>
          </cell>
          <cell r="AO219">
            <v>1.3609470756528876</v>
          </cell>
          <cell r="AP219">
            <v>1.3266393261895317</v>
          </cell>
          <cell r="AQ219">
            <v>1.3485391444713466</v>
          </cell>
          <cell r="AR219">
            <v>1.3493087327183177</v>
          </cell>
        </row>
        <row r="220">
          <cell r="D220">
            <v>145</v>
          </cell>
          <cell r="E220">
            <v>1.3076224702099486</v>
          </cell>
          <cell r="F220">
            <v>1.3080472602102526</v>
          </cell>
          <cell r="G220">
            <v>1.2945368171021376</v>
          </cell>
          <cell r="H220">
            <v>1.295358649789029</v>
          </cell>
          <cell r="O220">
            <v>1.3672896699269002</v>
          </cell>
          <cell r="P220">
            <v>1.3671607753705823</v>
          </cell>
          <cell r="Q220">
            <v>1.3671607753705823</v>
          </cell>
          <cell r="R220">
            <v>1.3675622622991039</v>
          </cell>
          <cell r="S220">
            <v>1.3548412965725196</v>
          </cell>
          <cell r="T220">
            <v>1.3555908850026503</v>
          </cell>
          <cell r="AA220">
            <v>1.3672896699269002</v>
          </cell>
          <cell r="AB220">
            <v>1.3671607753705823</v>
          </cell>
          <cell r="AC220">
            <v>1.3076224702099486</v>
          </cell>
          <cell r="AD220">
            <v>1.3080472602102526</v>
          </cell>
          <cell r="AE220">
            <v>1.2945368171021376</v>
          </cell>
          <cell r="AF220">
            <v>1.295358649789029</v>
          </cell>
          <cell r="AM220">
            <v>1.3610733723620612</v>
          </cell>
          <cell r="AN220">
            <v>1.3609470756528876</v>
          </cell>
          <cell r="AO220">
            <v>1.3609470756528876</v>
          </cell>
          <cell r="AP220">
            <v>1.3266393261895317</v>
          </cell>
          <cell r="AQ220">
            <v>1.3485391444713466</v>
          </cell>
          <cell r="AR220">
            <v>1.3493087327183177</v>
          </cell>
        </row>
        <row r="221">
          <cell r="D221">
            <v>146</v>
          </cell>
          <cell r="E221">
            <v>1.3076224702099486</v>
          </cell>
          <cell r="F221">
            <v>1.3080472602102526</v>
          </cell>
          <cell r="G221">
            <v>1.2945368171021376</v>
          </cell>
          <cell r="H221">
            <v>1.295358649789029</v>
          </cell>
          <cell r="O221">
            <v>1.3672896699269002</v>
          </cell>
          <cell r="P221">
            <v>1.3671607753705823</v>
          </cell>
          <cell r="Q221">
            <v>1.3671607753705823</v>
          </cell>
          <cell r="R221">
            <v>1.3675622622991039</v>
          </cell>
          <cell r="S221">
            <v>1.3548412965725196</v>
          </cell>
          <cell r="T221">
            <v>1.3555908850026503</v>
          </cell>
          <cell r="AA221">
            <v>1.3672896699269002</v>
          </cell>
          <cell r="AB221">
            <v>1.3671607753705823</v>
          </cell>
          <cell r="AC221">
            <v>1.3076224702099486</v>
          </cell>
          <cell r="AD221">
            <v>1.3080472602102526</v>
          </cell>
          <cell r="AE221">
            <v>1.2945368171021376</v>
          </cell>
          <cell r="AF221">
            <v>1.295358649789029</v>
          </cell>
          <cell r="AM221">
            <v>1.3610733723620612</v>
          </cell>
          <cell r="AN221">
            <v>1.3609470756528876</v>
          </cell>
          <cell r="AO221">
            <v>1.3609470756528876</v>
          </cell>
          <cell r="AP221">
            <v>1.3266393261895317</v>
          </cell>
          <cell r="AQ221">
            <v>1.3485391444713466</v>
          </cell>
          <cell r="AR221">
            <v>1.3493087327183177</v>
          </cell>
        </row>
        <row r="222">
          <cell r="D222">
            <v>147</v>
          </cell>
          <cell r="E222">
            <v>1.3076224702099486</v>
          </cell>
          <cell r="F222">
            <v>1.3080472602102526</v>
          </cell>
          <cell r="G222">
            <v>1.2945368171021376</v>
          </cell>
          <cell r="H222">
            <v>1.295358649789029</v>
          </cell>
          <cell r="O222">
            <v>1.3672896699269002</v>
          </cell>
          <cell r="P222">
            <v>1.3671607753705823</v>
          </cell>
          <cell r="Q222">
            <v>1.3671607753705823</v>
          </cell>
          <cell r="R222">
            <v>1.3675622622991039</v>
          </cell>
          <cell r="S222">
            <v>1.3548412965725196</v>
          </cell>
          <cell r="T222">
            <v>1.3555908850026503</v>
          </cell>
          <cell r="AA222">
            <v>1.3672896699269002</v>
          </cell>
          <cell r="AB222">
            <v>1.3671607753705823</v>
          </cell>
          <cell r="AC222">
            <v>1.3076224702099486</v>
          </cell>
          <cell r="AD222">
            <v>1.3080472602102526</v>
          </cell>
          <cell r="AE222">
            <v>1.2945368171021376</v>
          </cell>
          <cell r="AF222">
            <v>1.295358649789029</v>
          </cell>
          <cell r="AM222">
            <v>1.3610733723620612</v>
          </cell>
          <cell r="AN222">
            <v>1.3609470756528876</v>
          </cell>
          <cell r="AO222">
            <v>1.3609470756528876</v>
          </cell>
          <cell r="AP222">
            <v>1.3266393261895317</v>
          </cell>
          <cell r="AQ222">
            <v>1.3485391444713466</v>
          </cell>
          <cell r="AR222">
            <v>1.3493087327183177</v>
          </cell>
        </row>
        <row r="223">
          <cell r="D223">
            <v>148</v>
          </cell>
          <cell r="E223">
            <v>1.3076224702099486</v>
          </cell>
          <cell r="F223">
            <v>1.3080472602102526</v>
          </cell>
          <cell r="G223">
            <v>1.2945368171021376</v>
          </cell>
          <cell r="H223">
            <v>1.295358649789029</v>
          </cell>
          <cell r="O223">
            <v>1.3672896699269002</v>
          </cell>
          <cell r="P223">
            <v>1.3671607753705823</v>
          </cell>
          <cell r="Q223">
            <v>1.3671607753705823</v>
          </cell>
          <cell r="R223">
            <v>1.3675622622991039</v>
          </cell>
          <cell r="S223">
            <v>1.3548412965725196</v>
          </cell>
          <cell r="T223">
            <v>1.3555908850026503</v>
          </cell>
          <cell r="AA223">
            <v>1.3672896699269002</v>
          </cell>
          <cell r="AB223">
            <v>1.3671607753705823</v>
          </cell>
          <cell r="AC223">
            <v>1.3076224702099486</v>
          </cell>
          <cell r="AD223">
            <v>1.3080472602102526</v>
          </cell>
          <cell r="AE223">
            <v>1.2945368171021376</v>
          </cell>
          <cell r="AF223">
            <v>1.295358649789029</v>
          </cell>
          <cell r="AM223">
            <v>1.3610733723620612</v>
          </cell>
          <cell r="AN223">
            <v>1.3609470756528876</v>
          </cell>
          <cell r="AO223">
            <v>1.3609470756528876</v>
          </cell>
          <cell r="AP223">
            <v>1.3266393261895317</v>
          </cell>
          <cell r="AQ223">
            <v>1.3485391444713466</v>
          </cell>
          <cell r="AR223">
            <v>1.3493087327183177</v>
          </cell>
        </row>
        <row r="224">
          <cell r="D224">
            <v>149</v>
          </cell>
          <cell r="E224">
            <v>1.3076224702099486</v>
          </cell>
          <cell r="F224">
            <v>1.3080472602102526</v>
          </cell>
          <cell r="G224">
            <v>1.2945368171021376</v>
          </cell>
          <cell r="H224">
            <v>1.295358649789029</v>
          </cell>
          <cell r="O224">
            <v>1.3672896699269002</v>
          </cell>
          <cell r="P224">
            <v>1.3671607753705823</v>
          </cell>
          <cell r="Q224">
            <v>1.3671607753705823</v>
          </cell>
          <cell r="R224">
            <v>1.3675622622991039</v>
          </cell>
          <cell r="S224">
            <v>1.3548412965725196</v>
          </cell>
          <cell r="T224">
            <v>1.3555908850026503</v>
          </cell>
          <cell r="AA224">
            <v>1.3672896699269002</v>
          </cell>
          <cell r="AB224">
            <v>1.3671607753705823</v>
          </cell>
          <cell r="AC224">
            <v>1.3076224702099486</v>
          </cell>
          <cell r="AD224">
            <v>1.3080472602102526</v>
          </cell>
          <cell r="AE224">
            <v>1.2945368171021376</v>
          </cell>
          <cell r="AF224">
            <v>1.295358649789029</v>
          </cell>
          <cell r="AM224">
            <v>1.3610733723620612</v>
          </cell>
          <cell r="AN224">
            <v>1.3609470756528876</v>
          </cell>
          <cell r="AO224">
            <v>1.3609470756528876</v>
          </cell>
          <cell r="AP224">
            <v>1.3266393261895317</v>
          </cell>
          <cell r="AQ224">
            <v>1.3485391444713466</v>
          </cell>
          <cell r="AR224">
            <v>1.3493087327183177</v>
          </cell>
        </row>
        <row r="225">
          <cell r="D225">
            <v>150</v>
          </cell>
          <cell r="E225">
            <v>1.3076224702099486</v>
          </cell>
          <cell r="F225">
            <v>1.3080472602102526</v>
          </cell>
          <cell r="G225">
            <v>1.2945368171021376</v>
          </cell>
          <cell r="H225">
            <v>1.295358649789029</v>
          </cell>
          <cell r="O225">
            <v>1.3672896699269002</v>
          </cell>
          <cell r="P225">
            <v>1.3671607753705823</v>
          </cell>
          <cell r="Q225">
            <v>1.3671607753705823</v>
          </cell>
          <cell r="R225">
            <v>1.3675622622991039</v>
          </cell>
          <cell r="S225">
            <v>1.3548412965725196</v>
          </cell>
          <cell r="T225">
            <v>1.3555908850026503</v>
          </cell>
          <cell r="AA225">
            <v>1.3672896699269002</v>
          </cell>
          <cell r="AB225">
            <v>1.3671607753705823</v>
          </cell>
          <cell r="AC225">
            <v>1.3076224702099486</v>
          </cell>
          <cell r="AD225">
            <v>1.3080472602102526</v>
          </cell>
          <cell r="AE225">
            <v>1.2945368171021376</v>
          </cell>
          <cell r="AF225">
            <v>1.295358649789029</v>
          </cell>
          <cell r="AM225">
            <v>1.3610733723620612</v>
          </cell>
          <cell r="AN225">
            <v>1.3609470756528876</v>
          </cell>
          <cell r="AO225">
            <v>1.3609470756528876</v>
          </cell>
          <cell r="AP225">
            <v>1.3266393261895317</v>
          </cell>
          <cell r="AQ225">
            <v>1.3485391444713466</v>
          </cell>
          <cell r="AR225">
            <v>1.3493087327183177</v>
          </cell>
        </row>
        <row r="226">
          <cell r="D226">
            <v>151</v>
          </cell>
          <cell r="E226">
            <v>1.3076224702099486</v>
          </cell>
          <cell r="F226">
            <v>1.3080472602102526</v>
          </cell>
          <cell r="G226">
            <v>1.2945368171021376</v>
          </cell>
          <cell r="H226">
            <v>1.295358649789029</v>
          </cell>
          <cell r="O226">
            <v>1.3672896699269002</v>
          </cell>
          <cell r="P226">
            <v>1.3671607753705823</v>
          </cell>
          <cell r="Q226">
            <v>1.3671607753705823</v>
          </cell>
          <cell r="R226">
            <v>1.3675622622991039</v>
          </cell>
          <cell r="S226">
            <v>1.3548412965725196</v>
          </cell>
          <cell r="T226">
            <v>1.3555908850026503</v>
          </cell>
          <cell r="AA226">
            <v>1.3672896699269002</v>
          </cell>
          <cell r="AB226">
            <v>1.3671607753705823</v>
          </cell>
          <cell r="AC226">
            <v>1.3076224702099486</v>
          </cell>
          <cell r="AD226">
            <v>1.3080472602102526</v>
          </cell>
          <cell r="AE226">
            <v>1.2945368171021376</v>
          </cell>
          <cell r="AF226">
            <v>1.295358649789029</v>
          </cell>
          <cell r="AM226">
            <v>1.3610733723620612</v>
          </cell>
          <cell r="AN226">
            <v>1.3609470756528876</v>
          </cell>
          <cell r="AO226">
            <v>1.3609470756528876</v>
          </cell>
          <cell r="AP226">
            <v>1.3266393261895317</v>
          </cell>
          <cell r="AQ226">
            <v>1.3485391444713466</v>
          </cell>
          <cell r="AR226">
            <v>1.3493087327183177</v>
          </cell>
        </row>
        <row r="227">
          <cell r="D227">
            <v>152</v>
          </cell>
          <cell r="E227">
            <v>1.3076224702099486</v>
          </cell>
          <cell r="F227">
            <v>1.3080472602102526</v>
          </cell>
          <cell r="G227">
            <v>1.2945368171021376</v>
          </cell>
          <cell r="H227">
            <v>1.295358649789029</v>
          </cell>
          <cell r="O227">
            <v>1.3672896699269002</v>
          </cell>
          <cell r="P227">
            <v>1.3671607753705823</v>
          </cell>
          <cell r="Q227">
            <v>1.3671607753705823</v>
          </cell>
          <cell r="R227">
            <v>1.3675622622991039</v>
          </cell>
          <cell r="S227">
            <v>1.3548412965725196</v>
          </cell>
          <cell r="T227">
            <v>1.3555908850026503</v>
          </cell>
          <cell r="AA227">
            <v>1.3672896699269002</v>
          </cell>
          <cell r="AB227">
            <v>1.3671607753705823</v>
          </cell>
          <cell r="AC227">
            <v>1.3076224702099486</v>
          </cell>
          <cell r="AD227">
            <v>1.3080472602102526</v>
          </cell>
          <cell r="AE227">
            <v>1.2945368171021376</v>
          </cell>
          <cell r="AF227">
            <v>1.295358649789029</v>
          </cell>
          <cell r="AM227">
            <v>1.3610733723620612</v>
          </cell>
          <cell r="AN227">
            <v>1.3609470756528876</v>
          </cell>
          <cell r="AO227">
            <v>1.3609470756528876</v>
          </cell>
          <cell r="AP227">
            <v>1.3266393261895317</v>
          </cell>
          <cell r="AQ227">
            <v>1.3485391444713466</v>
          </cell>
          <cell r="AR227">
            <v>1.3493087327183177</v>
          </cell>
        </row>
        <row r="228">
          <cell r="D228">
            <v>153</v>
          </cell>
          <cell r="E228">
            <v>1.3076224702099486</v>
          </cell>
          <cell r="F228">
            <v>1.3080472602102526</v>
          </cell>
          <cell r="G228">
            <v>1.2945368171021376</v>
          </cell>
          <cell r="H228">
            <v>1.295358649789029</v>
          </cell>
          <cell r="O228">
            <v>1.3672896699269002</v>
          </cell>
          <cell r="P228">
            <v>1.3671607753705823</v>
          </cell>
          <cell r="Q228">
            <v>1.3671607753705823</v>
          </cell>
          <cell r="R228">
            <v>1.3675622622991039</v>
          </cell>
          <cell r="S228">
            <v>1.3548412965725196</v>
          </cell>
          <cell r="T228">
            <v>1.3555908850026503</v>
          </cell>
          <cell r="AA228">
            <v>1.3672896699269002</v>
          </cell>
          <cell r="AB228">
            <v>1.3671607753705823</v>
          </cell>
          <cell r="AC228">
            <v>1.3076224702099486</v>
          </cell>
          <cell r="AD228">
            <v>1.3080472602102526</v>
          </cell>
          <cell r="AE228">
            <v>1.2945368171021376</v>
          </cell>
          <cell r="AF228">
            <v>1.295358649789029</v>
          </cell>
          <cell r="AM228">
            <v>1.3610733723620612</v>
          </cell>
          <cell r="AN228">
            <v>1.3609470756528876</v>
          </cell>
          <cell r="AO228">
            <v>1.3609470756528876</v>
          </cell>
          <cell r="AP228">
            <v>1.3266393261895317</v>
          </cell>
          <cell r="AQ228">
            <v>1.3485391444713466</v>
          </cell>
          <cell r="AR228">
            <v>1.3493087327183177</v>
          </cell>
        </row>
        <row r="229">
          <cell r="D229">
            <v>154</v>
          </cell>
          <cell r="E229">
            <v>1.3076224702099486</v>
          </cell>
          <cell r="F229">
            <v>1.3080472602102526</v>
          </cell>
          <cell r="G229">
            <v>1.2945368171021376</v>
          </cell>
          <cell r="H229">
            <v>1.295358649789029</v>
          </cell>
          <cell r="O229">
            <v>1.3672896699269002</v>
          </cell>
          <cell r="P229">
            <v>1.3671607753705823</v>
          </cell>
          <cell r="Q229">
            <v>1.3671607753705823</v>
          </cell>
          <cell r="R229">
            <v>1.3675622622991039</v>
          </cell>
          <cell r="S229">
            <v>1.3548412965725196</v>
          </cell>
          <cell r="T229">
            <v>1.3555908850026503</v>
          </cell>
          <cell r="AA229">
            <v>1.3672896699269002</v>
          </cell>
          <cell r="AB229">
            <v>1.3671607753705823</v>
          </cell>
          <cell r="AC229">
            <v>1.3076224702099486</v>
          </cell>
          <cell r="AD229">
            <v>1.3080472602102526</v>
          </cell>
          <cell r="AE229">
            <v>1.2945368171021376</v>
          </cell>
          <cell r="AF229">
            <v>1.295358649789029</v>
          </cell>
          <cell r="AM229">
            <v>1.3610733723620612</v>
          </cell>
          <cell r="AN229">
            <v>1.3609470756528876</v>
          </cell>
          <cell r="AO229">
            <v>1.3609470756528876</v>
          </cell>
          <cell r="AP229">
            <v>1.3266393261895317</v>
          </cell>
          <cell r="AQ229">
            <v>1.3485391444713466</v>
          </cell>
          <cell r="AR229">
            <v>1.3493087327183177</v>
          </cell>
        </row>
        <row r="230">
          <cell r="D230">
            <v>155</v>
          </cell>
          <cell r="E230">
            <v>1.3076224702099486</v>
          </cell>
          <cell r="F230">
            <v>1.3080472602102526</v>
          </cell>
          <cell r="G230">
            <v>1.2945368171021376</v>
          </cell>
          <cell r="H230">
            <v>1.295358649789029</v>
          </cell>
          <cell r="O230">
            <v>1.3672896699269002</v>
          </cell>
          <cell r="P230">
            <v>1.3671607753705823</v>
          </cell>
          <cell r="Q230">
            <v>1.3671607753705823</v>
          </cell>
          <cell r="R230">
            <v>1.3675622622991039</v>
          </cell>
          <cell r="S230">
            <v>1.3548412965725196</v>
          </cell>
          <cell r="T230">
            <v>1.3555908850026503</v>
          </cell>
          <cell r="AA230">
            <v>1.3672896699269002</v>
          </cell>
          <cell r="AB230">
            <v>1.3671607753705823</v>
          </cell>
          <cell r="AC230">
            <v>1.3076224702099486</v>
          </cell>
          <cell r="AD230">
            <v>1.3080472602102526</v>
          </cell>
          <cell r="AE230">
            <v>1.2945368171021376</v>
          </cell>
          <cell r="AF230">
            <v>1.295358649789029</v>
          </cell>
          <cell r="AM230">
            <v>1.3610733723620612</v>
          </cell>
          <cell r="AN230">
            <v>1.3609470756528876</v>
          </cell>
          <cell r="AO230">
            <v>1.3609470756528876</v>
          </cell>
          <cell r="AP230">
            <v>1.3266393261895317</v>
          </cell>
          <cell r="AQ230">
            <v>1.3485391444713466</v>
          </cell>
          <cell r="AR230">
            <v>1.3493087327183177</v>
          </cell>
        </row>
        <row r="231">
          <cell r="D231">
            <v>156</v>
          </cell>
          <cell r="E231">
            <v>1.3076224702099486</v>
          </cell>
          <cell r="F231">
            <v>1.3080472602102526</v>
          </cell>
          <cell r="G231">
            <v>1.2945368171021376</v>
          </cell>
          <cell r="H231">
            <v>1.295358649789029</v>
          </cell>
          <cell r="O231">
            <v>1.3672896699269002</v>
          </cell>
          <cell r="P231">
            <v>1.3671607753705823</v>
          </cell>
          <cell r="Q231">
            <v>1.3671607753705823</v>
          </cell>
          <cell r="R231">
            <v>1.3675622622991039</v>
          </cell>
          <cell r="S231">
            <v>1.3548412965725196</v>
          </cell>
          <cell r="T231">
            <v>1.3555908850026503</v>
          </cell>
          <cell r="AA231">
            <v>1.3672896699269002</v>
          </cell>
          <cell r="AB231">
            <v>1.3671607753705823</v>
          </cell>
          <cell r="AC231">
            <v>1.3076224702099486</v>
          </cell>
          <cell r="AD231">
            <v>1.3080472602102526</v>
          </cell>
          <cell r="AE231">
            <v>1.2945368171021376</v>
          </cell>
          <cell r="AF231">
            <v>1.295358649789029</v>
          </cell>
          <cell r="AM231">
            <v>1.3610733723620612</v>
          </cell>
          <cell r="AN231">
            <v>1.3609470756528876</v>
          </cell>
          <cell r="AO231">
            <v>1.3609470756528876</v>
          </cell>
          <cell r="AP231">
            <v>1.3266393261895317</v>
          </cell>
          <cell r="AQ231">
            <v>1.3485391444713466</v>
          </cell>
          <cell r="AR231">
            <v>1.3493087327183177</v>
          </cell>
        </row>
        <row r="232">
          <cell r="D232">
            <v>157</v>
          </cell>
          <cell r="E232">
            <v>1.3076224702099486</v>
          </cell>
          <cell r="F232">
            <v>1.3080472602102526</v>
          </cell>
          <cell r="G232">
            <v>1.2945368171021376</v>
          </cell>
          <cell r="H232">
            <v>1.295358649789029</v>
          </cell>
          <cell r="O232">
            <v>1.3672896699269002</v>
          </cell>
          <cell r="P232">
            <v>1.3671607753705823</v>
          </cell>
          <cell r="Q232">
            <v>1.3671607753705823</v>
          </cell>
          <cell r="R232">
            <v>1.3675622622991039</v>
          </cell>
          <cell r="S232">
            <v>1.3548412965725196</v>
          </cell>
          <cell r="T232">
            <v>1.3555908850026503</v>
          </cell>
          <cell r="AA232">
            <v>1.3672896699269002</v>
          </cell>
          <cell r="AB232">
            <v>1.3671607753705823</v>
          </cell>
          <cell r="AC232">
            <v>1.3076224702099486</v>
          </cell>
          <cell r="AD232">
            <v>1.3080472602102526</v>
          </cell>
          <cell r="AE232">
            <v>1.2945368171021376</v>
          </cell>
          <cell r="AF232">
            <v>1.295358649789029</v>
          </cell>
          <cell r="AM232">
            <v>1.3610733723620612</v>
          </cell>
          <cell r="AN232">
            <v>1.3609470756528876</v>
          </cell>
          <cell r="AO232">
            <v>1.3609470756528876</v>
          </cell>
          <cell r="AP232">
            <v>1.3266393261895317</v>
          </cell>
          <cell r="AQ232">
            <v>1.3485391444713466</v>
          </cell>
          <cell r="AR232">
            <v>1.3493087327183177</v>
          </cell>
        </row>
        <row r="233">
          <cell r="D233">
            <v>158</v>
          </cell>
          <cell r="E233">
            <v>1.3076224702099486</v>
          </cell>
          <cell r="F233">
            <v>1.3080472602102526</v>
          </cell>
          <cell r="G233">
            <v>1.2945368171021376</v>
          </cell>
          <cell r="H233">
            <v>1.295358649789029</v>
          </cell>
          <cell r="O233">
            <v>1.3672896699269002</v>
          </cell>
          <cell r="P233">
            <v>1.3671607753705823</v>
          </cell>
          <cell r="Q233">
            <v>1.3671607753705823</v>
          </cell>
          <cell r="R233">
            <v>1.3675622622991039</v>
          </cell>
          <cell r="S233">
            <v>1.3548412965725196</v>
          </cell>
          <cell r="T233">
            <v>1.3555908850026503</v>
          </cell>
          <cell r="AA233">
            <v>1.3672896699269002</v>
          </cell>
          <cell r="AB233">
            <v>1.3671607753705823</v>
          </cell>
          <cell r="AC233">
            <v>1.3076224702099486</v>
          </cell>
          <cell r="AD233">
            <v>1.3080472602102526</v>
          </cell>
          <cell r="AE233">
            <v>1.2945368171021376</v>
          </cell>
          <cell r="AF233">
            <v>1.295358649789029</v>
          </cell>
          <cell r="AM233">
            <v>1.3610733723620612</v>
          </cell>
          <cell r="AN233">
            <v>1.3609470756528876</v>
          </cell>
          <cell r="AO233">
            <v>1.3609470756528876</v>
          </cell>
          <cell r="AP233">
            <v>1.3266393261895317</v>
          </cell>
          <cell r="AQ233">
            <v>1.3485391444713466</v>
          </cell>
          <cell r="AR233">
            <v>1.3493087327183177</v>
          </cell>
        </row>
        <row r="234">
          <cell r="D234">
            <v>159</v>
          </cell>
          <cell r="E234">
            <v>1.3076224702099486</v>
          </cell>
          <cell r="F234">
            <v>1.3080472602102526</v>
          </cell>
          <cell r="G234">
            <v>1.2945368171021376</v>
          </cell>
          <cell r="H234">
            <v>1.295358649789029</v>
          </cell>
          <cell r="O234">
            <v>1.3672896699269002</v>
          </cell>
          <cell r="P234">
            <v>1.3671607753705823</v>
          </cell>
          <cell r="Q234">
            <v>1.3671607753705823</v>
          </cell>
          <cell r="R234">
            <v>1.3675622622991039</v>
          </cell>
          <cell r="S234">
            <v>1.3548412965725196</v>
          </cell>
          <cell r="T234">
            <v>1.3555908850026503</v>
          </cell>
          <cell r="AA234">
            <v>1.3672896699269002</v>
          </cell>
          <cell r="AB234">
            <v>1.3671607753705823</v>
          </cell>
          <cell r="AC234">
            <v>1.3076224702099486</v>
          </cell>
          <cell r="AD234">
            <v>1.3080472602102526</v>
          </cell>
          <cell r="AE234">
            <v>1.2945368171021376</v>
          </cell>
          <cell r="AF234">
            <v>1.295358649789029</v>
          </cell>
          <cell r="AM234">
            <v>1.3610733723620612</v>
          </cell>
          <cell r="AN234">
            <v>1.3609470756528876</v>
          </cell>
          <cell r="AO234">
            <v>1.3609470756528876</v>
          </cell>
          <cell r="AP234">
            <v>1.3266393261895317</v>
          </cell>
          <cell r="AQ234">
            <v>1.3485391444713466</v>
          </cell>
          <cell r="AR234">
            <v>1.3493087327183177</v>
          </cell>
        </row>
        <row r="235">
          <cell r="D235">
            <v>160</v>
          </cell>
          <cell r="E235">
            <v>1.3076224702099486</v>
          </cell>
          <cell r="F235">
            <v>1.3080472602102526</v>
          </cell>
          <cell r="G235">
            <v>1.2945368171021376</v>
          </cell>
          <cell r="H235">
            <v>1.295358649789029</v>
          </cell>
          <cell r="O235">
            <v>1.3672896699269002</v>
          </cell>
          <cell r="P235">
            <v>1.3671607753705823</v>
          </cell>
          <cell r="Q235">
            <v>1.3671607753705823</v>
          </cell>
          <cell r="R235">
            <v>1.3675622622991039</v>
          </cell>
          <cell r="S235">
            <v>1.3548412965725196</v>
          </cell>
          <cell r="T235">
            <v>1.3555908850026503</v>
          </cell>
          <cell r="AA235">
            <v>1.3672896699269002</v>
          </cell>
          <cell r="AB235">
            <v>1.3671607753705823</v>
          </cell>
          <cell r="AC235">
            <v>1.3076224702099486</v>
          </cell>
          <cell r="AD235">
            <v>1.3080472602102526</v>
          </cell>
          <cell r="AE235">
            <v>1.2945368171021376</v>
          </cell>
          <cell r="AF235">
            <v>1.295358649789029</v>
          </cell>
          <cell r="AM235">
            <v>1.3610733723620612</v>
          </cell>
          <cell r="AN235">
            <v>1.3609470756528876</v>
          </cell>
          <cell r="AO235">
            <v>1.3609470756528876</v>
          </cell>
          <cell r="AP235">
            <v>1.3266393261895317</v>
          </cell>
          <cell r="AQ235">
            <v>1.3485391444713466</v>
          </cell>
          <cell r="AR235">
            <v>1.3493087327183177</v>
          </cell>
        </row>
        <row r="236">
          <cell r="D236">
            <v>161</v>
          </cell>
          <cell r="E236">
            <v>1.3076224702099486</v>
          </cell>
          <cell r="F236">
            <v>1.3080472602102526</v>
          </cell>
          <cell r="G236">
            <v>1.2945368171021376</v>
          </cell>
          <cell r="H236">
            <v>1.295358649789029</v>
          </cell>
          <cell r="O236">
            <v>1.3672896699269002</v>
          </cell>
          <cell r="P236">
            <v>1.3671607753705823</v>
          </cell>
          <cell r="Q236">
            <v>1.3671607753705823</v>
          </cell>
          <cell r="R236">
            <v>1.3675622622991039</v>
          </cell>
          <cell r="S236">
            <v>1.3548412965725196</v>
          </cell>
          <cell r="T236">
            <v>1.3555908850026503</v>
          </cell>
          <cell r="AA236">
            <v>1.3672896699269002</v>
          </cell>
          <cell r="AB236">
            <v>1.3671607753705823</v>
          </cell>
          <cell r="AC236">
            <v>1.3076224702099486</v>
          </cell>
          <cell r="AD236">
            <v>1.3080472602102526</v>
          </cell>
          <cell r="AE236">
            <v>1.2945368171021376</v>
          </cell>
          <cell r="AF236">
            <v>1.295358649789029</v>
          </cell>
          <cell r="AM236">
            <v>1.3610733723620612</v>
          </cell>
          <cell r="AN236">
            <v>1.3609470756528876</v>
          </cell>
          <cell r="AO236">
            <v>1.3609470756528876</v>
          </cell>
          <cell r="AP236">
            <v>1.3266393261895317</v>
          </cell>
          <cell r="AQ236">
            <v>1.3485391444713466</v>
          </cell>
          <cell r="AR236">
            <v>1.3493087327183177</v>
          </cell>
        </row>
        <row r="237">
          <cell r="D237">
            <v>162</v>
          </cell>
          <cell r="E237">
            <v>1.3076224702099486</v>
          </cell>
          <cell r="F237">
            <v>1.3080472602102526</v>
          </cell>
          <cell r="G237">
            <v>1.2945368171021376</v>
          </cell>
          <cell r="H237">
            <v>1.295358649789029</v>
          </cell>
          <cell r="O237">
            <v>1.3672896699269002</v>
          </cell>
          <cell r="P237">
            <v>1.3671607753705823</v>
          </cell>
          <cell r="Q237">
            <v>1.3671607753705823</v>
          </cell>
          <cell r="R237">
            <v>1.3675622622991039</v>
          </cell>
          <cell r="S237">
            <v>1.3548412965725196</v>
          </cell>
          <cell r="T237">
            <v>1.3555908850026503</v>
          </cell>
          <cell r="AA237">
            <v>1.3672896699269002</v>
          </cell>
          <cell r="AB237">
            <v>1.3671607753705823</v>
          </cell>
          <cell r="AC237">
            <v>1.3076224702099486</v>
          </cell>
          <cell r="AD237">
            <v>1.3080472602102526</v>
          </cell>
          <cell r="AE237">
            <v>1.2945368171021376</v>
          </cell>
          <cell r="AF237">
            <v>1.295358649789029</v>
          </cell>
          <cell r="AM237">
            <v>1.3610733723620612</v>
          </cell>
          <cell r="AN237">
            <v>1.3609470756528876</v>
          </cell>
          <cell r="AO237">
            <v>1.3609470756528876</v>
          </cell>
          <cell r="AP237">
            <v>1.3266393261895317</v>
          </cell>
          <cell r="AQ237">
            <v>1.3485391444713466</v>
          </cell>
          <cell r="AR237">
            <v>1.3493087327183177</v>
          </cell>
        </row>
        <row r="238">
          <cell r="D238">
            <v>163</v>
          </cell>
          <cell r="E238">
            <v>1.3076224702099486</v>
          </cell>
          <cell r="F238">
            <v>1.3080472602102526</v>
          </cell>
          <cell r="G238">
            <v>1.2945368171021376</v>
          </cell>
          <cell r="H238">
            <v>1.295358649789029</v>
          </cell>
          <cell r="O238">
            <v>1.3672896699269002</v>
          </cell>
          <cell r="P238">
            <v>1.3671607753705823</v>
          </cell>
          <cell r="Q238">
            <v>1.3671607753705823</v>
          </cell>
          <cell r="R238">
            <v>1.3675622622991039</v>
          </cell>
          <cell r="S238">
            <v>1.3548412965725196</v>
          </cell>
          <cell r="T238">
            <v>1.3555908850026503</v>
          </cell>
          <cell r="AA238">
            <v>1.3672896699269002</v>
          </cell>
          <cell r="AB238">
            <v>1.3671607753705823</v>
          </cell>
          <cell r="AC238">
            <v>1.3076224702099486</v>
          </cell>
          <cell r="AD238">
            <v>1.3080472602102526</v>
          </cell>
          <cell r="AE238">
            <v>1.2945368171021376</v>
          </cell>
          <cell r="AF238">
            <v>1.295358649789029</v>
          </cell>
          <cell r="AM238">
            <v>1.3610733723620612</v>
          </cell>
          <cell r="AN238">
            <v>1.3609470756528876</v>
          </cell>
          <cell r="AO238">
            <v>1.3609470756528876</v>
          </cell>
          <cell r="AP238">
            <v>1.3266393261895317</v>
          </cell>
          <cell r="AQ238">
            <v>1.3485391444713466</v>
          </cell>
          <cell r="AR238">
            <v>1.3493087327183177</v>
          </cell>
        </row>
        <row r="239">
          <cell r="D239">
            <v>164</v>
          </cell>
          <cell r="E239">
            <v>1.3076224702099486</v>
          </cell>
          <cell r="F239">
            <v>1.3080472602102526</v>
          </cell>
          <cell r="G239">
            <v>1.2945368171021376</v>
          </cell>
          <cell r="H239">
            <v>1.295358649789029</v>
          </cell>
          <cell r="O239">
            <v>1.3672896699269002</v>
          </cell>
          <cell r="P239">
            <v>1.3671607753705823</v>
          </cell>
          <cell r="Q239">
            <v>1.3671607753705823</v>
          </cell>
          <cell r="R239">
            <v>1.3675622622991039</v>
          </cell>
          <cell r="S239">
            <v>1.3548412965725196</v>
          </cell>
          <cell r="T239">
            <v>1.3555908850026503</v>
          </cell>
          <cell r="AA239">
            <v>1.3672896699269002</v>
          </cell>
          <cell r="AB239">
            <v>1.3671607753705823</v>
          </cell>
          <cell r="AC239">
            <v>1.3076224702099486</v>
          </cell>
          <cell r="AD239">
            <v>1.3080472602102526</v>
          </cell>
          <cell r="AE239">
            <v>1.2945368171021376</v>
          </cell>
          <cell r="AF239">
            <v>1.295358649789029</v>
          </cell>
          <cell r="AM239">
            <v>1.3610733723620612</v>
          </cell>
          <cell r="AN239">
            <v>1.3609470756528876</v>
          </cell>
          <cell r="AO239">
            <v>1.3609470756528876</v>
          </cell>
          <cell r="AP239">
            <v>1.3266393261895317</v>
          </cell>
          <cell r="AQ239">
            <v>1.3485391444713466</v>
          </cell>
          <cell r="AR239">
            <v>1.3493087327183177</v>
          </cell>
        </row>
        <row r="240">
          <cell r="D240">
            <v>165</v>
          </cell>
          <cell r="E240">
            <v>1.3076224702099486</v>
          </cell>
          <cell r="F240">
            <v>1.3080472602102526</v>
          </cell>
          <cell r="G240">
            <v>1.2945368171021376</v>
          </cell>
          <cell r="H240">
            <v>1.295358649789029</v>
          </cell>
          <cell r="O240">
            <v>1.3672896699269002</v>
          </cell>
          <cell r="P240">
            <v>1.3671607753705823</v>
          </cell>
          <cell r="Q240">
            <v>1.3671607753705823</v>
          </cell>
          <cell r="R240">
            <v>1.3675622622991039</v>
          </cell>
          <cell r="S240">
            <v>1.3548412965725196</v>
          </cell>
          <cell r="T240">
            <v>1.3555908850026503</v>
          </cell>
          <cell r="AA240">
            <v>1.3672896699269002</v>
          </cell>
          <cell r="AB240">
            <v>1.3671607753705823</v>
          </cell>
          <cell r="AC240">
            <v>1.3076224702099486</v>
          </cell>
          <cell r="AD240">
            <v>1.3080472602102526</v>
          </cell>
          <cell r="AE240">
            <v>1.2945368171021376</v>
          </cell>
          <cell r="AF240">
            <v>1.295358649789029</v>
          </cell>
          <cell r="AM240">
            <v>1.3610733723620612</v>
          </cell>
          <cell r="AN240">
            <v>1.3609470756528876</v>
          </cell>
          <cell r="AO240">
            <v>1.3609470756528876</v>
          </cell>
          <cell r="AP240">
            <v>1.3266393261895317</v>
          </cell>
          <cell r="AQ240">
            <v>1.3485391444713466</v>
          </cell>
          <cell r="AR240">
            <v>1.3493087327183177</v>
          </cell>
        </row>
        <row r="241">
          <cell r="D241">
            <v>166</v>
          </cell>
          <cell r="E241">
            <v>1.3076224702099486</v>
          </cell>
          <cell r="F241">
            <v>1.3080472602102526</v>
          </cell>
          <cell r="G241">
            <v>1.2945368171021376</v>
          </cell>
          <cell r="H241">
            <v>1.295358649789029</v>
          </cell>
          <cell r="O241">
            <v>1.3672896699269002</v>
          </cell>
          <cell r="P241">
            <v>1.3671607753705823</v>
          </cell>
          <cell r="Q241">
            <v>1.3671607753705823</v>
          </cell>
          <cell r="R241">
            <v>1.3675622622991039</v>
          </cell>
          <cell r="S241">
            <v>1.3548412965725196</v>
          </cell>
          <cell r="T241">
            <v>1.3555908850026503</v>
          </cell>
          <cell r="AA241">
            <v>1.3672896699269002</v>
          </cell>
          <cell r="AB241">
            <v>1.3671607753705823</v>
          </cell>
          <cell r="AC241">
            <v>1.3076224702099486</v>
          </cell>
          <cell r="AD241">
            <v>1.3080472602102526</v>
          </cell>
          <cell r="AE241">
            <v>1.2945368171021376</v>
          </cell>
          <cell r="AF241">
            <v>1.295358649789029</v>
          </cell>
          <cell r="AM241">
            <v>1.3610733723620612</v>
          </cell>
          <cell r="AN241">
            <v>1.3609470756528876</v>
          </cell>
          <cell r="AO241">
            <v>1.3609470756528876</v>
          </cell>
          <cell r="AP241">
            <v>1.3266393261895317</v>
          </cell>
          <cell r="AQ241">
            <v>1.3485391444713466</v>
          </cell>
          <cell r="AR241">
            <v>1.3493087327183177</v>
          </cell>
        </row>
        <row r="242">
          <cell r="D242">
            <v>167</v>
          </cell>
          <cell r="E242">
            <v>1.3076224702099486</v>
          </cell>
          <cell r="F242">
            <v>1.3080472602102526</v>
          </cell>
          <cell r="G242">
            <v>1.2945368171021376</v>
          </cell>
          <cell r="H242">
            <v>1.295358649789029</v>
          </cell>
          <cell r="O242">
            <v>1.3672896699269002</v>
          </cell>
          <cell r="P242">
            <v>1.3671607753705823</v>
          </cell>
          <cell r="Q242">
            <v>1.3671607753705823</v>
          </cell>
          <cell r="R242">
            <v>1.3675622622991039</v>
          </cell>
          <cell r="S242">
            <v>1.3548412965725196</v>
          </cell>
          <cell r="T242">
            <v>1.3555908850026503</v>
          </cell>
          <cell r="AA242">
            <v>1.3672896699269002</v>
          </cell>
          <cell r="AB242">
            <v>1.3671607753705823</v>
          </cell>
          <cell r="AC242">
            <v>1.3076224702099486</v>
          </cell>
          <cell r="AD242">
            <v>1.3080472602102526</v>
          </cell>
          <cell r="AE242">
            <v>1.2945368171021376</v>
          </cell>
          <cell r="AF242">
            <v>1.295358649789029</v>
          </cell>
          <cell r="AM242">
            <v>1.3610733723620612</v>
          </cell>
          <cell r="AN242">
            <v>1.3609470756528876</v>
          </cell>
          <cell r="AO242">
            <v>1.3609470756528876</v>
          </cell>
          <cell r="AP242">
            <v>1.3266393261895317</v>
          </cell>
          <cell r="AQ242">
            <v>1.3485391444713466</v>
          </cell>
          <cell r="AR242">
            <v>1.3493087327183177</v>
          </cell>
        </row>
        <row r="243">
          <cell r="D243">
            <v>168</v>
          </cell>
          <cell r="E243">
            <v>1.3076224702099486</v>
          </cell>
          <cell r="F243">
            <v>1.3080472602102526</v>
          </cell>
          <cell r="G243">
            <v>1.2945368171021376</v>
          </cell>
          <cell r="H243">
            <v>1.295358649789029</v>
          </cell>
          <cell r="O243">
            <v>1.3672896699269002</v>
          </cell>
          <cell r="P243">
            <v>1.3671607753705823</v>
          </cell>
          <cell r="Q243">
            <v>1.3671607753705823</v>
          </cell>
          <cell r="R243">
            <v>1.3675622622991039</v>
          </cell>
          <cell r="S243">
            <v>1.3548412965725196</v>
          </cell>
          <cell r="T243">
            <v>1.3555908850026503</v>
          </cell>
          <cell r="AA243">
            <v>1.3672896699269002</v>
          </cell>
          <cell r="AB243">
            <v>1.3671607753705823</v>
          </cell>
          <cell r="AC243">
            <v>1.3076224702099486</v>
          </cell>
          <cell r="AD243">
            <v>1.3080472602102526</v>
          </cell>
          <cell r="AE243">
            <v>1.2945368171021376</v>
          </cell>
          <cell r="AF243">
            <v>1.295358649789029</v>
          </cell>
          <cell r="AM243">
            <v>1.3610733723620612</v>
          </cell>
          <cell r="AN243">
            <v>1.3609470756528876</v>
          </cell>
          <cell r="AO243">
            <v>1.3609470756528876</v>
          </cell>
          <cell r="AP243">
            <v>1.3266393261895317</v>
          </cell>
          <cell r="AQ243">
            <v>1.3485391444713466</v>
          </cell>
          <cell r="AR243">
            <v>1.3493087327183177</v>
          </cell>
        </row>
      </sheetData>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4615.680875810183" createdVersion="6" refreshedVersion="6" minRefreshableVersion="3" recordCount="22">
  <cacheSource type="worksheet">
    <worksheetSource ref="B6:AF28" sheet="Summary Table (Remove Excluded)"/>
  </cacheSource>
  <cacheFields count="31">
    <cacheField name="Summary ID" numFmtId="0">
      <sharedItems containsMixedTypes="1" containsNumber="1" containsInteger="1" minValue="1" maxValue="25"/>
    </cacheField>
    <cacheField name="DER #" numFmtId="0">
      <sharedItems containsMixedTypes="1" containsNumber="1" containsInteger="1" minValue="1" maxValue="24"/>
    </cacheField>
    <cacheField name="Program Concept" numFmtId="0">
      <sharedItems count="22">
        <s v="3rd Party Customer-Sited Distributed Battery PPA"/>
        <s v="3rd Party Utility-scale Distributed Battery PPA"/>
        <s v="C&amp;I Battery Install Incentive"/>
        <s v="C&amp;I Space Leasing for Batteries"/>
        <s v="Multi-Family Unit Battery Program"/>
        <s v="PSE Mobile Batteries"/>
        <s v="PSE Substation Batteries"/>
        <s v="PSE Utility-Scale Distributed Battery Stations"/>
        <s v="Residential Battery Install Incentive"/>
        <s v="Residential PSE Battery Leasing"/>
        <s v="Residential PSE Battery Leasing - Low Income"/>
        <s v="3rd Party Distributed Solar PPA (or Solar Lease)"/>
        <s v="C&amp;I Roof-top Solar Incentive"/>
        <s v="C&amp;I Roof-top Solar Leasing"/>
        <s v="Multi-Family Solar Partnership"/>
        <s v="Multi-Family Roof-top Solar Incentive"/>
        <s v="PSE Customer-Sited Solar+Storage Offering (Solar)"/>
        <s v="PSE Customer-Sited Solar+Storage Offering (Battery)"/>
        <s v="Residential Roof-top Solar Leasing"/>
        <s v="Residential Roof-top Solar Leasing - Low Income"/>
        <s v="C&amp;I Battery BYO"/>
        <s v="Multi-family Community Solar"/>
      </sharedItems>
    </cacheField>
    <cacheField name="Resource Type" numFmtId="0">
      <sharedItems count="2">
        <s v="Battery"/>
        <s v="Solar"/>
      </sharedItems>
    </cacheField>
    <cacheField name="FOTM or BTM" numFmtId="0">
      <sharedItems/>
    </cacheField>
    <cacheField name="Ownership" numFmtId="0">
      <sharedItems/>
    </cacheField>
    <cacheField name="Customer-Facing? " numFmtId="0">
      <sharedItems/>
    </cacheField>
    <cacheField name="Mechanism" numFmtId="0">
      <sharedItems/>
    </cacheField>
    <cacheField name="Under Development, In Operation, or New?" numFmtId="0">
      <sharedItems/>
    </cacheField>
    <cacheField name="2022" numFmtId="0">
      <sharedItems containsSemiMixedTypes="0" containsString="0" containsNumber="1" minValue="0" maxValue="19" count="19">
        <n v="6.8"/>
        <n v="0"/>
        <n v="0.4"/>
        <n v="3.6"/>
        <n v="0.5"/>
        <n v="0.26500000000000001"/>
        <n v="1.1200000000000001"/>
        <n v="0.11"/>
        <n v="2.8"/>
        <n v="5.2190000000000003"/>
        <n v="8.4"/>
        <n v="8.3000000000000004E-2"/>
        <n v="0.41499999999999998"/>
        <n v="2.8679999999999999"/>
        <n v="2.39"/>
        <n v="0.64800000000000002"/>
        <n v="0.09"/>
        <n v="0.2"/>
        <n v="19"/>
      </sharedItems>
    </cacheField>
    <cacheField name="2023" numFmtId="0">
      <sharedItems containsSemiMixedTypes="0" containsString="0" containsNumber="1" minValue="0" maxValue="19" count="19">
        <n v="7"/>
        <n v="0"/>
        <n v="0.6"/>
        <n v="7.2"/>
        <n v="0.75"/>
        <n v="0.315"/>
        <n v="1.145"/>
        <n v="0.11"/>
        <n v="2.8"/>
        <n v="5.2190000000000003"/>
        <n v="12.8"/>
        <n v="8.3000000000000004E-2"/>
        <n v="0.41499999999999998"/>
        <n v="3.456"/>
        <n v="2.88"/>
        <n v="0.97799999999999998"/>
        <n v="0.13800000000000001"/>
        <n v="0.4"/>
        <n v="19"/>
      </sharedItems>
    </cacheField>
    <cacheField name="2024" numFmtId="0">
      <sharedItems containsSemiMixedTypes="0" containsString="0" containsNumber="1" minValue="0" maxValue="19"/>
    </cacheField>
    <cacheField name="2025" numFmtId="0">
      <sharedItems containsSemiMixedTypes="0" containsString="0" containsNumber="1" minValue="0" maxValue="21.6"/>
    </cacheField>
    <cacheField name="2026" numFmtId="0">
      <sharedItems containsSemiMixedTypes="0" containsString="0" containsNumber="1" minValue="0" maxValue="21.6"/>
    </cacheField>
    <cacheField name="2027" numFmtId="0">
      <sharedItems containsSemiMixedTypes="0" containsString="0" containsNumber="1" minValue="0" maxValue="22.8"/>
    </cacheField>
    <cacheField name="2028" numFmtId="0">
      <sharedItems containsSemiMixedTypes="0" containsString="0" containsNumber="1" minValue="0" maxValue="28.8"/>
    </cacheField>
    <cacheField name="2029" numFmtId="0">
      <sharedItems containsSemiMixedTypes="0" containsString="0" containsNumber="1" minValue="0" maxValue="36"/>
    </cacheField>
    <cacheField name="2030" numFmtId="0">
      <sharedItems containsSemiMixedTypes="0" containsString="0" containsNumber="1" minValue="0" maxValue="36"/>
    </cacheField>
    <cacheField name="Rated Capacity (kW-AC)" numFmtId="0">
      <sharedItems containsMixedTypes="1" containsNumber="1" containsInteger="1" minValue="5" maxValue="5000"/>
    </cacheField>
    <cacheField name="BESS Duration (hours)" numFmtId="0">
      <sharedItems containsMixedTypes="1" containsNumber="1" containsInteger="1" minValue="2" maxValue="4"/>
    </cacheField>
    <cacheField name="Program Life (yr)" numFmtId="0">
      <sharedItems containsSemiMixedTypes="0" containsString="0" containsNumber="1" containsInteger="1" minValue="5" maxValue="30"/>
    </cacheField>
    <cacheField name="UC-CAPEX" numFmtId="44">
      <sharedItems containsSemiMixedTypes="0" containsString="0" containsNumber="1" containsInteger="1" minValue="0" maxValue="4802"/>
    </cacheField>
    <cacheField name="UC-OPEX" numFmtId="44">
      <sharedItems containsSemiMixedTypes="0" containsString="0" containsNumber="1" containsInteger="1" minValue="0" maxValue="217"/>
    </cacheField>
    <cacheField name="UC-Programmatic" numFmtId="44">
      <sharedItems containsSemiMixedTypes="0" containsString="0" containsNumber="1" containsInteger="1" minValue="5" maxValue="172"/>
    </cacheField>
    <cacheField name="PC-CAPEX" numFmtId="44">
      <sharedItems containsSemiMixedTypes="0" containsString="0" containsNumber="1" minValue="0" maxValue="4027"/>
    </cacheField>
    <cacheField name="PC-OPEX" numFmtId="44">
      <sharedItems containsMixedTypes="1" containsNumber="1" containsInteger="1" minValue="0" maxValue="265"/>
    </cacheField>
    <cacheField name="PC-Participant" numFmtId="0">
      <sharedItems/>
    </cacheField>
    <cacheField name="AURORA $/Watt Cost" numFmtId="0">
      <sharedItems containsSemiMixedTypes="0" containsString="0" containsNumber="1" minValue="-0.52515932611883698" maxValue="26.334972555837133"/>
    </cacheField>
    <cacheField name="SCT" numFmtId="0">
      <sharedItems containsSemiMixedTypes="0" containsString="0" containsNumber="1" minValue="0" maxValue="0.65399230103020356"/>
    </cacheField>
    <cacheField name="Unweighted All CBI Score:" numFmtId="41">
      <sharedItems containsSemiMixedTypes="0" containsString="0" containsNumber="1" containsInteger="1" minValue="12" maxValue="20"/>
    </cacheField>
    <cacheField name="Selected" numFmtId="0">
      <sharedItems count="2">
        <s v="Not selected"/>
        <s v="Selected"/>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2">
  <r>
    <n v="1"/>
    <n v="1"/>
    <x v="0"/>
    <x v="0"/>
    <s v="BTM"/>
    <s v="3rd Party"/>
    <s v="Yes"/>
    <s v="3rd Party Offering"/>
    <s v="New"/>
    <x v="0"/>
    <x v="0"/>
    <n v="7.2"/>
    <n v="7.4"/>
    <n v="7.4"/>
    <n v="7.6"/>
    <n v="7.6"/>
    <n v="7.8"/>
    <n v="7.8"/>
    <n v="200"/>
    <n v="2"/>
    <n v="10"/>
    <n v="0"/>
    <n v="0"/>
    <n v="5"/>
    <n v="3072"/>
    <n v="265"/>
    <s v="Third Party"/>
    <n v="13.101785311970335"/>
    <n v="0.28160000000000002"/>
    <n v="16"/>
    <x v="0"/>
  </r>
  <r>
    <n v="2"/>
    <n v="2"/>
    <x v="1"/>
    <x v="0"/>
    <s v="FOTM"/>
    <s v="3rd Party"/>
    <s v="No"/>
    <s v="Portfolio Resource"/>
    <s v="New"/>
    <x v="1"/>
    <x v="1"/>
    <n v="0"/>
    <n v="0"/>
    <n v="0"/>
    <n v="0"/>
    <n v="5"/>
    <n v="5"/>
    <n v="5"/>
    <n v="5000"/>
    <n v="4"/>
    <n v="10"/>
    <n v="0"/>
    <n v="0"/>
    <n v="5"/>
    <n v="2292"/>
    <n v="67"/>
    <s v="Third Party"/>
    <n v="0"/>
    <n v="0"/>
    <n v="14"/>
    <x v="0"/>
  </r>
  <r>
    <n v="3"/>
    <n v="3"/>
    <x v="2"/>
    <x v="0"/>
    <s v="BTM"/>
    <s v="Customer(s)"/>
    <s v="Yes"/>
    <s v="PSE Incentive"/>
    <s v="New"/>
    <x v="2"/>
    <x v="2"/>
    <n v="0.8"/>
    <n v="1.2"/>
    <n v="1.6"/>
    <n v="2"/>
    <n v="2.4"/>
    <n v="2.8"/>
    <n v="3.4"/>
    <n v="200"/>
    <n v="2"/>
    <n v="10"/>
    <n v="0"/>
    <n v="0"/>
    <n v="63"/>
    <n v="3072"/>
    <n v="23"/>
    <s v="Customer"/>
    <n v="5.2236608394434931"/>
    <n v="0.17005155150118925"/>
    <n v="13"/>
    <x v="0"/>
  </r>
  <r>
    <n v="4"/>
    <n v="4"/>
    <x v="3"/>
    <x v="0"/>
    <s v="FOTM"/>
    <s v="PSE"/>
    <s v="Yes"/>
    <s v="PSE Program"/>
    <s v="New"/>
    <x v="3"/>
    <x v="3"/>
    <n v="7.2"/>
    <n v="7.2"/>
    <n v="14.4"/>
    <n v="14.4"/>
    <n v="28.8"/>
    <n v="36"/>
    <n v="36"/>
    <n v="200"/>
    <n v="4"/>
    <n v="10"/>
    <n v="4802"/>
    <n v="217"/>
    <n v="77"/>
    <n v="0"/>
    <n v="0"/>
    <s v="-"/>
    <n v="26.334972555837133"/>
    <n v="0.2011"/>
    <n v="17"/>
    <x v="1"/>
  </r>
  <r>
    <n v="5"/>
    <n v="5"/>
    <x v="4"/>
    <x v="0"/>
    <s v="BTM"/>
    <s v="PSE or PPA"/>
    <s v="No"/>
    <s v="PSE Program / 3rd Party Offering"/>
    <s v="New"/>
    <x v="4"/>
    <x v="4"/>
    <n v="0.75"/>
    <n v="0.75"/>
    <n v="1.75"/>
    <n v="1.75"/>
    <n v="3.25"/>
    <n v="4.25"/>
    <n v="4.25"/>
    <n v="250"/>
    <n v="3"/>
    <n v="10"/>
    <n v="3782"/>
    <n v="11"/>
    <n v="61"/>
    <n v="0"/>
    <n v="0"/>
    <s v="Customer"/>
    <n v="14.188653289794923"/>
    <n v="0.1842"/>
    <n v="17"/>
    <x v="0"/>
  </r>
  <r>
    <n v="6"/>
    <n v="6"/>
    <x v="5"/>
    <x v="0"/>
    <s v="FOTM"/>
    <s v="PSE"/>
    <s v="No"/>
    <s v="PSE Program"/>
    <s v="Under Development"/>
    <x v="1"/>
    <x v="1"/>
    <n v="0"/>
    <n v="0"/>
    <n v="0"/>
    <n v="0"/>
    <n v="0"/>
    <n v="0"/>
    <n v="0"/>
    <n v="500"/>
    <n v="2"/>
    <n v="10"/>
    <n v="1784"/>
    <n v="19"/>
    <n v="28"/>
    <n v="0"/>
    <n v="0"/>
    <s v="-"/>
    <n v="6.3874646759033205"/>
    <n v="0.4123"/>
    <n v="12"/>
    <x v="0"/>
  </r>
  <r>
    <n v="7"/>
    <n v="7"/>
    <x v="6"/>
    <x v="0"/>
    <s v="FOTM"/>
    <s v="PSE"/>
    <s v="No"/>
    <s v="Portfolio Resource"/>
    <s v="Under Development (in progress on Bainbridge)"/>
    <x v="1"/>
    <x v="1"/>
    <n v="0"/>
    <n v="0"/>
    <n v="0"/>
    <n v="0"/>
    <n v="0"/>
    <n v="0"/>
    <n v="0"/>
    <n v="3300"/>
    <n v="2"/>
    <n v="10"/>
    <n v="1339"/>
    <n v="20"/>
    <n v="18"/>
    <n v="0"/>
    <n v="0"/>
    <s v="-"/>
    <n v="4.712471923828125"/>
    <n v="0.46"/>
    <n v="12"/>
    <x v="0"/>
  </r>
  <r>
    <n v="8"/>
    <n v="8"/>
    <x v="7"/>
    <x v="0"/>
    <s v="FOTM"/>
    <s v="PSE"/>
    <s v="No"/>
    <s v="Portfolio Resource"/>
    <s v="Under Development"/>
    <x v="1"/>
    <x v="1"/>
    <n v="0"/>
    <n v="0"/>
    <n v="0"/>
    <n v="0"/>
    <n v="0"/>
    <n v="0"/>
    <n v="0"/>
    <n v="1000"/>
    <n v="2"/>
    <n v="10"/>
    <n v="1365"/>
    <n v="92"/>
    <n v="26"/>
    <n v="0"/>
    <n v="0"/>
    <s v="-"/>
    <n v="8.8681755371093693"/>
    <n v="0.31419999999999998"/>
    <n v="14"/>
    <x v="0"/>
  </r>
  <r>
    <n v="9"/>
    <n v="9"/>
    <x v="8"/>
    <x v="0"/>
    <s v="BTM"/>
    <s v="Customer(s)"/>
    <s v="Yes"/>
    <s v="PSE Incentive"/>
    <s v="New"/>
    <x v="5"/>
    <x v="5"/>
    <n v="0.37"/>
    <n v="0.43"/>
    <n v="0.495"/>
    <n v="0.56000000000000005"/>
    <n v="0.63"/>
    <n v="0.69499999999999995"/>
    <n v="0.76500000000000001"/>
    <n v="5"/>
    <n v="3"/>
    <n v="10"/>
    <n v="0"/>
    <n v="0"/>
    <n v="70"/>
    <n v="3782"/>
    <n v="42"/>
    <s v="Customer"/>
    <n v="6.3576728588689448"/>
    <n v="0.18697381815723682"/>
    <n v="15"/>
    <x v="0"/>
  </r>
  <r>
    <n v="10"/>
    <n v="10"/>
    <x v="9"/>
    <x v="0"/>
    <s v="BTM"/>
    <s v="PSE"/>
    <s v="Yes"/>
    <s v="PSE Program"/>
    <s v="New"/>
    <x v="6"/>
    <x v="6"/>
    <n v="1.165"/>
    <n v="1.1850000000000001"/>
    <n v="1.2"/>
    <n v="1.2150000000000001"/>
    <n v="1.23"/>
    <n v="1.2450000000000001"/>
    <n v="1.26"/>
    <n v="5"/>
    <n v="3"/>
    <n v="10"/>
    <n v="3782"/>
    <n v="42"/>
    <n v="96"/>
    <n v="0"/>
    <n v="60"/>
    <s v="Customer"/>
    <n v="13.920828306662617"/>
    <n v="0.17699999999999999"/>
    <n v="19"/>
    <x v="1"/>
  </r>
  <r>
    <n v="11"/>
    <n v="11"/>
    <x v="10"/>
    <x v="0"/>
    <s v="BTM"/>
    <s v="PSE"/>
    <s v="Yes"/>
    <s v="PSE Program"/>
    <s v="New"/>
    <x v="7"/>
    <x v="7"/>
    <n v="0.11"/>
    <n v="0.11"/>
    <n v="0.11"/>
    <n v="0.11"/>
    <n v="0.11"/>
    <n v="0.11"/>
    <n v="0.11"/>
    <n v="5"/>
    <n v="3"/>
    <n v="10"/>
    <n v="3782"/>
    <n v="42"/>
    <n v="96"/>
    <n v="0"/>
    <n v="10"/>
    <s v="Customer"/>
    <n v="16.132658183982102"/>
    <n v="0.1946"/>
    <n v="20"/>
    <x v="1"/>
  </r>
  <r>
    <n v="16"/>
    <n v="16"/>
    <x v="11"/>
    <x v="1"/>
    <s v="FOTM"/>
    <s v="3rd Party"/>
    <s v="Yes"/>
    <s v="3rd Party Offering"/>
    <s v="New"/>
    <x v="8"/>
    <x v="8"/>
    <n v="2.8"/>
    <n v="2.8"/>
    <n v="4.8"/>
    <n v="6.8"/>
    <n v="8.8000000000000007"/>
    <n v="11.2"/>
    <n v="13.2"/>
    <n v="308"/>
    <s v="-"/>
    <n v="30"/>
    <n v="0"/>
    <n v="0"/>
    <n v="6"/>
    <n v="2165"/>
    <n v="87"/>
    <s v="Third Party"/>
    <n v="4.6354712939937226"/>
    <n v="0.65399230103020356"/>
    <n v="15"/>
    <x v="1"/>
  </r>
  <r>
    <n v="17"/>
    <n v="17"/>
    <x v="12"/>
    <x v="1"/>
    <s v="BTM"/>
    <s v="Customer(s)"/>
    <s v="Yes"/>
    <s v="PSE Incentive"/>
    <s v="New"/>
    <x v="9"/>
    <x v="9"/>
    <n v="5.2190000000000003"/>
    <n v="5.2190000000000003"/>
    <n v="7.0609999999999999"/>
    <n v="8.5960000000000001"/>
    <n v="10.131"/>
    <n v="11.666"/>
    <n v="13.201000000000001"/>
    <n v="308"/>
    <s v="-"/>
    <n v="30"/>
    <n v="0"/>
    <n v="0"/>
    <n v="8"/>
    <n v="2165"/>
    <n v="32"/>
    <s v="Customer"/>
    <n v="0.45340382079178365"/>
    <n v="0.49574268401292115"/>
    <n v="16"/>
    <x v="1"/>
  </r>
  <r>
    <n v="18"/>
    <n v="18"/>
    <x v="13"/>
    <x v="1"/>
    <s v="FOTM"/>
    <s v="PSE or PPA"/>
    <s v="Yes"/>
    <s v="PSE Program"/>
    <s v="New"/>
    <x v="10"/>
    <x v="10"/>
    <n v="17.2"/>
    <n v="21.6"/>
    <n v="21.6"/>
    <n v="21.6"/>
    <n v="21.6"/>
    <n v="21.6"/>
    <n v="21.6"/>
    <n v="308"/>
    <s v="-"/>
    <n v="30"/>
    <n v="2162"/>
    <n v="45"/>
    <n v="31"/>
    <n v="0"/>
    <n v="0"/>
    <s v="-"/>
    <n v="8.964012775361347"/>
    <n v="0.3794284339748269"/>
    <n v="16"/>
    <x v="0"/>
  </r>
  <r>
    <n v="19"/>
    <n v="19"/>
    <x v="14"/>
    <x v="1"/>
    <s v="BTM"/>
    <s v="Landlord or 3rd Party"/>
    <s v="Yes"/>
    <s v="PSE Program or PSE Rate"/>
    <s v="New"/>
    <x v="11"/>
    <x v="11"/>
    <n v="8.3000000000000004E-2"/>
    <n v="8.3000000000000004E-2"/>
    <n v="8.3000000000000004E-2"/>
    <n v="0.16600000000000001"/>
    <n v="0.249"/>
    <n v="0.249"/>
    <n v="0.33200000000000002"/>
    <n v="83"/>
    <s v="-"/>
    <n v="30"/>
    <n v="0"/>
    <n v="0"/>
    <n v="47"/>
    <n v="4027"/>
    <n v="119"/>
    <s v="Customer"/>
    <n v="18.531135620948916"/>
    <n v="0.16558823561576444"/>
    <n v="16"/>
    <x v="1"/>
  </r>
  <r>
    <n v="20"/>
    <n v="20"/>
    <x v="15"/>
    <x v="1"/>
    <s v="BTM"/>
    <s v="Landlord or 3rd Party"/>
    <s v="Yes"/>
    <s v="PSE Program or PSE Rate"/>
    <s v="New"/>
    <x v="12"/>
    <x v="12"/>
    <n v="0.41499999999999998"/>
    <n v="0.41499999999999998"/>
    <n v="0.498"/>
    <n v="0.498"/>
    <n v="0.58099999999999996"/>
    <n v="0.66400000000000003"/>
    <n v="0.66400000000000003"/>
    <n v="83"/>
    <s v="-"/>
    <n v="30"/>
    <n v="0"/>
    <n v="0"/>
    <n v="172"/>
    <n v="4027"/>
    <n v="119"/>
    <s v="Customer"/>
    <n v="9.2076025756029747"/>
    <n v="0.1173427519052541"/>
    <n v="16"/>
    <x v="1"/>
  </r>
  <r>
    <s v="21a"/>
    <s v="21a"/>
    <x v="16"/>
    <x v="1"/>
    <s v="BTM"/>
    <s v="Customer(s)"/>
    <s v="Yes"/>
    <s v="PSE Program"/>
    <s v="New"/>
    <x v="13"/>
    <x v="13"/>
    <n v="4.1159999999999997"/>
    <n v="4.8419999999999996"/>
    <n v="5.64"/>
    <n v="6.5039999999999996"/>
    <n v="7.4340000000000002"/>
    <n v="8.4179999999999993"/>
    <n v="9.4559999999999995"/>
    <s v="6 Solar"/>
    <n v="3"/>
    <n v="5"/>
    <n v="0"/>
    <n v="0"/>
    <n v="88"/>
    <n v="3394.5"/>
    <n v="40"/>
    <s v="Customer"/>
    <n v="6.4572802308164361"/>
    <n v="0.17516959361661694"/>
    <n v="19"/>
    <x v="1"/>
  </r>
  <r>
    <s v="21b"/>
    <s v="21b"/>
    <x v="17"/>
    <x v="0"/>
    <s v="BTM"/>
    <s v="Customer(s)"/>
    <s v="Yes"/>
    <s v="PSE Program"/>
    <s v="New"/>
    <x v="14"/>
    <x v="14"/>
    <n v="3.43"/>
    <n v="4.0350000000000001"/>
    <n v="4.7"/>
    <n v="5.42"/>
    <n v="6.1950000000000003"/>
    <n v="7.0149999999999997"/>
    <n v="7.88"/>
    <s v="6 Solar"/>
    <n v="3"/>
    <n v="5"/>
    <n v="0"/>
    <n v="0"/>
    <n v="88"/>
    <n v="3394.5"/>
    <n v="40"/>
    <s v="Customer"/>
    <n v="6.4572802308164361"/>
    <n v="0.17516959361661694"/>
    <n v="19"/>
    <x v="1"/>
  </r>
  <r>
    <n v="22"/>
    <n v="22"/>
    <x v="18"/>
    <x v="1"/>
    <s v="FOTM"/>
    <s v="PSE or PPA"/>
    <s v="Yes"/>
    <s v="PSE Program"/>
    <s v="New"/>
    <x v="15"/>
    <x v="15"/>
    <n v="1.38"/>
    <n v="1.788"/>
    <n v="2.4660000000000002"/>
    <n v="3.2759999999999998"/>
    <n v="4.1820000000000004"/>
    <n v="5.2859999999999996"/>
    <n v="6.6779999999999999"/>
    <n v="6"/>
    <s v="-"/>
    <n v="30"/>
    <n v="3547"/>
    <n v="163"/>
    <n v="46"/>
    <n v="0"/>
    <n v="0"/>
    <s v="-"/>
    <n v="18.415985147405596"/>
    <n v="0.21121505752351757"/>
    <n v="16"/>
    <x v="1"/>
  </r>
  <r>
    <n v="23"/>
    <n v="23"/>
    <x v="19"/>
    <x v="1"/>
    <s v="FOTM"/>
    <s v="PSE or PPA"/>
    <s v="Yes"/>
    <s v="PSE Program"/>
    <s v="New"/>
    <x v="16"/>
    <x v="16"/>
    <n v="0.19800000000000001"/>
    <n v="0.252"/>
    <n v="0.34799999999999998"/>
    <n v="0.46200000000000002"/>
    <n v="0.59399999999999997"/>
    <n v="0.75"/>
    <n v="0.94799999999999995"/>
    <n v="6"/>
    <s v="-"/>
    <n v="30"/>
    <n v="4439"/>
    <n v="204"/>
    <n v="46"/>
    <n v="0"/>
    <n v="0"/>
    <s v="-"/>
    <n v="22.472664936145215"/>
    <n v="0.17595976874201763"/>
    <n v="17"/>
    <x v="1"/>
  </r>
  <r>
    <n v="24"/>
    <n v="24"/>
    <x v="20"/>
    <x v="0"/>
    <s v="BTM"/>
    <s v="Customer(s)"/>
    <s v="Yes"/>
    <s v="PSE Incentive"/>
    <s v="New"/>
    <x v="17"/>
    <x v="17"/>
    <n v="0.4"/>
    <n v="0.6"/>
    <n v="0.8"/>
    <n v="1"/>
    <n v="1.2"/>
    <n v="1.4"/>
    <n v="1.8"/>
    <n v="200"/>
    <n v="2"/>
    <n v="10"/>
    <n v="0"/>
    <n v="0"/>
    <n v="7"/>
    <n v="3072"/>
    <n v="23"/>
    <s v="Customer"/>
    <n v="-0.52515932611883698"/>
    <n v="0.25758908336664499"/>
    <n v="13"/>
    <x v="0"/>
  </r>
  <r>
    <n v="25"/>
    <n v="14"/>
    <x v="21"/>
    <x v="1"/>
    <s v="FOTM"/>
    <s v="PSE or PPA"/>
    <s v="Yes"/>
    <s v="PSE Program"/>
    <s v="Under Development"/>
    <x v="18"/>
    <x v="18"/>
    <n v="19"/>
    <n v="19"/>
    <n v="19"/>
    <n v="22.8"/>
    <n v="22.8"/>
    <n v="22.8"/>
    <n v="22.8"/>
    <n v="3850"/>
    <s v="-"/>
    <n v="15"/>
    <n v="1408"/>
    <n v="21"/>
    <n v="20"/>
    <n v="0"/>
    <s v="$164 /_x000a_$31"/>
    <s v="Customer"/>
    <n v="3.08"/>
    <n v="0.49127613822504879"/>
    <n v="14"/>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3" cacheId="0" applyNumberFormats="0" applyBorderFormats="0" applyFontFormats="0" applyPatternFormats="0" applyAlignmentFormats="0" applyWidthHeightFormats="1" dataCaption="Values" updatedVersion="6" minRefreshableVersion="3" useAutoFormatting="1" colGrandTotals="0" itemPrintTitles="1" createdVersion="6" indent="0" outline="1" outlineData="1" multipleFieldFilters="0" chartFormat="54" rowHeaderCaption="Program Concept">
  <location ref="B230:K243" firstHeaderRow="0" firstDataRow="1" firstDataCol="1" rowPageCount="1" colPageCount="1"/>
  <pivotFields count="31">
    <pivotField showAll="0"/>
    <pivotField showAll="0"/>
    <pivotField axis="axisRow" showAll="0">
      <items count="23">
        <item x="0"/>
        <item x="4"/>
        <item x="1"/>
        <item x="2"/>
        <item x="21"/>
        <item x="11"/>
        <item x="15"/>
        <item x="3"/>
        <item x="17"/>
        <item x="9"/>
        <item x="8"/>
        <item x="10"/>
        <item x="18"/>
        <item x="14"/>
        <item x="19"/>
        <item x="20"/>
        <item x="12"/>
        <item x="13"/>
        <item h="1" x="7"/>
        <item h="1" x="5"/>
        <item h="1" x="6"/>
        <item x="16"/>
        <item t="default"/>
      </items>
    </pivotField>
    <pivotField axis="axisPage" showAll="0">
      <items count="3">
        <item x="0"/>
        <item x="1"/>
        <item t="default"/>
      </items>
    </pivotField>
    <pivotField showAll="0"/>
    <pivotField showAll="0"/>
    <pivotField showAll="0"/>
    <pivotField showAll="0"/>
    <pivotField showAll="0"/>
    <pivotField dataField="1" showAll="0">
      <items count="20">
        <item x="1"/>
        <item x="11"/>
        <item x="16"/>
        <item x="7"/>
        <item x="17"/>
        <item x="5"/>
        <item x="2"/>
        <item x="12"/>
        <item x="4"/>
        <item x="15"/>
        <item x="6"/>
        <item x="14"/>
        <item x="8"/>
        <item x="13"/>
        <item x="3"/>
        <item x="9"/>
        <item x="0"/>
        <item x="10"/>
        <item x="18"/>
        <item t="default"/>
      </items>
    </pivotField>
    <pivotField dataField="1" showAll="0" defaultSubtotal="0">
      <items count="19">
        <item x="1"/>
        <item x="11"/>
        <item x="7"/>
        <item x="16"/>
        <item x="5"/>
        <item x="17"/>
        <item x="12"/>
        <item x="2"/>
        <item x="4"/>
        <item x="15"/>
        <item x="6"/>
        <item x="8"/>
        <item x="14"/>
        <item x="13"/>
        <item x="9"/>
        <item x="0"/>
        <item x="3"/>
        <item x="10"/>
        <item x="18"/>
      </items>
    </pivotField>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showAll="0"/>
    <pivotField showAll="0"/>
    <pivotField showAll="0"/>
    <pivotField showAll="0"/>
    <pivotField showAll="0"/>
    <pivotField showAll="0"/>
    <pivotField showAll="0"/>
    <pivotField showAll="0"/>
    <pivotField showAll="0"/>
    <pivotField showAll="0"/>
    <pivotField showAll="0"/>
    <pivotField numFmtId="41" showAll="0"/>
    <pivotField axis="axisRow" showAll="0">
      <items count="3">
        <item x="0"/>
        <item x="1"/>
        <item t="default"/>
      </items>
    </pivotField>
  </pivotFields>
  <rowFields count="2">
    <field x="30"/>
    <field x="2"/>
  </rowFields>
  <rowItems count="13">
    <i>
      <x/>
    </i>
    <i r="1">
      <x/>
    </i>
    <i r="1">
      <x v="1"/>
    </i>
    <i r="1">
      <x v="2"/>
    </i>
    <i r="1">
      <x v="3"/>
    </i>
    <i r="1">
      <x v="10"/>
    </i>
    <i r="1">
      <x v="15"/>
    </i>
    <i>
      <x v="1"/>
    </i>
    <i r="1">
      <x v="7"/>
    </i>
    <i r="1">
      <x v="8"/>
    </i>
    <i r="1">
      <x v="9"/>
    </i>
    <i r="1">
      <x v="11"/>
    </i>
    <i t="grand">
      <x/>
    </i>
  </rowItems>
  <colFields count="1">
    <field x="-2"/>
  </colFields>
  <colItems count="9">
    <i>
      <x/>
    </i>
    <i i="1">
      <x v="1"/>
    </i>
    <i i="2">
      <x v="2"/>
    </i>
    <i i="3">
      <x v="3"/>
    </i>
    <i i="4">
      <x v="4"/>
    </i>
    <i i="5">
      <x v="5"/>
    </i>
    <i i="6">
      <x v="6"/>
    </i>
    <i i="7">
      <x v="7"/>
    </i>
    <i i="8">
      <x v="8"/>
    </i>
  </colItems>
  <pageFields count="1">
    <pageField fld="3" item="0" hier="-1"/>
  </pageFields>
  <dataFields count="9">
    <dataField name="Average of 2022" fld="9" subtotal="average" baseField="2" baseItem="4"/>
    <dataField name="Average of 2023" fld="10" subtotal="average" baseField="2" baseItem="4"/>
    <dataField name="Average of 2024" fld="11" subtotal="average" baseField="2" baseItem="4"/>
    <dataField name="Average of 2025" fld="12" subtotal="average" baseField="2" baseItem="4"/>
    <dataField name="Average of 2026" fld="13" subtotal="average" baseField="2" baseItem="4"/>
    <dataField name="Average of 2027" fld="14" subtotal="average" baseField="2" baseItem="4"/>
    <dataField name="Average of 2028" fld="15" subtotal="average" baseField="2" baseItem="4"/>
    <dataField name="Average of 2029" fld="16" subtotal="average" baseField="2" baseItem="4"/>
    <dataField name="Average of 2030" fld="17" subtotal="average" baseField="2" baseItem="4"/>
  </dataFields>
  <chartFormats count="144">
    <chartFormat chart="45" format="0" series="1">
      <pivotArea type="data" outline="0" fieldPosition="0">
        <references count="2">
          <reference field="4294967294" count="1" selected="0">
            <x v="0"/>
          </reference>
          <reference field="30" count="1" selected="0">
            <x v="0"/>
          </reference>
        </references>
      </pivotArea>
    </chartFormat>
    <chartFormat chart="45" format="1" series="1">
      <pivotArea type="data" outline="0" fieldPosition="0">
        <references count="2">
          <reference field="4294967294" count="1" selected="0">
            <x v="0"/>
          </reference>
          <reference field="30" count="1" selected="0">
            <x v="1"/>
          </reference>
        </references>
      </pivotArea>
    </chartFormat>
    <chartFormat chart="45" format="2" series="1">
      <pivotArea type="data" outline="0" fieldPosition="0">
        <references count="2">
          <reference field="4294967294" count="1" selected="0">
            <x v="1"/>
          </reference>
          <reference field="30" count="1" selected="0">
            <x v="0"/>
          </reference>
        </references>
      </pivotArea>
    </chartFormat>
    <chartFormat chart="45" format="3" series="1">
      <pivotArea type="data" outline="0" fieldPosition="0">
        <references count="2">
          <reference field="4294967294" count="1" selected="0">
            <x v="1"/>
          </reference>
          <reference field="30" count="1" selected="0">
            <x v="1"/>
          </reference>
        </references>
      </pivotArea>
    </chartFormat>
    <chartFormat chart="45" format="4" series="1">
      <pivotArea type="data" outline="0" fieldPosition="0">
        <references count="2">
          <reference field="4294967294" count="1" selected="0">
            <x v="2"/>
          </reference>
          <reference field="30" count="1" selected="0">
            <x v="0"/>
          </reference>
        </references>
      </pivotArea>
    </chartFormat>
    <chartFormat chart="45" format="5" series="1">
      <pivotArea type="data" outline="0" fieldPosition="0">
        <references count="2">
          <reference field="4294967294" count="1" selected="0">
            <x v="2"/>
          </reference>
          <reference field="30" count="1" selected="0">
            <x v="1"/>
          </reference>
        </references>
      </pivotArea>
    </chartFormat>
    <chartFormat chart="45" format="6" series="1">
      <pivotArea type="data" outline="0" fieldPosition="0">
        <references count="2">
          <reference field="4294967294" count="1" selected="0">
            <x v="3"/>
          </reference>
          <reference field="30" count="1" selected="0">
            <x v="0"/>
          </reference>
        </references>
      </pivotArea>
    </chartFormat>
    <chartFormat chart="45" format="7" series="1">
      <pivotArea type="data" outline="0" fieldPosition="0">
        <references count="2">
          <reference field="4294967294" count="1" selected="0">
            <x v="3"/>
          </reference>
          <reference field="30" count="1" selected="0">
            <x v="1"/>
          </reference>
        </references>
      </pivotArea>
    </chartFormat>
    <chartFormat chart="45" format="8" series="1">
      <pivotArea type="data" outline="0" fieldPosition="0">
        <references count="2">
          <reference field="4294967294" count="1" selected="0">
            <x v="4"/>
          </reference>
          <reference field="30" count="1" selected="0">
            <x v="0"/>
          </reference>
        </references>
      </pivotArea>
    </chartFormat>
    <chartFormat chart="45" format="9" series="1">
      <pivotArea type="data" outline="0" fieldPosition="0">
        <references count="2">
          <reference field="4294967294" count="1" selected="0">
            <x v="4"/>
          </reference>
          <reference field="30" count="1" selected="0">
            <x v="1"/>
          </reference>
        </references>
      </pivotArea>
    </chartFormat>
    <chartFormat chart="45" format="10" series="1">
      <pivotArea type="data" outline="0" fieldPosition="0">
        <references count="2">
          <reference field="4294967294" count="1" selected="0">
            <x v="5"/>
          </reference>
          <reference field="30" count="1" selected="0">
            <x v="0"/>
          </reference>
        </references>
      </pivotArea>
    </chartFormat>
    <chartFormat chart="45" format="11" series="1">
      <pivotArea type="data" outline="0" fieldPosition="0">
        <references count="2">
          <reference field="4294967294" count="1" selected="0">
            <x v="5"/>
          </reference>
          <reference field="30" count="1" selected="0">
            <x v="1"/>
          </reference>
        </references>
      </pivotArea>
    </chartFormat>
    <chartFormat chart="45" format="12" series="1">
      <pivotArea type="data" outline="0" fieldPosition="0">
        <references count="2">
          <reference field="4294967294" count="1" selected="0">
            <x v="6"/>
          </reference>
          <reference field="30" count="1" selected="0">
            <x v="0"/>
          </reference>
        </references>
      </pivotArea>
    </chartFormat>
    <chartFormat chart="45" format="13" series="1">
      <pivotArea type="data" outline="0" fieldPosition="0">
        <references count="2">
          <reference field="4294967294" count="1" selected="0">
            <x v="6"/>
          </reference>
          <reference field="30" count="1" selected="0">
            <x v="1"/>
          </reference>
        </references>
      </pivotArea>
    </chartFormat>
    <chartFormat chart="45" format="14" series="1">
      <pivotArea type="data" outline="0" fieldPosition="0">
        <references count="2">
          <reference field="4294967294" count="1" selected="0">
            <x v="7"/>
          </reference>
          <reference field="30" count="1" selected="0">
            <x v="0"/>
          </reference>
        </references>
      </pivotArea>
    </chartFormat>
    <chartFormat chart="45" format="15" series="1">
      <pivotArea type="data" outline="0" fieldPosition="0">
        <references count="2">
          <reference field="4294967294" count="1" selected="0">
            <x v="7"/>
          </reference>
          <reference field="30" count="1" selected="0">
            <x v="1"/>
          </reference>
        </references>
      </pivotArea>
    </chartFormat>
    <chartFormat chart="45" format="16" series="1">
      <pivotArea type="data" outline="0" fieldPosition="0">
        <references count="2">
          <reference field="4294967294" count="1" selected="0">
            <x v="8"/>
          </reference>
          <reference field="30" count="1" selected="0">
            <x v="0"/>
          </reference>
        </references>
      </pivotArea>
    </chartFormat>
    <chartFormat chart="45" format="17" series="1">
      <pivotArea type="data" outline="0" fieldPosition="0">
        <references count="2">
          <reference field="4294967294" count="1" selected="0">
            <x v="8"/>
          </reference>
          <reference field="30" count="1" selected="0">
            <x v="1"/>
          </reference>
        </references>
      </pivotArea>
    </chartFormat>
    <chartFormat chart="45" format="18" series="1">
      <pivotArea type="data" outline="0" fieldPosition="0">
        <references count="2">
          <reference field="4294967294" count="1" selected="0">
            <x v="0"/>
          </reference>
          <reference field="2" count="1" selected="0">
            <x v="4"/>
          </reference>
        </references>
      </pivotArea>
    </chartFormat>
    <chartFormat chart="45" format="19" series="1">
      <pivotArea type="data" outline="0" fieldPosition="0">
        <references count="2">
          <reference field="4294967294" count="1" selected="0">
            <x v="1"/>
          </reference>
          <reference field="2" count="1" selected="0">
            <x v="4"/>
          </reference>
        </references>
      </pivotArea>
    </chartFormat>
    <chartFormat chart="45" format="20" series="1">
      <pivotArea type="data" outline="0" fieldPosition="0">
        <references count="2">
          <reference field="4294967294" count="1" selected="0">
            <x v="2"/>
          </reference>
          <reference field="2" count="1" selected="0">
            <x v="4"/>
          </reference>
        </references>
      </pivotArea>
    </chartFormat>
    <chartFormat chart="45" format="21" series="1">
      <pivotArea type="data" outline="0" fieldPosition="0">
        <references count="2">
          <reference field="4294967294" count="1" selected="0">
            <x v="3"/>
          </reference>
          <reference field="2" count="1" selected="0">
            <x v="4"/>
          </reference>
        </references>
      </pivotArea>
    </chartFormat>
    <chartFormat chart="45" format="22" series="1">
      <pivotArea type="data" outline="0" fieldPosition="0">
        <references count="2">
          <reference field="4294967294" count="1" selected="0">
            <x v="4"/>
          </reference>
          <reference field="2" count="1" selected="0">
            <x v="4"/>
          </reference>
        </references>
      </pivotArea>
    </chartFormat>
    <chartFormat chart="45" format="23" series="1">
      <pivotArea type="data" outline="0" fieldPosition="0">
        <references count="2">
          <reference field="4294967294" count="1" selected="0">
            <x v="5"/>
          </reference>
          <reference field="2" count="1" selected="0">
            <x v="4"/>
          </reference>
        </references>
      </pivotArea>
    </chartFormat>
    <chartFormat chart="45" format="24" series="1">
      <pivotArea type="data" outline="0" fieldPosition="0">
        <references count="2">
          <reference field="4294967294" count="1" selected="0">
            <x v="6"/>
          </reference>
          <reference field="2" count="1" selected="0">
            <x v="4"/>
          </reference>
        </references>
      </pivotArea>
    </chartFormat>
    <chartFormat chart="45" format="25" series="1">
      <pivotArea type="data" outline="0" fieldPosition="0">
        <references count="2">
          <reference field="4294967294" count="1" selected="0">
            <x v="7"/>
          </reference>
          <reference field="2" count="1" selected="0">
            <x v="4"/>
          </reference>
        </references>
      </pivotArea>
    </chartFormat>
    <chartFormat chart="45" format="26" series="1">
      <pivotArea type="data" outline="0" fieldPosition="0">
        <references count="2">
          <reference field="4294967294" count="1" selected="0">
            <x v="8"/>
          </reference>
          <reference field="2" count="1" selected="0">
            <x v="4"/>
          </reference>
        </references>
      </pivotArea>
    </chartFormat>
    <chartFormat chart="45" format="27" series="1">
      <pivotArea type="data" outline="0" fieldPosition="0">
        <references count="2">
          <reference field="4294967294" count="1" selected="0">
            <x v="0"/>
          </reference>
          <reference field="2" count="1" selected="0">
            <x v="5"/>
          </reference>
        </references>
      </pivotArea>
    </chartFormat>
    <chartFormat chart="45" format="28" series="1">
      <pivotArea type="data" outline="0" fieldPosition="0">
        <references count="2">
          <reference field="4294967294" count="1" selected="0">
            <x v="1"/>
          </reference>
          <reference field="2" count="1" selected="0">
            <x v="5"/>
          </reference>
        </references>
      </pivotArea>
    </chartFormat>
    <chartFormat chart="45" format="29" series="1">
      <pivotArea type="data" outline="0" fieldPosition="0">
        <references count="2">
          <reference field="4294967294" count="1" selected="0">
            <x v="2"/>
          </reference>
          <reference field="2" count="1" selected="0">
            <x v="5"/>
          </reference>
        </references>
      </pivotArea>
    </chartFormat>
    <chartFormat chart="45" format="30" series="1">
      <pivotArea type="data" outline="0" fieldPosition="0">
        <references count="2">
          <reference field="4294967294" count="1" selected="0">
            <x v="3"/>
          </reference>
          <reference field="2" count="1" selected="0">
            <x v="5"/>
          </reference>
        </references>
      </pivotArea>
    </chartFormat>
    <chartFormat chart="45" format="31" series="1">
      <pivotArea type="data" outline="0" fieldPosition="0">
        <references count="2">
          <reference field="4294967294" count="1" selected="0">
            <x v="4"/>
          </reference>
          <reference field="2" count="1" selected="0">
            <x v="5"/>
          </reference>
        </references>
      </pivotArea>
    </chartFormat>
    <chartFormat chart="45" format="32" series="1">
      <pivotArea type="data" outline="0" fieldPosition="0">
        <references count="2">
          <reference field="4294967294" count="1" selected="0">
            <x v="5"/>
          </reference>
          <reference field="2" count="1" selected="0">
            <x v="5"/>
          </reference>
        </references>
      </pivotArea>
    </chartFormat>
    <chartFormat chart="45" format="33" series="1">
      <pivotArea type="data" outline="0" fieldPosition="0">
        <references count="2">
          <reference field="4294967294" count="1" selected="0">
            <x v="6"/>
          </reference>
          <reference field="2" count="1" selected="0">
            <x v="5"/>
          </reference>
        </references>
      </pivotArea>
    </chartFormat>
    <chartFormat chart="45" format="34" series="1">
      <pivotArea type="data" outline="0" fieldPosition="0">
        <references count="2">
          <reference field="4294967294" count="1" selected="0">
            <x v="7"/>
          </reference>
          <reference field="2" count="1" selected="0">
            <x v="5"/>
          </reference>
        </references>
      </pivotArea>
    </chartFormat>
    <chartFormat chart="45" format="35" series="1">
      <pivotArea type="data" outline="0" fieldPosition="0">
        <references count="2">
          <reference field="4294967294" count="1" selected="0">
            <x v="8"/>
          </reference>
          <reference field="2" count="1" selected="0">
            <x v="5"/>
          </reference>
        </references>
      </pivotArea>
    </chartFormat>
    <chartFormat chart="45" format="36" series="1">
      <pivotArea type="data" outline="0" fieldPosition="0">
        <references count="2">
          <reference field="4294967294" count="1" selected="0">
            <x v="0"/>
          </reference>
          <reference field="2" count="1" selected="0">
            <x v="6"/>
          </reference>
        </references>
      </pivotArea>
    </chartFormat>
    <chartFormat chart="45" format="37" series="1">
      <pivotArea type="data" outline="0" fieldPosition="0">
        <references count="2">
          <reference field="4294967294" count="1" selected="0">
            <x v="1"/>
          </reference>
          <reference field="2" count="1" selected="0">
            <x v="6"/>
          </reference>
        </references>
      </pivotArea>
    </chartFormat>
    <chartFormat chart="45" format="38" series="1">
      <pivotArea type="data" outline="0" fieldPosition="0">
        <references count="2">
          <reference field="4294967294" count="1" selected="0">
            <x v="2"/>
          </reference>
          <reference field="2" count="1" selected="0">
            <x v="6"/>
          </reference>
        </references>
      </pivotArea>
    </chartFormat>
    <chartFormat chart="45" format="39" series="1">
      <pivotArea type="data" outline="0" fieldPosition="0">
        <references count="2">
          <reference field="4294967294" count="1" selected="0">
            <x v="3"/>
          </reference>
          <reference field="2" count="1" selected="0">
            <x v="6"/>
          </reference>
        </references>
      </pivotArea>
    </chartFormat>
    <chartFormat chart="45" format="40" series="1">
      <pivotArea type="data" outline="0" fieldPosition="0">
        <references count="2">
          <reference field="4294967294" count="1" selected="0">
            <x v="4"/>
          </reference>
          <reference field="2" count="1" selected="0">
            <x v="6"/>
          </reference>
        </references>
      </pivotArea>
    </chartFormat>
    <chartFormat chart="45" format="41" series="1">
      <pivotArea type="data" outline="0" fieldPosition="0">
        <references count="2">
          <reference field="4294967294" count="1" selected="0">
            <x v="5"/>
          </reference>
          <reference field="2" count="1" selected="0">
            <x v="6"/>
          </reference>
        </references>
      </pivotArea>
    </chartFormat>
    <chartFormat chart="45" format="42" series="1">
      <pivotArea type="data" outline="0" fieldPosition="0">
        <references count="2">
          <reference field="4294967294" count="1" selected="0">
            <x v="6"/>
          </reference>
          <reference field="2" count="1" selected="0">
            <x v="6"/>
          </reference>
        </references>
      </pivotArea>
    </chartFormat>
    <chartFormat chart="45" format="43" series="1">
      <pivotArea type="data" outline="0" fieldPosition="0">
        <references count="2">
          <reference field="4294967294" count="1" selected="0">
            <x v="7"/>
          </reference>
          <reference field="2" count="1" selected="0">
            <x v="6"/>
          </reference>
        </references>
      </pivotArea>
    </chartFormat>
    <chartFormat chart="45" format="44" series="1">
      <pivotArea type="data" outline="0" fieldPosition="0">
        <references count="2">
          <reference field="4294967294" count="1" selected="0">
            <x v="8"/>
          </reference>
          <reference field="2" count="1" selected="0">
            <x v="6"/>
          </reference>
        </references>
      </pivotArea>
    </chartFormat>
    <chartFormat chart="45" format="45" series="1">
      <pivotArea type="data" outline="0" fieldPosition="0">
        <references count="2">
          <reference field="4294967294" count="1" selected="0">
            <x v="0"/>
          </reference>
          <reference field="2" count="1" selected="0">
            <x v="16"/>
          </reference>
        </references>
      </pivotArea>
    </chartFormat>
    <chartFormat chart="45" format="46" series="1">
      <pivotArea type="data" outline="0" fieldPosition="0">
        <references count="2">
          <reference field="4294967294" count="1" selected="0">
            <x v="1"/>
          </reference>
          <reference field="2" count="1" selected="0">
            <x v="16"/>
          </reference>
        </references>
      </pivotArea>
    </chartFormat>
    <chartFormat chart="45" format="47" series="1">
      <pivotArea type="data" outline="0" fieldPosition="0">
        <references count="2">
          <reference field="4294967294" count="1" selected="0">
            <x v="2"/>
          </reference>
          <reference field="2" count="1" selected="0">
            <x v="16"/>
          </reference>
        </references>
      </pivotArea>
    </chartFormat>
    <chartFormat chart="45" format="48" series="1">
      <pivotArea type="data" outline="0" fieldPosition="0">
        <references count="2">
          <reference field="4294967294" count="1" selected="0">
            <x v="3"/>
          </reference>
          <reference field="2" count="1" selected="0">
            <x v="16"/>
          </reference>
        </references>
      </pivotArea>
    </chartFormat>
    <chartFormat chart="45" format="49" series="1">
      <pivotArea type="data" outline="0" fieldPosition="0">
        <references count="2">
          <reference field="4294967294" count="1" selected="0">
            <x v="4"/>
          </reference>
          <reference field="2" count="1" selected="0">
            <x v="16"/>
          </reference>
        </references>
      </pivotArea>
    </chartFormat>
    <chartFormat chart="45" format="50" series="1">
      <pivotArea type="data" outline="0" fieldPosition="0">
        <references count="2">
          <reference field="4294967294" count="1" selected="0">
            <x v="5"/>
          </reference>
          <reference field="2" count="1" selected="0">
            <x v="16"/>
          </reference>
        </references>
      </pivotArea>
    </chartFormat>
    <chartFormat chart="45" format="51" series="1">
      <pivotArea type="data" outline="0" fieldPosition="0">
        <references count="2">
          <reference field="4294967294" count="1" selected="0">
            <x v="6"/>
          </reference>
          <reference field="2" count="1" selected="0">
            <x v="16"/>
          </reference>
        </references>
      </pivotArea>
    </chartFormat>
    <chartFormat chart="45" format="52" series="1">
      <pivotArea type="data" outline="0" fieldPosition="0">
        <references count="2">
          <reference field="4294967294" count="1" selected="0">
            <x v="7"/>
          </reference>
          <reference field="2" count="1" selected="0">
            <x v="16"/>
          </reference>
        </references>
      </pivotArea>
    </chartFormat>
    <chartFormat chart="45" format="53" series="1">
      <pivotArea type="data" outline="0" fieldPosition="0">
        <references count="2">
          <reference field="4294967294" count="1" selected="0">
            <x v="8"/>
          </reference>
          <reference field="2" count="1" selected="0">
            <x v="16"/>
          </reference>
        </references>
      </pivotArea>
    </chartFormat>
    <chartFormat chart="45" format="54" series="1">
      <pivotArea type="data" outline="0" fieldPosition="0">
        <references count="2">
          <reference field="4294967294" count="1" selected="0">
            <x v="0"/>
          </reference>
          <reference field="2" count="1" selected="0">
            <x v="17"/>
          </reference>
        </references>
      </pivotArea>
    </chartFormat>
    <chartFormat chart="45" format="55" series="1">
      <pivotArea type="data" outline="0" fieldPosition="0">
        <references count="2">
          <reference field="4294967294" count="1" selected="0">
            <x v="1"/>
          </reference>
          <reference field="2" count="1" selected="0">
            <x v="17"/>
          </reference>
        </references>
      </pivotArea>
    </chartFormat>
    <chartFormat chart="45" format="56" series="1">
      <pivotArea type="data" outline="0" fieldPosition="0">
        <references count="2">
          <reference field="4294967294" count="1" selected="0">
            <x v="2"/>
          </reference>
          <reference field="2" count="1" selected="0">
            <x v="17"/>
          </reference>
        </references>
      </pivotArea>
    </chartFormat>
    <chartFormat chart="45" format="57" series="1">
      <pivotArea type="data" outline="0" fieldPosition="0">
        <references count="2">
          <reference field="4294967294" count="1" selected="0">
            <x v="3"/>
          </reference>
          <reference field="2" count="1" selected="0">
            <x v="17"/>
          </reference>
        </references>
      </pivotArea>
    </chartFormat>
    <chartFormat chart="45" format="58" series="1">
      <pivotArea type="data" outline="0" fieldPosition="0">
        <references count="2">
          <reference field="4294967294" count="1" selected="0">
            <x v="4"/>
          </reference>
          <reference field="2" count="1" selected="0">
            <x v="17"/>
          </reference>
        </references>
      </pivotArea>
    </chartFormat>
    <chartFormat chart="45" format="59" series="1">
      <pivotArea type="data" outline="0" fieldPosition="0">
        <references count="2">
          <reference field="4294967294" count="1" selected="0">
            <x v="5"/>
          </reference>
          <reference field="2" count="1" selected="0">
            <x v="17"/>
          </reference>
        </references>
      </pivotArea>
    </chartFormat>
    <chartFormat chart="45" format="60" series="1">
      <pivotArea type="data" outline="0" fieldPosition="0">
        <references count="2">
          <reference field="4294967294" count="1" selected="0">
            <x v="6"/>
          </reference>
          <reference field="2" count="1" selected="0">
            <x v="17"/>
          </reference>
        </references>
      </pivotArea>
    </chartFormat>
    <chartFormat chart="45" format="61" series="1">
      <pivotArea type="data" outline="0" fieldPosition="0">
        <references count="2">
          <reference field="4294967294" count="1" selected="0">
            <x v="7"/>
          </reference>
          <reference field="2" count="1" selected="0">
            <x v="17"/>
          </reference>
        </references>
      </pivotArea>
    </chartFormat>
    <chartFormat chart="45" format="62" series="1">
      <pivotArea type="data" outline="0" fieldPosition="0">
        <references count="2">
          <reference field="4294967294" count="1" selected="0">
            <x v="8"/>
          </reference>
          <reference field="2" count="1" selected="0">
            <x v="17"/>
          </reference>
        </references>
      </pivotArea>
    </chartFormat>
    <chartFormat chart="45" format="63" series="1">
      <pivotArea type="data" outline="0" fieldPosition="0">
        <references count="2">
          <reference field="4294967294" count="1" selected="0">
            <x v="0"/>
          </reference>
          <reference field="2" count="1" selected="0">
            <x v="12"/>
          </reference>
        </references>
      </pivotArea>
    </chartFormat>
    <chartFormat chart="45" format="64" series="1">
      <pivotArea type="data" outline="0" fieldPosition="0">
        <references count="2">
          <reference field="4294967294" count="1" selected="0">
            <x v="1"/>
          </reference>
          <reference field="2" count="1" selected="0">
            <x v="12"/>
          </reference>
        </references>
      </pivotArea>
    </chartFormat>
    <chartFormat chart="45" format="65" series="1">
      <pivotArea type="data" outline="0" fieldPosition="0">
        <references count="2">
          <reference field="4294967294" count="1" selected="0">
            <x v="2"/>
          </reference>
          <reference field="2" count="1" selected="0">
            <x v="12"/>
          </reference>
        </references>
      </pivotArea>
    </chartFormat>
    <chartFormat chart="45" format="66" series="1">
      <pivotArea type="data" outline="0" fieldPosition="0">
        <references count="2">
          <reference field="4294967294" count="1" selected="0">
            <x v="3"/>
          </reference>
          <reference field="2" count="1" selected="0">
            <x v="12"/>
          </reference>
        </references>
      </pivotArea>
    </chartFormat>
    <chartFormat chart="45" format="67" series="1">
      <pivotArea type="data" outline="0" fieldPosition="0">
        <references count="2">
          <reference field="4294967294" count="1" selected="0">
            <x v="4"/>
          </reference>
          <reference field="2" count="1" selected="0">
            <x v="12"/>
          </reference>
        </references>
      </pivotArea>
    </chartFormat>
    <chartFormat chart="45" format="68" series="1">
      <pivotArea type="data" outline="0" fieldPosition="0">
        <references count="2">
          <reference field="4294967294" count="1" selected="0">
            <x v="5"/>
          </reference>
          <reference field="2" count="1" selected="0">
            <x v="12"/>
          </reference>
        </references>
      </pivotArea>
    </chartFormat>
    <chartFormat chart="45" format="69" series="1">
      <pivotArea type="data" outline="0" fieldPosition="0">
        <references count="2">
          <reference field="4294967294" count="1" selected="0">
            <x v="6"/>
          </reference>
          <reference field="2" count="1" selected="0">
            <x v="12"/>
          </reference>
        </references>
      </pivotArea>
    </chartFormat>
    <chartFormat chart="45" format="70" series="1">
      <pivotArea type="data" outline="0" fieldPosition="0">
        <references count="2">
          <reference field="4294967294" count="1" selected="0">
            <x v="7"/>
          </reference>
          <reference field="2" count="1" selected="0">
            <x v="12"/>
          </reference>
        </references>
      </pivotArea>
    </chartFormat>
    <chartFormat chart="45" format="71" series="1">
      <pivotArea type="data" outline="0" fieldPosition="0">
        <references count="2">
          <reference field="4294967294" count="1" selected="0">
            <x v="8"/>
          </reference>
          <reference field="2" count="1" selected="0">
            <x v="12"/>
          </reference>
        </references>
      </pivotArea>
    </chartFormat>
    <chartFormat chart="45" format="72" series="1">
      <pivotArea type="data" outline="0" fieldPosition="0">
        <references count="2">
          <reference field="4294967294" count="1" selected="0">
            <x v="0"/>
          </reference>
          <reference field="2" count="1" selected="0">
            <x v="13"/>
          </reference>
        </references>
      </pivotArea>
    </chartFormat>
    <chartFormat chart="45" format="73" series="1">
      <pivotArea type="data" outline="0" fieldPosition="0">
        <references count="2">
          <reference field="4294967294" count="1" selected="0">
            <x v="1"/>
          </reference>
          <reference field="2" count="1" selected="0">
            <x v="13"/>
          </reference>
        </references>
      </pivotArea>
    </chartFormat>
    <chartFormat chart="45" format="74" series="1">
      <pivotArea type="data" outline="0" fieldPosition="0">
        <references count="2">
          <reference field="4294967294" count="1" selected="0">
            <x v="2"/>
          </reference>
          <reference field="2" count="1" selected="0">
            <x v="13"/>
          </reference>
        </references>
      </pivotArea>
    </chartFormat>
    <chartFormat chart="45" format="75" series="1">
      <pivotArea type="data" outline="0" fieldPosition="0">
        <references count="2">
          <reference field="4294967294" count="1" selected="0">
            <x v="3"/>
          </reference>
          <reference field="2" count="1" selected="0">
            <x v="13"/>
          </reference>
        </references>
      </pivotArea>
    </chartFormat>
    <chartFormat chart="45" format="76" series="1">
      <pivotArea type="data" outline="0" fieldPosition="0">
        <references count="2">
          <reference field="4294967294" count="1" selected="0">
            <x v="4"/>
          </reference>
          <reference field="2" count="1" selected="0">
            <x v="13"/>
          </reference>
        </references>
      </pivotArea>
    </chartFormat>
    <chartFormat chart="45" format="77" series="1">
      <pivotArea type="data" outline="0" fieldPosition="0">
        <references count="2">
          <reference field="4294967294" count="1" selected="0">
            <x v="5"/>
          </reference>
          <reference field="2" count="1" selected="0">
            <x v="13"/>
          </reference>
        </references>
      </pivotArea>
    </chartFormat>
    <chartFormat chart="45" format="78" series="1">
      <pivotArea type="data" outline="0" fieldPosition="0">
        <references count="2">
          <reference field="4294967294" count="1" selected="0">
            <x v="6"/>
          </reference>
          <reference field="2" count="1" selected="0">
            <x v="13"/>
          </reference>
        </references>
      </pivotArea>
    </chartFormat>
    <chartFormat chart="45" format="79" series="1">
      <pivotArea type="data" outline="0" fieldPosition="0">
        <references count="2">
          <reference field="4294967294" count="1" selected="0">
            <x v="7"/>
          </reference>
          <reference field="2" count="1" selected="0">
            <x v="13"/>
          </reference>
        </references>
      </pivotArea>
    </chartFormat>
    <chartFormat chart="45" format="80" series="1">
      <pivotArea type="data" outline="0" fieldPosition="0">
        <references count="2">
          <reference field="4294967294" count="1" selected="0">
            <x v="8"/>
          </reference>
          <reference field="2" count="1" selected="0">
            <x v="13"/>
          </reference>
        </references>
      </pivotArea>
    </chartFormat>
    <chartFormat chart="45" format="81" series="1">
      <pivotArea type="data" outline="0" fieldPosition="0">
        <references count="2">
          <reference field="4294967294" count="1" selected="0">
            <x v="0"/>
          </reference>
          <reference field="2" count="1" selected="0">
            <x v="14"/>
          </reference>
        </references>
      </pivotArea>
    </chartFormat>
    <chartFormat chart="45" format="82" series="1">
      <pivotArea type="data" outline="0" fieldPosition="0">
        <references count="2">
          <reference field="4294967294" count="1" selected="0">
            <x v="1"/>
          </reference>
          <reference field="2" count="1" selected="0">
            <x v="14"/>
          </reference>
        </references>
      </pivotArea>
    </chartFormat>
    <chartFormat chart="45" format="83" series="1">
      <pivotArea type="data" outline="0" fieldPosition="0">
        <references count="2">
          <reference field="4294967294" count="1" selected="0">
            <x v="2"/>
          </reference>
          <reference field="2" count="1" selected="0">
            <x v="14"/>
          </reference>
        </references>
      </pivotArea>
    </chartFormat>
    <chartFormat chart="45" format="84" series="1">
      <pivotArea type="data" outline="0" fieldPosition="0">
        <references count="2">
          <reference field="4294967294" count="1" selected="0">
            <x v="3"/>
          </reference>
          <reference field="2" count="1" selected="0">
            <x v="14"/>
          </reference>
        </references>
      </pivotArea>
    </chartFormat>
    <chartFormat chart="45" format="85" series="1">
      <pivotArea type="data" outline="0" fieldPosition="0">
        <references count="2">
          <reference field="4294967294" count="1" selected="0">
            <x v="4"/>
          </reference>
          <reference field="2" count="1" selected="0">
            <x v="14"/>
          </reference>
        </references>
      </pivotArea>
    </chartFormat>
    <chartFormat chart="45" format="86" series="1">
      <pivotArea type="data" outline="0" fieldPosition="0">
        <references count="2">
          <reference field="4294967294" count="1" selected="0">
            <x v="5"/>
          </reference>
          <reference field="2" count="1" selected="0">
            <x v="14"/>
          </reference>
        </references>
      </pivotArea>
    </chartFormat>
    <chartFormat chart="45" format="87" series="1">
      <pivotArea type="data" outline="0" fieldPosition="0">
        <references count="2">
          <reference field="4294967294" count="1" selected="0">
            <x v="6"/>
          </reference>
          <reference field="2" count="1" selected="0">
            <x v="14"/>
          </reference>
        </references>
      </pivotArea>
    </chartFormat>
    <chartFormat chart="45" format="88" series="1">
      <pivotArea type="data" outline="0" fieldPosition="0">
        <references count="2">
          <reference field="4294967294" count="1" selected="0">
            <x v="7"/>
          </reference>
          <reference field="2" count="1" selected="0">
            <x v="14"/>
          </reference>
        </references>
      </pivotArea>
    </chartFormat>
    <chartFormat chart="45" format="89" series="1">
      <pivotArea type="data" outline="0" fieldPosition="0">
        <references count="2">
          <reference field="4294967294" count="1" selected="0">
            <x v="8"/>
          </reference>
          <reference field="2" count="1" selected="0">
            <x v="14"/>
          </reference>
        </references>
      </pivotArea>
    </chartFormat>
    <chartFormat chart="45" format="90" series="1">
      <pivotArea type="data" outline="0" fieldPosition="0">
        <references count="2">
          <reference field="4294967294" count="1" selected="0">
            <x v="0"/>
          </reference>
          <reference field="2" count="1" selected="0">
            <x v="21"/>
          </reference>
        </references>
      </pivotArea>
    </chartFormat>
    <chartFormat chart="45" format="91" series="1">
      <pivotArea type="data" outline="0" fieldPosition="0">
        <references count="2">
          <reference field="4294967294" count="1" selected="0">
            <x v="1"/>
          </reference>
          <reference field="2" count="1" selected="0">
            <x v="21"/>
          </reference>
        </references>
      </pivotArea>
    </chartFormat>
    <chartFormat chart="45" format="92" series="1">
      <pivotArea type="data" outline="0" fieldPosition="0">
        <references count="2">
          <reference field="4294967294" count="1" selected="0">
            <x v="2"/>
          </reference>
          <reference field="2" count="1" selected="0">
            <x v="21"/>
          </reference>
        </references>
      </pivotArea>
    </chartFormat>
    <chartFormat chart="45" format="93" series="1">
      <pivotArea type="data" outline="0" fieldPosition="0">
        <references count="2">
          <reference field="4294967294" count="1" selected="0">
            <x v="3"/>
          </reference>
          <reference field="2" count="1" selected="0">
            <x v="21"/>
          </reference>
        </references>
      </pivotArea>
    </chartFormat>
    <chartFormat chart="45" format="94" series="1">
      <pivotArea type="data" outline="0" fieldPosition="0">
        <references count="2">
          <reference field="4294967294" count="1" selected="0">
            <x v="4"/>
          </reference>
          <reference field="2" count="1" selected="0">
            <x v="21"/>
          </reference>
        </references>
      </pivotArea>
    </chartFormat>
    <chartFormat chart="45" format="95" series="1">
      <pivotArea type="data" outline="0" fieldPosition="0">
        <references count="2">
          <reference field="4294967294" count="1" selected="0">
            <x v="5"/>
          </reference>
          <reference field="2" count="1" selected="0">
            <x v="21"/>
          </reference>
        </references>
      </pivotArea>
    </chartFormat>
    <chartFormat chart="45" format="96" series="1">
      <pivotArea type="data" outline="0" fieldPosition="0">
        <references count="2">
          <reference field="4294967294" count="1" selected="0">
            <x v="6"/>
          </reference>
          <reference field="2" count="1" selected="0">
            <x v="21"/>
          </reference>
        </references>
      </pivotArea>
    </chartFormat>
    <chartFormat chart="45" format="97" series="1">
      <pivotArea type="data" outline="0" fieldPosition="0">
        <references count="2">
          <reference field="4294967294" count="1" selected="0">
            <x v="7"/>
          </reference>
          <reference field="2" count="1" selected="0">
            <x v="21"/>
          </reference>
        </references>
      </pivotArea>
    </chartFormat>
    <chartFormat chart="45" format="98" series="1">
      <pivotArea type="data" outline="0" fieldPosition="0">
        <references count="2">
          <reference field="4294967294" count="1" selected="0">
            <x v="8"/>
          </reference>
          <reference field="2" count="1" selected="0">
            <x v="21"/>
          </reference>
        </references>
      </pivotArea>
    </chartFormat>
    <chartFormat chart="45" format="99" series="1">
      <pivotArea type="data" outline="0" fieldPosition="0">
        <references count="1">
          <reference field="4294967294" count="1" selected="0">
            <x v="0"/>
          </reference>
        </references>
      </pivotArea>
    </chartFormat>
    <chartFormat chart="45" format="100" series="1">
      <pivotArea type="data" outline="0" fieldPosition="0">
        <references count="1">
          <reference field="4294967294" count="1" selected="0">
            <x v="1"/>
          </reference>
        </references>
      </pivotArea>
    </chartFormat>
    <chartFormat chart="45" format="101" series="1">
      <pivotArea type="data" outline="0" fieldPosition="0">
        <references count="1">
          <reference field="4294967294" count="1" selected="0">
            <x v="2"/>
          </reference>
        </references>
      </pivotArea>
    </chartFormat>
    <chartFormat chart="45" format="102" series="1">
      <pivotArea type="data" outline="0" fieldPosition="0">
        <references count="1">
          <reference field="4294967294" count="1" selected="0">
            <x v="3"/>
          </reference>
        </references>
      </pivotArea>
    </chartFormat>
    <chartFormat chart="45" format="103" series="1">
      <pivotArea type="data" outline="0" fieldPosition="0">
        <references count="1">
          <reference field="4294967294" count="1" selected="0">
            <x v="4"/>
          </reference>
        </references>
      </pivotArea>
    </chartFormat>
    <chartFormat chart="45" format="104" series="1">
      <pivotArea type="data" outline="0" fieldPosition="0">
        <references count="1">
          <reference field="4294967294" count="1" selected="0">
            <x v="5"/>
          </reference>
        </references>
      </pivotArea>
    </chartFormat>
    <chartFormat chart="45" format="105" series="1">
      <pivotArea type="data" outline="0" fieldPosition="0">
        <references count="1">
          <reference field="4294967294" count="1" selected="0">
            <x v="6"/>
          </reference>
        </references>
      </pivotArea>
    </chartFormat>
    <chartFormat chart="45" format="106" series="1">
      <pivotArea type="data" outline="0" fieldPosition="0">
        <references count="1">
          <reference field="4294967294" count="1" selected="0">
            <x v="7"/>
          </reference>
        </references>
      </pivotArea>
    </chartFormat>
    <chartFormat chart="45" format="107" series="1">
      <pivotArea type="data" outline="0" fieldPosition="0">
        <references count="1">
          <reference field="4294967294" count="1" selected="0">
            <x v="8"/>
          </reference>
        </references>
      </pivotArea>
    </chartFormat>
    <chartFormat chart="48" format="117" series="1">
      <pivotArea type="data" outline="0" fieldPosition="0">
        <references count="3">
          <reference field="4294967294" count="1" selected="0">
            <x v="0"/>
          </reference>
          <reference field="2" count="1" selected="0">
            <x v="4"/>
          </reference>
          <reference field="30" count="1" selected="0">
            <x v="0"/>
          </reference>
        </references>
      </pivotArea>
    </chartFormat>
    <chartFormat chart="48" format="118" series="1">
      <pivotArea type="data" outline="0" fieldPosition="0">
        <references count="3">
          <reference field="4294967294" count="1" selected="0">
            <x v="0"/>
          </reference>
          <reference field="2" count="1" selected="0">
            <x v="17"/>
          </reference>
          <reference field="30" count="1" selected="0">
            <x v="0"/>
          </reference>
        </references>
      </pivotArea>
    </chartFormat>
    <chartFormat chart="48" format="119" series="1">
      <pivotArea type="data" outline="0" fieldPosition="0">
        <references count="3">
          <reference field="4294967294" count="1" selected="0">
            <x v="0"/>
          </reference>
          <reference field="2" count="1" selected="0">
            <x v="5"/>
          </reference>
          <reference field="30" count="1" selected="0">
            <x v="1"/>
          </reference>
        </references>
      </pivotArea>
    </chartFormat>
    <chartFormat chart="48" format="120" series="1">
      <pivotArea type="data" outline="0" fieldPosition="0">
        <references count="3">
          <reference field="4294967294" count="1" selected="0">
            <x v="0"/>
          </reference>
          <reference field="2" count="1" selected="0">
            <x v="6"/>
          </reference>
          <reference field="30" count="1" selected="0">
            <x v="1"/>
          </reference>
        </references>
      </pivotArea>
    </chartFormat>
    <chartFormat chart="48" format="121" series="1">
      <pivotArea type="data" outline="0" fieldPosition="0">
        <references count="3">
          <reference field="4294967294" count="1" selected="0">
            <x v="0"/>
          </reference>
          <reference field="2" count="1" selected="0">
            <x v="16"/>
          </reference>
          <reference field="30" count="1" selected="0">
            <x v="1"/>
          </reference>
        </references>
      </pivotArea>
    </chartFormat>
    <chartFormat chart="48" format="122" series="1">
      <pivotArea type="data" outline="0" fieldPosition="0">
        <references count="3">
          <reference field="4294967294" count="1" selected="0">
            <x v="0"/>
          </reference>
          <reference field="2" count="1" selected="0">
            <x v="12"/>
          </reference>
          <reference field="30" count="1" selected="0">
            <x v="1"/>
          </reference>
        </references>
      </pivotArea>
    </chartFormat>
    <chartFormat chart="48" format="123" series="1">
      <pivotArea type="data" outline="0" fieldPosition="0">
        <references count="3">
          <reference field="4294967294" count="1" selected="0">
            <x v="0"/>
          </reference>
          <reference field="2" count="1" selected="0">
            <x v="13"/>
          </reference>
          <reference field="30" count="1" selected="0">
            <x v="1"/>
          </reference>
        </references>
      </pivotArea>
    </chartFormat>
    <chartFormat chart="48" format="124" series="1">
      <pivotArea type="data" outline="0" fieldPosition="0">
        <references count="3">
          <reference field="4294967294" count="1" selected="0">
            <x v="0"/>
          </reference>
          <reference field="2" count="1" selected="0">
            <x v="14"/>
          </reference>
          <reference field="30" count="1" selected="0">
            <x v="1"/>
          </reference>
        </references>
      </pivotArea>
    </chartFormat>
    <chartFormat chart="48" format="125" series="1">
      <pivotArea type="data" outline="0" fieldPosition="0">
        <references count="3">
          <reference field="4294967294" count="1" selected="0">
            <x v="0"/>
          </reference>
          <reference field="2" count="1" selected="0">
            <x v="21"/>
          </reference>
          <reference field="30" count="1" selected="0">
            <x v="1"/>
          </reference>
        </references>
      </pivotArea>
    </chartFormat>
    <chartFormat chart="48" format="126" series="1">
      <pivotArea type="data" outline="0" fieldPosition="0">
        <references count="2">
          <reference field="4294967294" count="1" selected="0">
            <x v="0"/>
          </reference>
          <reference field="2" count="1" selected="0">
            <x v="4"/>
          </reference>
        </references>
      </pivotArea>
    </chartFormat>
    <chartFormat chart="48" format="127" series="1">
      <pivotArea type="data" outline="0" fieldPosition="0">
        <references count="2">
          <reference field="4294967294" count="1" selected="0">
            <x v="0"/>
          </reference>
          <reference field="2" count="1" selected="0">
            <x v="5"/>
          </reference>
        </references>
      </pivotArea>
    </chartFormat>
    <chartFormat chart="48" format="128" series="1">
      <pivotArea type="data" outline="0" fieldPosition="0">
        <references count="2">
          <reference field="4294967294" count="1" selected="0">
            <x v="0"/>
          </reference>
          <reference field="2" count="1" selected="0">
            <x v="6"/>
          </reference>
        </references>
      </pivotArea>
    </chartFormat>
    <chartFormat chart="48" format="129" series="1">
      <pivotArea type="data" outline="0" fieldPosition="0">
        <references count="2">
          <reference field="4294967294" count="1" selected="0">
            <x v="0"/>
          </reference>
          <reference field="2" count="1" selected="0">
            <x v="16"/>
          </reference>
        </references>
      </pivotArea>
    </chartFormat>
    <chartFormat chart="48" format="130" series="1">
      <pivotArea type="data" outline="0" fieldPosition="0">
        <references count="2">
          <reference field="4294967294" count="1" selected="0">
            <x v="0"/>
          </reference>
          <reference field="2" count="1" selected="0">
            <x v="17"/>
          </reference>
        </references>
      </pivotArea>
    </chartFormat>
    <chartFormat chart="48" format="131" series="1">
      <pivotArea type="data" outline="0" fieldPosition="0">
        <references count="2">
          <reference field="4294967294" count="1" selected="0">
            <x v="0"/>
          </reference>
          <reference field="2" count="1" selected="0">
            <x v="12"/>
          </reference>
        </references>
      </pivotArea>
    </chartFormat>
    <chartFormat chart="48" format="132" series="1">
      <pivotArea type="data" outline="0" fieldPosition="0">
        <references count="2">
          <reference field="4294967294" count="1" selected="0">
            <x v="0"/>
          </reference>
          <reference field="2" count="1" selected="0">
            <x v="13"/>
          </reference>
        </references>
      </pivotArea>
    </chartFormat>
    <chartFormat chart="48" format="133" series="1">
      <pivotArea type="data" outline="0" fieldPosition="0">
        <references count="2">
          <reference field="4294967294" count="1" selected="0">
            <x v="0"/>
          </reference>
          <reference field="2" count="1" selected="0">
            <x v="14"/>
          </reference>
        </references>
      </pivotArea>
    </chartFormat>
    <chartFormat chart="48" format="134" series="1">
      <pivotArea type="data" outline="0" fieldPosition="0">
        <references count="2">
          <reference field="4294967294" count="1" selected="0">
            <x v="0"/>
          </reference>
          <reference field="2" count="1" selected="0">
            <x v="21"/>
          </reference>
        </references>
      </pivotArea>
    </chartFormat>
    <chartFormat chart="48" format="135" series="1">
      <pivotArea type="data" outline="0" fieldPosition="0">
        <references count="1">
          <reference field="4294967294" count="1" selected="0">
            <x v="0"/>
          </reference>
        </references>
      </pivotArea>
    </chartFormat>
    <chartFormat chart="48" format="136" series="1">
      <pivotArea type="data" outline="0" fieldPosition="0">
        <references count="1">
          <reference field="4294967294" count="1" selected="0">
            <x v="1"/>
          </reference>
        </references>
      </pivotArea>
    </chartFormat>
    <chartFormat chart="48" format="137" series="1">
      <pivotArea type="data" outline="0" fieldPosition="0">
        <references count="1">
          <reference field="4294967294" count="1" selected="0">
            <x v="2"/>
          </reference>
        </references>
      </pivotArea>
    </chartFormat>
    <chartFormat chart="48" format="138" series="1">
      <pivotArea type="data" outline="0" fieldPosition="0">
        <references count="1">
          <reference field="4294967294" count="1" selected="0">
            <x v="3"/>
          </reference>
        </references>
      </pivotArea>
    </chartFormat>
    <chartFormat chart="48" format="139" series="1">
      <pivotArea type="data" outline="0" fieldPosition="0">
        <references count="1">
          <reference field="4294967294" count="1" selected="0">
            <x v="4"/>
          </reference>
        </references>
      </pivotArea>
    </chartFormat>
    <chartFormat chart="48" format="140" series="1">
      <pivotArea type="data" outline="0" fieldPosition="0">
        <references count="1">
          <reference field="4294967294" count="1" selected="0">
            <x v="5"/>
          </reference>
        </references>
      </pivotArea>
    </chartFormat>
    <chartFormat chart="48" format="141" series="1">
      <pivotArea type="data" outline="0" fieldPosition="0">
        <references count="1">
          <reference field="4294967294" count="1" selected="0">
            <x v="6"/>
          </reference>
        </references>
      </pivotArea>
    </chartFormat>
    <chartFormat chart="48" format="142" series="1">
      <pivotArea type="data" outline="0" fieldPosition="0">
        <references count="1">
          <reference field="4294967294" count="1" selected="0">
            <x v="7"/>
          </reference>
        </references>
      </pivotArea>
    </chartFormat>
    <chartFormat chart="48" format="143" series="1">
      <pivotArea type="data" outline="0" fieldPosition="0">
        <references count="1">
          <reference field="4294967294" count="1" selected="0">
            <x v="8"/>
          </reference>
        </references>
      </pivotArea>
    </chartFormat>
    <chartFormat chart="53" format="9" series="1">
      <pivotArea type="data" outline="0" fieldPosition="0">
        <references count="1">
          <reference field="4294967294" count="1" selected="0">
            <x v="0"/>
          </reference>
        </references>
      </pivotArea>
    </chartFormat>
    <chartFormat chart="53" format="10" series="1">
      <pivotArea type="data" outline="0" fieldPosition="0">
        <references count="1">
          <reference field="4294967294" count="1" selected="0">
            <x v="1"/>
          </reference>
        </references>
      </pivotArea>
    </chartFormat>
    <chartFormat chart="53" format="11" series="1">
      <pivotArea type="data" outline="0" fieldPosition="0">
        <references count="1">
          <reference field="4294967294" count="1" selected="0">
            <x v="2"/>
          </reference>
        </references>
      </pivotArea>
    </chartFormat>
    <chartFormat chart="53" format="12" series="1">
      <pivotArea type="data" outline="0" fieldPosition="0">
        <references count="1">
          <reference field="4294967294" count="1" selected="0">
            <x v="3"/>
          </reference>
        </references>
      </pivotArea>
    </chartFormat>
    <chartFormat chart="53" format="13" series="1">
      <pivotArea type="data" outline="0" fieldPosition="0">
        <references count="1">
          <reference field="4294967294" count="1" selected="0">
            <x v="4"/>
          </reference>
        </references>
      </pivotArea>
    </chartFormat>
    <chartFormat chart="53" format="14" series="1">
      <pivotArea type="data" outline="0" fieldPosition="0">
        <references count="1">
          <reference field="4294967294" count="1" selected="0">
            <x v="5"/>
          </reference>
        </references>
      </pivotArea>
    </chartFormat>
    <chartFormat chart="53" format="15" series="1">
      <pivotArea type="data" outline="0" fieldPosition="0">
        <references count="1">
          <reference field="4294967294" count="1" selected="0">
            <x v="6"/>
          </reference>
        </references>
      </pivotArea>
    </chartFormat>
    <chartFormat chart="53" format="16" series="1">
      <pivotArea type="data" outline="0" fieldPosition="0">
        <references count="1">
          <reference field="4294967294" count="1" selected="0">
            <x v="7"/>
          </reference>
        </references>
      </pivotArea>
    </chartFormat>
    <chartFormat chart="53" format="17" series="1">
      <pivotArea type="data" outline="0" fieldPosition="0">
        <references count="1">
          <reference field="4294967294" count="1" selected="0">
            <x v="8"/>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0.xml><?xml version="1.0" encoding="utf-8"?>
<pivotTableDefinition xmlns="http://schemas.openxmlformats.org/spreadsheetml/2006/main" name="PivotTable12" cacheId="0" applyNumberFormats="0" applyBorderFormats="0" applyFontFormats="0" applyPatternFormats="0" applyAlignmentFormats="0" applyWidthHeightFormats="1" dataCaption="Values" updatedVersion="6" minRefreshableVersion="3" useAutoFormatting="1" colGrandTotals="0" itemPrintTitles="1" createdVersion="6" indent="0" outline="1" outlineData="1" multipleFieldFilters="0" chartFormat="49" rowHeaderCaption="Program Concept">
  <location ref="B190:K202" firstHeaderRow="0" firstDataRow="1" firstDataCol="1" rowPageCount="1" colPageCount="1"/>
  <pivotFields count="31">
    <pivotField showAll="0"/>
    <pivotField showAll="0"/>
    <pivotField axis="axisRow" showAll="0">
      <items count="23">
        <item x="1"/>
        <item x="2"/>
        <item x="21"/>
        <item x="12"/>
        <item x="11"/>
        <item x="16"/>
        <item x="18"/>
        <item x="15"/>
        <item x="17"/>
        <item x="9"/>
        <item x="4"/>
        <item x="13"/>
        <item x="8"/>
        <item x="10"/>
        <item x="19"/>
        <item x="14"/>
        <item x="3"/>
        <item x="20"/>
        <item x="0"/>
        <item x="7"/>
        <item x="5"/>
        <item x="6"/>
        <item t="default"/>
      </items>
    </pivotField>
    <pivotField axis="axisPage" showAll="0">
      <items count="3">
        <item x="0"/>
        <item x="1"/>
        <item t="default"/>
      </items>
    </pivotField>
    <pivotField showAll="0"/>
    <pivotField showAll="0"/>
    <pivotField showAll="0"/>
    <pivotField showAll="0"/>
    <pivotField showAll="0"/>
    <pivotField dataField="1" showAll="0">
      <items count="20">
        <item x="1"/>
        <item x="11"/>
        <item x="16"/>
        <item x="7"/>
        <item x="17"/>
        <item x="5"/>
        <item x="2"/>
        <item x="12"/>
        <item x="4"/>
        <item x="15"/>
        <item x="6"/>
        <item x="14"/>
        <item x="8"/>
        <item x="13"/>
        <item x="3"/>
        <item x="9"/>
        <item x="0"/>
        <item x="10"/>
        <item x="18"/>
        <item t="default"/>
      </items>
    </pivotField>
    <pivotField dataField="1" showAll="0" defaultSubtotal="0">
      <items count="19">
        <item x="1"/>
        <item x="11"/>
        <item x="7"/>
        <item x="16"/>
        <item x="5"/>
        <item x="17"/>
        <item x="12"/>
        <item x="2"/>
        <item x="4"/>
        <item x="15"/>
        <item x="6"/>
        <item x="8"/>
        <item x="14"/>
        <item x="13"/>
        <item x="9"/>
        <item x="0"/>
        <item x="3"/>
        <item x="10"/>
        <item x="18"/>
      </items>
    </pivotField>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showAll="0"/>
    <pivotField showAll="0"/>
    <pivotField showAll="0"/>
    <pivotField showAll="0"/>
    <pivotField showAll="0"/>
    <pivotField showAll="0"/>
    <pivotField showAll="0"/>
    <pivotField showAll="0"/>
    <pivotField showAll="0"/>
    <pivotField showAll="0"/>
    <pivotField showAll="0"/>
    <pivotField numFmtId="41" showAll="0"/>
    <pivotField axis="axisRow" showAll="0">
      <items count="3">
        <item x="0"/>
        <item x="1"/>
        <item t="default"/>
      </items>
    </pivotField>
  </pivotFields>
  <rowFields count="2">
    <field x="30"/>
    <field x="2"/>
  </rowFields>
  <rowItems count="12">
    <i>
      <x/>
    </i>
    <i r="1">
      <x v="2"/>
    </i>
    <i r="1">
      <x v="11"/>
    </i>
    <i>
      <x v="1"/>
    </i>
    <i r="1">
      <x v="3"/>
    </i>
    <i r="1">
      <x v="4"/>
    </i>
    <i r="1">
      <x v="5"/>
    </i>
    <i r="1">
      <x v="6"/>
    </i>
    <i r="1">
      <x v="7"/>
    </i>
    <i r="1">
      <x v="14"/>
    </i>
    <i r="1">
      <x v="15"/>
    </i>
    <i t="grand">
      <x/>
    </i>
  </rowItems>
  <colFields count="1">
    <field x="-2"/>
  </colFields>
  <colItems count="9">
    <i>
      <x/>
    </i>
    <i i="1">
      <x v="1"/>
    </i>
    <i i="2">
      <x v="2"/>
    </i>
    <i i="3">
      <x v="3"/>
    </i>
    <i i="4">
      <x v="4"/>
    </i>
    <i i="5">
      <x v="5"/>
    </i>
    <i i="6">
      <x v="6"/>
    </i>
    <i i="7">
      <x v="7"/>
    </i>
    <i i="8">
      <x v="8"/>
    </i>
  </colItems>
  <pageFields count="1">
    <pageField fld="3" item="1" hier="-1"/>
  </pageFields>
  <dataFields count="9">
    <dataField name="Average of 2022" fld="9" subtotal="average" baseField="2" baseItem="4"/>
    <dataField name="Average of 2023" fld="10" subtotal="average" baseField="2" baseItem="4"/>
    <dataField name="Average of 2024" fld="11" subtotal="average" baseField="2" baseItem="4"/>
    <dataField name="Average of 2025" fld="12" subtotal="average" baseField="2" baseItem="4"/>
    <dataField name="Average of 2026" fld="13" subtotal="average" baseField="2" baseItem="4"/>
    <dataField name="Average of 2027" fld="14" subtotal="average" baseField="2" baseItem="4"/>
    <dataField name="Average of 2028" fld="15" subtotal="average" baseField="2" baseItem="4"/>
    <dataField name="Average of 2029" fld="16" subtotal="average" baseField="2" baseItem="4"/>
    <dataField name="Average of 2030" fld="17" subtotal="average" baseField="2" baseItem="4"/>
  </dataFields>
  <chartFormats count="117">
    <chartFormat chart="45" format="0" series="1">
      <pivotArea type="data" outline="0" fieldPosition="0">
        <references count="2">
          <reference field="4294967294" count="1" selected="0">
            <x v="0"/>
          </reference>
          <reference field="30" count="1" selected="0">
            <x v="0"/>
          </reference>
        </references>
      </pivotArea>
    </chartFormat>
    <chartFormat chart="45" format="1" series="1">
      <pivotArea type="data" outline="0" fieldPosition="0">
        <references count="2">
          <reference field="4294967294" count="1" selected="0">
            <x v="0"/>
          </reference>
          <reference field="30" count="1" selected="0">
            <x v="1"/>
          </reference>
        </references>
      </pivotArea>
    </chartFormat>
    <chartFormat chart="45" format="2" series="1">
      <pivotArea type="data" outline="0" fieldPosition="0">
        <references count="2">
          <reference field="4294967294" count="1" selected="0">
            <x v="1"/>
          </reference>
          <reference field="30" count="1" selected="0">
            <x v="0"/>
          </reference>
        </references>
      </pivotArea>
    </chartFormat>
    <chartFormat chart="45" format="3" series="1">
      <pivotArea type="data" outline="0" fieldPosition="0">
        <references count="2">
          <reference field="4294967294" count="1" selected="0">
            <x v="1"/>
          </reference>
          <reference field="30" count="1" selected="0">
            <x v="1"/>
          </reference>
        </references>
      </pivotArea>
    </chartFormat>
    <chartFormat chart="45" format="4" series="1">
      <pivotArea type="data" outline="0" fieldPosition="0">
        <references count="2">
          <reference field="4294967294" count="1" selected="0">
            <x v="2"/>
          </reference>
          <reference field="30" count="1" selected="0">
            <x v="0"/>
          </reference>
        </references>
      </pivotArea>
    </chartFormat>
    <chartFormat chart="45" format="5" series="1">
      <pivotArea type="data" outline="0" fieldPosition="0">
        <references count="2">
          <reference field="4294967294" count="1" selected="0">
            <x v="2"/>
          </reference>
          <reference field="30" count="1" selected="0">
            <x v="1"/>
          </reference>
        </references>
      </pivotArea>
    </chartFormat>
    <chartFormat chart="45" format="6" series="1">
      <pivotArea type="data" outline="0" fieldPosition="0">
        <references count="2">
          <reference field="4294967294" count="1" selected="0">
            <x v="3"/>
          </reference>
          <reference field="30" count="1" selected="0">
            <x v="0"/>
          </reference>
        </references>
      </pivotArea>
    </chartFormat>
    <chartFormat chart="45" format="7" series="1">
      <pivotArea type="data" outline="0" fieldPosition="0">
        <references count="2">
          <reference field="4294967294" count="1" selected="0">
            <x v="3"/>
          </reference>
          <reference field="30" count="1" selected="0">
            <x v="1"/>
          </reference>
        </references>
      </pivotArea>
    </chartFormat>
    <chartFormat chart="45" format="8" series="1">
      <pivotArea type="data" outline="0" fieldPosition="0">
        <references count="2">
          <reference field="4294967294" count="1" selected="0">
            <x v="4"/>
          </reference>
          <reference field="30" count="1" selected="0">
            <x v="0"/>
          </reference>
        </references>
      </pivotArea>
    </chartFormat>
    <chartFormat chart="45" format="9" series="1">
      <pivotArea type="data" outline="0" fieldPosition="0">
        <references count="2">
          <reference field="4294967294" count="1" selected="0">
            <x v="4"/>
          </reference>
          <reference field="30" count="1" selected="0">
            <x v="1"/>
          </reference>
        </references>
      </pivotArea>
    </chartFormat>
    <chartFormat chart="45" format="10" series="1">
      <pivotArea type="data" outline="0" fieldPosition="0">
        <references count="2">
          <reference field="4294967294" count="1" selected="0">
            <x v="5"/>
          </reference>
          <reference field="30" count="1" selected="0">
            <x v="0"/>
          </reference>
        </references>
      </pivotArea>
    </chartFormat>
    <chartFormat chart="45" format="11" series="1">
      <pivotArea type="data" outline="0" fieldPosition="0">
        <references count="2">
          <reference field="4294967294" count="1" selected="0">
            <x v="5"/>
          </reference>
          <reference field="30" count="1" selected="0">
            <x v="1"/>
          </reference>
        </references>
      </pivotArea>
    </chartFormat>
    <chartFormat chart="45" format="12" series="1">
      <pivotArea type="data" outline="0" fieldPosition="0">
        <references count="2">
          <reference field="4294967294" count="1" selected="0">
            <x v="6"/>
          </reference>
          <reference field="30" count="1" selected="0">
            <x v="0"/>
          </reference>
        </references>
      </pivotArea>
    </chartFormat>
    <chartFormat chart="45" format="13" series="1">
      <pivotArea type="data" outline="0" fieldPosition="0">
        <references count="2">
          <reference field="4294967294" count="1" selected="0">
            <x v="6"/>
          </reference>
          <reference field="30" count="1" selected="0">
            <x v="1"/>
          </reference>
        </references>
      </pivotArea>
    </chartFormat>
    <chartFormat chart="45" format="14" series="1">
      <pivotArea type="data" outline="0" fieldPosition="0">
        <references count="2">
          <reference field="4294967294" count="1" selected="0">
            <x v="7"/>
          </reference>
          <reference field="30" count="1" selected="0">
            <x v="0"/>
          </reference>
        </references>
      </pivotArea>
    </chartFormat>
    <chartFormat chart="45" format="15" series="1">
      <pivotArea type="data" outline="0" fieldPosition="0">
        <references count="2">
          <reference field="4294967294" count="1" selected="0">
            <x v="7"/>
          </reference>
          <reference field="30" count="1" selected="0">
            <x v="1"/>
          </reference>
        </references>
      </pivotArea>
    </chartFormat>
    <chartFormat chart="45" format="16" series="1">
      <pivotArea type="data" outline="0" fieldPosition="0">
        <references count="2">
          <reference field="4294967294" count="1" selected="0">
            <x v="8"/>
          </reference>
          <reference field="30" count="1" selected="0">
            <x v="0"/>
          </reference>
        </references>
      </pivotArea>
    </chartFormat>
    <chartFormat chart="45" format="17" series="1">
      <pivotArea type="data" outline="0" fieldPosition="0">
        <references count="2">
          <reference field="4294967294" count="1" selected="0">
            <x v="8"/>
          </reference>
          <reference field="30" count="1" selected="0">
            <x v="1"/>
          </reference>
        </references>
      </pivotArea>
    </chartFormat>
    <chartFormat chart="45" format="18" series="1">
      <pivotArea type="data" outline="0" fieldPosition="0">
        <references count="2">
          <reference field="4294967294" count="1" selected="0">
            <x v="0"/>
          </reference>
          <reference field="2" count="1" selected="0">
            <x v="2"/>
          </reference>
        </references>
      </pivotArea>
    </chartFormat>
    <chartFormat chart="45" format="19" series="1">
      <pivotArea type="data" outline="0" fieldPosition="0">
        <references count="2">
          <reference field="4294967294" count="1" selected="0">
            <x v="1"/>
          </reference>
          <reference field="2" count="1" selected="0">
            <x v="2"/>
          </reference>
        </references>
      </pivotArea>
    </chartFormat>
    <chartFormat chart="45" format="20" series="1">
      <pivotArea type="data" outline="0" fieldPosition="0">
        <references count="2">
          <reference field="4294967294" count="1" selected="0">
            <x v="2"/>
          </reference>
          <reference field="2" count="1" selected="0">
            <x v="2"/>
          </reference>
        </references>
      </pivotArea>
    </chartFormat>
    <chartFormat chart="45" format="21" series="1">
      <pivotArea type="data" outline="0" fieldPosition="0">
        <references count="2">
          <reference field="4294967294" count="1" selected="0">
            <x v="3"/>
          </reference>
          <reference field="2" count="1" selected="0">
            <x v="2"/>
          </reference>
        </references>
      </pivotArea>
    </chartFormat>
    <chartFormat chart="45" format="22" series="1">
      <pivotArea type="data" outline="0" fieldPosition="0">
        <references count="2">
          <reference field="4294967294" count="1" selected="0">
            <x v="4"/>
          </reference>
          <reference field="2" count="1" selected="0">
            <x v="2"/>
          </reference>
        </references>
      </pivotArea>
    </chartFormat>
    <chartFormat chart="45" format="23" series="1">
      <pivotArea type="data" outline="0" fieldPosition="0">
        <references count="2">
          <reference field="4294967294" count="1" selected="0">
            <x v="5"/>
          </reference>
          <reference field="2" count="1" selected="0">
            <x v="2"/>
          </reference>
        </references>
      </pivotArea>
    </chartFormat>
    <chartFormat chart="45" format="24" series="1">
      <pivotArea type="data" outline="0" fieldPosition="0">
        <references count="2">
          <reference field="4294967294" count="1" selected="0">
            <x v="6"/>
          </reference>
          <reference field="2" count="1" selected="0">
            <x v="2"/>
          </reference>
        </references>
      </pivotArea>
    </chartFormat>
    <chartFormat chart="45" format="25" series="1">
      <pivotArea type="data" outline="0" fieldPosition="0">
        <references count="2">
          <reference field="4294967294" count="1" selected="0">
            <x v="7"/>
          </reference>
          <reference field="2" count="1" selected="0">
            <x v="2"/>
          </reference>
        </references>
      </pivotArea>
    </chartFormat>
    <chartFormat chart="45" format="26" series="1">
      <pivotArea type="data" outline="0" fieldPosition="0">
        <references count="2">
          <reference field="4294967294" count="1" selected="0">
            <x v="8"/>
          </reference>
          <reference field="2" count="1" selected="0">
            <x v="2"/>
          </reference>
        </references>
      </pivotArea>
    </chartFormat>
    <chartFormat chart="45" format="27" series="1">
      <pivotArea type="data" outline="0" fieldPosition="0">
        <references count="2">
          <reference field="4294967294" count="1" selected="0">
            <x v="0"/>
          </reference>
          <reference field="2" count="1" selected="0">
            <x v="4"/>
          </reference>
        </references>
      </pivotArea>
    </chartFormat>
    <chartFormat chart="45" format="28" series="1">
      <pivotArea type="data" outline="0" fieldPosition="0">
        <references count="2">
          <reference field="4294967294" count="1" selected="0">
            <x v="1"/>
          </reference>
          <reference field="2" count="1" selected="0">
            <x v="4"/>
          </reference>
        </references>
      </pivotArea>
    </chartFormat>
    <chartFormat chart="45" format="29" series="1">
      <pivotArea type="data" outline="0" fieldPosition="0">
        <references count="2">
          <reference field="4294967294" count="1" selected="0">
            <x v="2"/>
          </reference>
          <reference field="2" count="1" selected="0">
            <x v="4"/>
          </reference>
        </references>
      </pivotArea>
    </chartFormat>
    <chartFormat chart="45" format="30" series="1">
      <pivotArea type="data" outline="0" fieldPosition="0">
        <references count="2">
          <reference field="4294967294" count="1" selected="0">
            <x v="3"/>
          </reference>
          <reference field="2" count="1" selected="0">
            <x v="4"/>
          </reference>
        </references>
      </pivotArea>
    </chartFormat>
    <chartFormat chart="45" format="31" series="1">
      <pivotArea type="data" outline="0" fieldPosition="0">
        <references count="2">
          <reference field="4294967294" count="1" selected="0">
            <x v="4"/>
          </reference>
          <reference field="2" count="1" selected="0">
            <x v="4"/>
          </reference>
        </references>
      </pivotArea>
    </chartFormat>
    <chartFormat chart="45" format="32" series="1">
      <pivotArea type="data" outline="0" fieldPosition="0">
        <references count="2">
          <reference field="4294967294" count="1" selected="0">
            <x v="5"/>
          </reference>
          <reference field="2" count="1" selected="0">
            <x v="4"/>
          </reference>
        </references>
      </pivotArea>
    </chartFormat>
    <chartFormat chart="45" format="33" series="1">
      <pivotArea type="data" outline="0" fieldPosition="0">
        <references count="2">
          <reference field="4294967294" count="1" selected="0">
            <x v="6"/>
          </reference>
          <reference field="2" count="1" selected="0">
            <x v="4"/>
          </reference>
        </references>
      </pivotArea>
    </chartFormat>
    <chartFormat chart="45" format="34" series="1">
      <pivotArea type="data" outline="0" fieldPosition="0">
        <references count="2">
          <reference field="4294967294" count="1" selected="0">
            <x v="7"/>
          </reference>
          <reference field="2" count="1" selected="0">
            <x v="4"/>
          </reference>
        </references>
      </pivotArea>
    </chartFormat>
    <chartFormat chart="45" format="35" series="1">
      <pivotArea type="data" outline="0" fieldPosition="0">
        <references count="2">
          <reference field="4294967294" count="1" selected="0">
            <x v="8"/>
          </reference>
          <reference field="2" count="1" selected="0">
            <x v="4"/>
          </reference>
        </references>
      </pivotArea>
    </chartFormat>
    <chartFormat chart="45" format="36" series="1">
      <pivotArea type="data" outline="0" fieldPosition="0">
        <references count="2">
          <reference field="4294967294" count="1" selected="0">
            <x v="0"/>
          </reference>
          <reference field="2" count="1" selected="0">
            <x v="7"/>
          </reference>
        </references>
      </pivotArea>
    </chartFormat>
    <chartFormat chart="45" format="37" series="1">
      <pivotArea type="data" outline="0" fieldPosition="0">
        <references count="2">
          <reference field="4294967294" count="1" selected="0">
            <x v="1"/>
          </reference>
          <reference field="2" count="1" selected="0">
            <x v="7"/>
          </reference>
        </references>
      </pivotArea>
    </chartFormat>
    <chartFormat chart="45" format="38" series="1">
      <pivotArea type="data" outline="0" fieldPosition="0">
        <references count="2">
          <reference field="4294967294" count="1" selected="0">
            <x v="2"/>
          </reference>
          <reference field="2" count="1" selected="0">
            <x v="7"/>
          </reference>
        </references>
      </pivotArea>
    </chartFormat>
    <chartFormat chart="45" format="39" series="1">
      <pivotArea type="data" outline="0" fieldPosition="0">
        <references count="2">
          <reference field="4294967294" count="1" selected="0">
            <x v="3"/>
          </reference>
          <reference field="2" count="1" selected="0">
            <x v="7"/>
          </reference>
        </references>
      </pivotArea>
    </chartFormat>
    <chartFormat chart="45" format="40" series="1">
      <pivotArea type="data" outline="0" fieldPosition="0">
        <references count="2">
          <reference field="4294967294" count="1" selected="0">
            <x v="4"/>
          </reference>
          <reference field="2" count="1" selected="0">
            <x v="7"/>
          </reference>
        </references>
      </pivotArea>
    </chartFormat>
    <chartFormat chart="45" format="41" series="1">
      <pivotArea type="data" outline="0" fieldPosition="0">
        <references count="2">
          <reference field="4294967294" count="1" selected="0">
            <x v="5"/>
          </reference>
          <reference field="2" count="1" selected="0">
            <x v="7"/>
          </reference>
        </references>
      </pivotArea>
    </chartFormat>
    <chartFormat chart="45" format="42" series="1">
      <pivotArea type="data" outline="0" fieldPosition="0">
        <references count="2">
          <reference field="4294967294" count="1" selected="0">
            <x v="6"/>
          </reference>
          <reference field="2" count="1" selected="0">
            <x v="7"/>
          </reference>
        </references>
      </pivotArea>
    </chartFormat>
    <chartFormat chart="45" format="43" series="1">
      <pivotArea type="data" outline="0" fieldPosition="0">
        <references count="2">
          <reference field="4294967294" count="1" selected="0">
            <x v="7"/>
          </reference>
          <reference field="2" count="1" selected="0">
            <x v="7"/>
          </reference>
        </references>
      </pivotArea>
    </chartFormat>
    <chartFormat chart="45" format="44" series="1">
      <pivotArea type="data" outline="0" fieldPosition="0">
        <references count="2">
          <reference field="4294967294" count="1" selected="0">
            <x v="8"/>
          </reference>
          <reference field="2" count="1" selected="0">
            <x v="7"/>
          </reference>
        </references>
      </pivotArea>
    </chartFormat>
    <chartFormat chart="45" format="45" series="1">
      <pivotArea type="data" outline="0" fieldPosition="0">
        <references count="2">
          <reference field="4294967294" count="1" selected="0">
            <x v="0"/>
          </reference>
          <reference field="2" count="1" selected="0">
            <x v="3"/>
          </reference>
        </references>
      </pivotArea>
    </chartFormat>
    <chartFormat chart="45" format="46" series="1">
      <pivotArea type="data" outline="0" fieldPosition="0">
        <references count="2">
          <reference field="4294967294" count="1" selected="0">
            <x v="1"/>
          </reference>
          <reference field="2" count="1" selected="0">
            <x v="3"/>
          </reference>
        </references>
      </pivotArea>
    </chartFormat>
    <chartFormat chart="45" format="47" series="1">
      <pivotArea type="data" outline="0" fieldPosition="0">
        <references count="2">
          <reference field="4294967294" count="1" selected="0">
            <x v="2"/>
          </reference>
          <reference field="2" count="1" selected="0">
            <x v="3"/>
          </reference>
        </references>
      </pivotArea>
    </chartFormat>
    <chartFormat chart="45" format="48" series="1">
      <pivotArea type="data" outline="0" fieldPosition="0">
        <references count="2">
          <reference field="4294967294" count="1" selected="0">
            <x v="3"/>
          </reference>
          <reference field="2" count="1" selected="0">
            <x v="3"/>
          </reference>
        </references>
      </pivotArea>
    </chartFormat>
    <chartFormat chart="45" format="49" series="1">
      <pivotArea type="data" outline="0" fieldPosition="0">
        <references count="2">
          <reference field="4294967294" count="1" selected="0">
            <x v="4"/>
          </reference>
          <reference field="2" count="1" selected="0">
            <x v="3"/>
          </reference>
        </references>
      </pivotArea>
    </chartFormat>
    <chartFormat chart="45" format="50" series="1">
      <pivotArea type="data" outline="0" fieldPosition="0">
        <references count="2">
          <reference field="4294967294" count="1" selected="0">
            <x v="5"/>
          </reference>
          <reference field="2" count="1" selected="0">
            <x v="3"/>
          </reference>
        </references>
      </pivotArea>
    </chartFormat>
    <chartFormat chart="45" format="51" series="1">
      <pivotArea type="data" outline="0" fieldPosition="0">
        <references count="2">
          <reference field="4294967294" count="1" selected="0">
            <x v="6"/>
          </reference>
          <reference field="2" count="1" selected="0">
            <x v="3"/>
          </reference>
        </references>
      </pivotArea>
    </chartFormat>
    <chartFormat chart="45" format="52" series="1">
      <pivotArea type="data" outline="0" fieldPosition="0">
        <references count="2">
          <reference field="4294967294" count="1" selected="0">
            <x v="7"/>
          </reference>
          <reference field="2" count="1" selected="0">
            <x v="3"/>
          </reference>
        </references>
      </pivotArea>
    </chartFormat>
    <chartFormat chart="45" format="53" series="1">
      <pivotArea type="data" outline="0" fieldPosition="0">
        <references count="2">
          <reference field="4294967294" count="1" selected="0">
            <x v="8"/>
          </reference>
          <reference field="2" count="1" selected="0">
            <x v="3"/>
          </reference>
        </references>
      </pivotArea>
    </chartFormat>
    <chartFormat chart="45" format="54" series="1">
      <pivotArea type="data" outline="0" fieldPosition="0">
        <references count="2">
          <reference field="4294967294" count="1" selected="0">
            <x v="0"/>
          </reference>
          <reference field="2" count="1" selected="0">
            <x v="11"/>
          </reference>
        </references>
      </pivotArea>
    </chartFormat>
    <chartFormat chart="45" format="55" series="1">
      <pivotArea type="data" outline="0" fieldPosition="0">
        <references count="2">
          <reference field="4294967294" count="1" selected="0">
            <x v="1"/>
          </reference>
          <reference field="2" count="1" selected="0">
            <x v="11"/>
          </reference>
        </references>
      </pivotArea>
    </chartFormat>
    <chartFormat chart="45" format="56" series="1">
      <pivotArea type="data" outline="0" fieldPosition="0">
        <references count="2">
          <reference field="4294967294" count="1" selected="0">
            <x v="2"/>
          </reference>
          <reference field="2" count="1" selected="0">
            <x v="11"/>
          </reference>
        </references>
      </pivotArea>
    </chartFormat>
    <chartFormat chart="45" format="57" series="1">
      <pivotArea type="data" outline="0" fieldPosition="0">
        <references count="2">
          <reference field="4294967294" count="1" selected="0">
            <x v="3"/>
          </reference>
          <reference field="2" count="1" selected="0">
            <x v="11"/>
          </reference>
        </references>
      </pivotArea>
    </chartFormat>
    <chartFormat chart="45" format="58" series="1">
      <pivotArea type="data" outline="0" fieldPosition="0">
        <references count="2">
          <reference field="4294967294" count="1" selected="0">
            <x v="4"/>
          </reference>
          <reference field="2" count="1" selected="0">
            <x v="11"/>
          </reference>
        </references>
      </pivotArea>
    </chartFormat>
    <chartFormat chart="45" format="59" series="1">
      <pivotArea type="data" outline="0" fieldPosition="0">
        <references count="2">
          <reference field="4294967294" count="1" selected="0">
            <x v="5"/>
          </reference>
          <reference field="2" count="1" selected="0">
            <x v="11"/>
          </reference>
        </references>
      </pivotArea>
    </chartFormat>
    <chartFormat chart="45" format="60" series="1">
      <pivotArea type="data" outline="0" fieldPosition="0">
        <references count="2">
          <reference field="4294967294" count="1" selected="0">
            <x v="6"/>
          </reference>
          <reference field="2" count="1" selected="0">
            <x v="11"/>
          </reference>
        </references>
      </pivotArea>
    </chartFormat>
    <chartFormat chart="45" format="61" series="1">
      <pivotArea type="data" outline="0" fieldPosition="0">
        <references count="2">
          <reference field="4294967294" count="1" selected="0">
            <x v="7"/>
          </reference>
          <reference field="2" count="1" selected="0">
            <x v="11"/>
          </reference>
        </references>
      </pivotArea>
    </chartFormat>
    <chartFormat chart="45" format="62" series="1">
      <pivotArea type="data" outline="0" fieldPosition="0">
        <references count="2">
          <reference field="4294967294" count="1" selected="0">
            <x v="8"/>
          </reference>
          <reference field="2" count="1" selected="0">
            <x v="11"/>
          </reference>
        </references>
      </pivotArea>
    </chartFormat>
    <chartFormat chart="45" format="63" series="1">
      <pivotArea type="data" outline="0" fieldPosition="0">
        <references count="2">
          <reference field="4294967294" count="1" selected="0">
            <x v="0"/>
          </reference>
          <reference field="2" count="1" selected="0">
            <x v="6"/>
          </reference>
        </references>
      </pivotArea>
    </chartFormat>
    <chartFormat chart="45" format="64" series="1">
      <pivotArea type="data" outline="0" fieldPosition="0">
        <references count="2">
          <reference field="4294967294" count="1" selected="0">
            <x v="1"/>
          </reference>
          <reference field="2" count="1" selected="0">
            <x v="6"/>
          </reference>
        </references>
      </pivotArea>
    </chartFormat>
    <chartFormat chart="45" format="65" series="1">
      <pivotArea type="data" outline="0" fieldPosition="0">
        <references count="2">
          <reference field="4294967294" count="1" selected="0">
            <x v="2"/>
          </reference>
          <reference field="2" count="1" selected="0">
            <x v="6"/>
          </reference>
        </references>
      </pivotArea>
    </chartFormat>
    <chartFormat chart="45" format="66" series="1">
      <pivotArea type="data" outline="0" fieldPosition="0">
        <references count="2">
          <reference field="4294967294" count="1" selected="0">
            <x v="3"/>
          </reference>
          <reference field="2" count="1" selected="0">
            <x v="6"/>
          </reference>
        </references>
      </pivotArea>
    </chartFormat>
    <chartFormat chart="45" format="67" series="1">
      <pivotArea type="data" outline="0" fieldPosition="0">
        <references count="2">
          <reference field="4294967294" count="1" selected="0">
            <x v="4"/>
          </reference>
          <reference field="2" count="1" selected="0">
            <x v="6"/>
          </reference>
        </references>
      </pivotArea>
    </chartFormat>
    <chartFormat chart="45" format="68" series="1">
      <pivotArea type="data" outline="0" fieldPosition="0">
        <references count="2">
          <reference field="4294967294" count="1" selected="0">
            <x v="5"/>
          </reference>
          <reference field="2" count="1" selected="0">
            <x v="6"/>
          </reference>
        </references>
      </pivotArea>
    </chartFormat>
    <chartFormat chart="45" format="69" series="1">
      <pivotArea type="data" outline="0" fieldPosition="0">
        <references count="2">
          <reference field="4294967294" count="1" selected="0">
            <x v="6"/>
          </reference>
          <reference field="2" count="1" selected="0">
            <x v="6"/>
          </reference>
        </references>
      </pivotArea>
    </chartFormat>
    <chartFormat chart="45" format="70" series="1">
      <pivotArea type="data" outline="0" fieldPosition="0">
        <references count="2">
          <reference field="4294967294" count="1" selected="0">
            <x v="7"/>
          </reference>
          <reference field="2" count="1" selected="0">
            <x v="6"/>
          </reference>
        </references>
      </pivotArea>
    </chartFormat>
    <chartFormat chart="45" format="71" series="1">
      <pivotArea type="data" outline="0" fieldPosition="0">
        <references count="2">
          <reference field="4294967294" count="1" selected="0">
            <x v="8"/>
          </reference>
          <reference field="2" count="1" selected="0">
            <x v="6"/>
          </reference>
        </references>
      </pivotArea>
    </chartFormat>
    <chartFormat chart="45" format="72" series="1">
      <pivotArea type="data" outline="0" fieldPosition="0">
        <references count="2">
          <reference field="4294967294" count="1" selected="0">
            <x v="0"/>
          </reference>
          <reference field="2" count="1" selected="0">
            <x v="15"/>
          </reference>
        </references>
      </pivotArea>
    </chartFormat>
    <chartFormat chart="45" format="73" series="1">
      <pivotArea type="data" outline="0" fieldPosition="0">
        <references count="2">
          <reference field="4294967294" count="1" selected="0">
            <x v="1"/>
          </reference>
          <reference field="2" count="1" selected="0">
            <x v="15"/>
          </reference>
        </references>
      </pivotArea>
    </chartFormat>
    <chartFormat chart="45" format="74" series="1">
      <pivotArea type="data" outline="0" fieldPosition="0">
        <references count="2">
          <reference field="4294967294" count="1" selected="0">
            <x v="2"/>
          </reference>
          <reference field="2" count="1" selected="0">
            <x v="15"/>
          </reference>
        </references>
      </pivotArea>
    </chartFormat>
    <chartFormat chart="45" format="75" series="1">
      <pivotArea type="data" outline="0" fieldPosition="0">
        <references count="2">
          <reference field="4294967294" count="1" selected="0">
            <x v="3"/>
          </reference>
          <reference field="2" count="1" selected="0">
            <x v="15"/>
          </reference>
        </references>
      </pivotArea>
    </chartFormat>
    <chartFormat chart="45" format="76" series="1">
      <pivotArea type="data" outline="0" fieldPosition="0">
        <references count="2">
          <reference field="4294967294" count="1" selected="0">
            <x v="4"/>
          </reference>
          <reference field="2" count="1" selected="0">
            <x v="15"/>
          </reference>
        </references>
      </pivotArea>
    </chartFormat>
    <chartFormat chart="45" format="77" series="1">
      <pivotArea type="data" outline="0" fieldPosition="0">
        <references count="2">
          <reference field="4294967294" count="1" selected="0">
            <x v="5"/>
          </reference>
          <reference field="2" count="1" selected="0">
            <x v="15"/>
          </reference>
        </references>
      </pivotArea>
    </chartFormat>
    <chartFormat chart="45" format="78" series="1">
      <pivotArea type="data" outline="0" fieldPosition="0">
        <references count="2">
          <reference field="4294967294" count="1" selected="0">
            <x v="6"/>
          </reference>
          <reference field="2" count="1" selected="0">
            <x v="15"/>
          </reference>
        </references>
      </pivotArea>
    </chartFormat>
    <chartFormat chart="45" format="79" series="1">
      <pivotArea type="data" outline="0" fieldPosition="0">
        <references count="2">
          <reference field="4294967294" count="1" selected="0">
            <x v="7"/>
          </reference>
          <reference field="2" count="1" selected="0">
            <x v="15"/>
          </reference>
        </references>
      </pivotArea>
    </chartFormat>
    <chartFormat chart="45" format="80" series="1">
      <pivotArea type="data" outline="0" fieldPosition="0">
        <references count="2">
          <reference field="4294967294" count="1" selected="0">
            <x v="8"/>
          </reference>
          <reference field="2" count="1" selected="0">
            <x v="15"/>
          </reference>
        </references>
      </pivotArea>
    </chartFormat>
    <chartFormat chart="45" format="81" series="1">
      <pivotArea type="data" outline="0" fieldPosition="0">
        <references count="2">
          <reference field="4294967294" count="1" selected="0">
            <x v="0"/>
          </reference>
          <reference field="2" count="1" selected="0">
            <x v="14"/>
          </reference>
        </references>
      </pivotArea>
    </chartFormat>
    <chartFormat chart="45" format="82" series="1">
      <pivotArea type="data" outline="0" fieldPosition="0">
        <references count="2">
          <reference field="4294967294" count="1" selected="0">
            <x v="1"/>
          </reference>
          <reference field="2" count="1" selected="0">
            <x v="14"/>
          </reference>
        </references>
      </pivotArea>
    </chartFormat>
    <chartFormat chart="45" format="83" series="1">
      <pivotArea type="data" outline="0" fieldPosition="0">
        <references count="2">
          <reference field="4294967294" count="1" selected="0">
            <x v="2"/>
          </reference>
          <reference field="2" count="1" selected="0">
            <x v="14"/>
          </reference>
        </references>
      </pivotArea>
    </chartFormat>
    <chartFormat chart="45" format="84" series="1">
      <pivotArea type="data" outline="0" fieldPosition="0">
        <references count="2">
          <reference field="4294967294" count="1" selected="0">
            <x v="3"/>
          </reference>
          <reference field="2" count="1" selected="0">
            <x v="14"/>
          </reference>
        </references>
      </pivotArea>
    </chartFormat>
    <chartFormat chart="45" format="85" series="1">
      <pivotArea type="data" outline="0" fieldPosition="0">
        <references count="2">
          <reference field="4294967294" count="1" selected="0">
            <x v="4"/>
          </reference>
          <reference field="2" count="1" selected="0">
            <x v="14"/>
          </reference>
        </references>
      </pivotArea>
    </chartFormat>
    <chartFormat chart="45" format="86" series="1">
      <pivotArea type="data" outline="0" fieldPosition="0">
        <references count="2">
          <reference field="4294967294" count="1" selected="0">
            <x v="5"/>
          </reference>
          <reference field="2" count="1" selected="0">
            <x v="14"/>
          </reference>
        </references>
      </pivotArea>
    </chartFormat>
    <chartFormat chart="45" format="87" series="1">
      <pivotArea type="data" outline="0" fieldPosition="0">
        <references count="2">
          <reference field="4294967294" count="1" selected="0">
            <x v="6"/>
          </reference>
          <reference field="2" count="1" selected="0">
            <x v="14"/>
          </reference>
        </references>
      </pivotArea>
    </chartFormat>
    <chartFormat chart="45" format="88" series="1">
      <pivotArea type="data" outline="0" fieldPosition="0">
        <references count="2">
          <reference field="4294967294" count="1" selected="0">
            <x v="7"/>
          </reference>
          <reference field="2" count="1" selected="0">
            <x v="14"/>
          </reference>
        </references>
      </pivotArea>
    </chartFormat>
    <chartFormat chart="45" format="89" series="1">
      <pivotArea type="data" outline="0" fieldPosition="0">
        <references count="2">
          <reference field="4294967294" count="1" selected="0">
            <x v="8"/>
          </reference>
          <reference field="2" count="1" selected="0">
            <x v="14"/>
          </reference>
        </references>
      </pivotArea>
    </chartFormat>
    <chartFormat chart="45" format="90" series="1">
      <pivotArea type="data" outline="0" fieldPosition="0">
        <references count="2">
          <reference field="4294967294" count="1" selected="0">
            <x v="0"/>
          </reference>
          <reference field="2" count="1" selected="0">
            <x v="5"/>
          </reference>
        </references>
      </pivotArea>
    </chartFormat>
    <chartFormat chart="45" format="91" series="1">
      <pivotArea type="data" outline="0" fieldPosition="0">
        <references count="2">
          <reference field="4294967294" count="1" selected="0">
            <x v="1"/>
          </reference>
          <reference field="2" count="1" selected="0">
            <x v="5"/>
          </reference>
        </references>
      </pivotArea>
    </chartFormat>
    <chartFormat chart="45" format="92" series="1">
      <pivotArea type="data" outline="0" fieldPosition="0">
        <references count="2">
          <reference field="4294967294" count="1" selected="0">
            <x v="2"/>
          </reference>
          <reference field="2" count="1" selected="0">
            <x v="5"/>
          </reference>
        </references>
      </pivotArea>
    </chartFormat>
    <chartFormat chart="45" format="93" series="1">
      <pivotArea type="data" outline="0" fieldPosition="0">
        <references count="2">
          <reference field="4294967294" count="1" selected="0">
            <x v="3"/>
          </reference>
          <reference field="2" count="1" selected="0">
            <x v="5"/>
          </reference>
        </references>
      </pivotArea>
    </chartFormat>
    <chartFormat chart="45" format="94" series="1">
      <pivotArea type="data" outline="0" fieldPosition="0">
        <references count="2">
          <reference field="4294967294" count="1" selected="0">
            <x v="4"/>
          </reference>
          <reference field="2" count="1" selected="0">
            <x v="5"/>
          </reference>
        </references>
      </pivotArea>
    </chartFormat>
    <chartFormat chart="45" format="95" series="1">
      <pivotArea type="data" outline="0" fieldPosition="0">
        <references count="2">
          <reference field="4294967294" count="1" selected="0">
            <x v="5"/>
          </reference>
          <reference field="2" count="1" selected="0">
            <x v="5"/>
          </reference>
        </references>
      </pivotArea>
    </chartFormat>
    <chartFormat chart="45" format="96" series="1">
      <pivotArea type="data" outline="0" fieldPosition="0">
        <references count="2">
          <reference field="4294967294" count="1" selected="0">
            <x v="6"/>
          </reference>
          <reference field="2" count="1" selected="0">
            <x v="5"/>
          </reference>
        </references>
      </pivotArea>
    </chartFormat>
    <chartFormat chart="45" format="97" series="1">
      <pivotArea type="data" outline="0" fieldPosition="0">
        <references count="2">
          <reference field="4294967294" count="1" selected="0">
            <x v="7"/>
          </reference>
          <reference field="2" count="1" selected="0">
            <x v="5"/>
          </reference>
        </references>
      </pivotArea>
    </chartFormat>
    <chartFormat chart="45" format="98" series="1">
      <pivotArea type="data" outline="0" fieldPosition="0">
        <references count="2">
          <reference field="4294967294" count="1" selected="0">
            <x v="8"/>
          </reference>
          <reference field="2" count="1" selected="0">
            <x v="5"/>
          </reference>
        </references>
      </pivotArea>
    </chartFormat>
    <chartFormat chart="45" format="99" series="1">
      <pivotArea type="data" outline="0" fieldPosition="0">
        <references count="1">
          <reference field="4294967294" count="1" selected="0">
            <x v="0"/>
          </reference>
        </references>
      </pivotArea>
    </chartFormat>
    <chartFormat chart="45" format="100" series="1">
      <pivotArea type="data" outline="0" fieldPosition="0">
        <references count="1">
          <reference field="4294967294" count="1" selected="0">
            <x v="1"/>
          </reference>
        </references>
      </pivotArea>
    </chartFormat>
    <chartFormat chart="45" format="101" series="1">
      <pivotArea type="data" outline="0" fieldPosition="0">
        <references count="1">
          <reference field="4294967294" count="1" selected="0">
            <x v="2"/>
          </reference>
        </references>
      </pivotArea>
    </chartFormat>
    <chartFormat chart="45" format="102" series="1">
      <pivotArea type="data" outline="0" fieldPosition="0">
        <references count="1">
          <reference field="4294967294" count="1" selected="0">
            <x v="3"/>
          </reference>
        </references>
      </pivotArea>
    </chartFormat>
    <chartFormat chart="45" format="103" series="1">
      <pivotArea type="data" outline="0" fieldPosition="0">
        <references count="1">
          <reference field="4294967294" count="1" selected="0">
            <x v="4"/>
          </reference>
        </references>
      </pivotArea>
    </chartFormat>
    <chartFormat chart="45" format="104" series="1">
      <pivotArea type="data" outline="0" fieldPosition="0">
        <references count="1">
          <reference field="4294967294" count="1" selected="0">
            <x v="5"/>
          </reference>
        </references>
      </pivotArea>
    </chartFormat>
    <chartFormat chart="45" format="105" series="1">
      <pivotArea type="data" outline="0" fieldPosition="0">
        <references count="1">
          <reference field="4294967294" count="1" selected="0">
            <x v="6"/>
          </reference>
        </references>
      </pivotArea>
    </chartFormat>
    <chartFormat chart="45" format="106" series="1">
      <pivotArea type="data" outline="0" fieldPosition="0">
        <references count="1">
          <reference field="4294967294" count="1" selected="0">
            <x v="7"/>
          </reference>
        </references>
      </pivotArea>
    </chartFormat>
    <chartFormat chart="45" format="107" series="1">
      <pivotArea type="data" outline="0" fieldPosition="0">
        <references count="1">
          <reference field="4294967294" count="1" selected="0">
            <x v="8"/>
          </reference>
        </references>
      </pivotArea>
    </chartFormat>
    <chartFormat chart="48" format="144" series="1">
      <pivotArea type="data" outline="0" fieldPosition="0">
        <references count="1">
          <reference field="4294967294" count="1" selected="0">
            <x v="0"/>
          </reference>
        </references>
      </pivotArea>
    </chartFormat>
    <chartFormat chart="48" format="145" series="1">
      <pivotArea type="data" outline="0" fieldPosition="0">
        <references count="1">
          <reference field="4294967294" count="1" selected="0">
            <x v="1"/>
          </reference>
        </references>
      </pivotArea>
    </chartFormat>
    <chartFormat chart="48" format="146" series="1">
      <pivotArea type="data" outline="0" fieldPosition="0">
        <references count="1">
          <reference field="4294967294" count="1" selected="0">
            <x v="2"/>
          </reference>
        </references>
      </pivotArea>
    </chartFormat>
    <chartFormat chart="48" format="147" series="1">
      <pivotArea type="data" outline="0" fieldPosition="0">
        <references count="1">
          <reference field="4294967294" count="1" selected="0">
            <x v="3"/>
          </reference>
        </references>
      </pivotArea>
    </chartFormat>
    <chartFormat chart="48" format="148" series="1">
      <pivotArea type="data" outline="0" fieldPosition="0">
        <references count="1">
          <reference field="4294967294" count="1" selected="0">
            <x v="4"/>
          </reference>
        </references>
      </pivotArea>
    </chartFormat>
    <chartFormat chart="48" format="149" series="1">
      <pivotArea type="data" outline="0" fieldPosition="0">
        <references count="1">
          <reference field="4294967294" count="1" selected="0">
            <x v="5"/>
          </reference>
        </references>
      </pivotArea>
    </chartFormat>
    <chartFormat chart="48" format="150" series="1">
      <pivotArea type="data" outline="0" fieldPosition="0">
        <references count="1">
          <reference field="4294967294" count="1" selected="0">
            <x v="6"/>
          </reference>
        </references>
      </pivotArea>
    </chartFormat>
    <chartFormat chart="48" format="151" series="1">
      <pivotArea type="data" outline="0" fieldPosition="0">
        <references count="1">
          <reference field="4294967294" count="1" selected="0">
            <x v="7"/>
          </reference>
        </references>
      </pivotArea>
    </chartFormat>
    <chartFormat chart="48" format="152" series="1">
      <pivotArea type="data" outline="0" fieldPosition="0">
        <references count="1">
          <reference field="4294967294" count="1" selected="0">
            <x v="8"/>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6" minRefreshableVersion="3" useAutoFormatting="1" colGrandTotals="0" itemPrintTitles="1" createdVersion="6" indent="0" outline="1" outlineData="1" multipleFieldFilters="0" chartFormat="24" rowHeaderCaption="Program Concept">
  <location ref="B68:D79" firstHeaderRow="1" firstDataRow="2" firstDataCol="1" rowPageCount="1" colPageCount="1"/>
  <pivotFields count="31">
    <pivotField showAll="0"/>
    <pivotField showAll="0"/>
    <pivotField axis="axisRow" showAll="0">
      <items count="23">
        <item x="1"/>
        <item x="0"/>
        <item x="20"/>
        <item x="2"/>
        <item x="12"/>
        <item x="21"/>
        <item x="11"/>
        <item x="16"/>
        <item x="13"/>
        <item x="15"/>
        <item x="8"/>
        <item x="17"/>
        <item x="6"/>
        <item x="7"/>
        <item x="9"/>
        <item x="10"/>
        <item x="18"/>
        <item x="14"/>
        <item x="19"/>
        <item x="3"/>
        <item x="5"/>
        <item x="4"/>
        <item t="default"/>
      </items>
    </pivotField>
    <pivotField axis="axisPage" showAll="0">
      <items count="3">
        <item x="0"/>
        <item x="1"/>
        <item t="default"/>
      </items>
    </pivotField>
    <pivotField showAll="0"/>
    <pivotField showAll="0"/>
    <pivotField showAll="0"/>
    <pivotField showAll="0"/>
    <pivotField showAll="0"/>
    <pivotField showAl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pivotField showAll="0"/>
    <pivotField showAll="0"/>
    <pivotField showAll="0"/>
    <pivotField showAll="0"/>
    <pivotField showAll="0"/>
    <pivotField showAll="0"/>
    <pivotField showAll="0"/>
    <pivotField showAll="0"/>
    <pivotField dataField="1" showAll="0"/>
    <pivotField showAll="0"/>
    <pivotField numFmtId="41" showAll="0"/>
    <pivotField axis="axisCol" showAll="0">
      <items count="3">
        <item x="0"/>
        <item x="1"/>
        <item t="default"/>
      </items>
    </pivotField>
  </pivotFields>
  <rowFields count="1">
    <field x="2"/>
  </rowFields>
  <rowItems count="10">
    <i>
      <x v="4"/>
    </i>
    <i>
      <x v="5"/>
    </i>
    <i>
      <x v="6"/>
    </i>
    <i>
      <x v="7"/>
    </i>
    <i>
      <x v="8"/>
    </i>
    <i>
      <x v="9"/>
    </i>
    <i>
      <x v="16"/>
    </i>
    <i>
      <x v="17"/>
    </i>
    <i>
      <x v="18"/>
    </i>
    <i t="grand">
      <x/>
    </i>
  </rowItems>
  <colFields count="1">
    <field x="30"/>
  </colFields>
  <colItems count="2">
    <i>
      <x/>
    </i>
    <i>
      <x v="1"/>
    </i>
  </colItems>
  <pageFields count="1">
    <pageField fld="3" item="1" hier="-1"/>
  </pageFields>
  <dataFields count="1">
    <dataField name="Average of AURORA $/Watt Cost" fld="27" subtotal="average" baseField="2" baseItem="6"/>
  </dataFields>
  <formats count="10">
    <format dxfId="17">
      <pivotArea collapsedLevelsAreSubtotals="1" fieldPosition="0">
        <references count="2">
          <reference field="2" count="1">
            <x v="5"/>
          </reference>
          <reference field="30" count="1" selected="0">
            <x v="0"/>
          </reference>
        </references>
      </pivotArea>
    </format>
    <format dxfId="16">
      <pivotArea collapsedLevelsAreSubtotals="1" fieldPosition="0">
        <references count="2">
          <reference field="2" count="1">
            <x v="5"/>
          </reference>
          <reference field="30" count="1" selected="0">
            <x v="0"/>
          </reference>
        </references>
      </pivotArea>
    </format>
    <format dxfId="15">
      <pivotArea collapsedLevelsAreSubtotals="1" fieldPosition="0">
        <references count="2">
          <reference field="2" count="1">
            <x v="5"/>
          </reference>
          <reference field="30" count="1" selected="0">
            <x v="0"/>
          </reference>
        </references>
      </pivotArea>
    </format>
    <format dxfId="14">
      <pivotArea collapsedLevelsAreSubtotals="1" fieldPosition="0">
        <references count="2">
          <reference field="2" count="1">
            <x v="5"/>
          </reference>
          <reference field="30" count="1" selected="0">
            <x v="0"/>
          </reference>
        </references>
      </pivotArea>
    </format>
    <format dxfId="13">
      <pivotArea collapsedLevelsAreSubtotals="1" fieldPosition="0">
        <references count="2">
          <reference field="2" count="1">
            <x v="5"/>
          </reference>
          <reference field="30" count="1" selected="0">
            <x v="0"/>
          </reference>
        </references>
      </pivotArea>
    </format>
    <format dxfId="12">
      <pivotArea collapsedLevelsAreSubtotals="1" fieldPosition="0">
        <references count="2">
          <reference field="2" count="1">
            <x v="5"/>
          </reference>
          <reference field="30" count="1" selected="0">
            <x v="0"/>
          </reference>
        </references>
      </pivotArea>
    </format>
    <format dxfId="11">
      <pivotArea collapsedLevelsAreSubtotals="1" fieldPosition="0">
        <references count="2">
          <reference field="2" count="1">
            <x v="5"/>
          </reference>
          <reference field="30" count="1" selected="0">
            <x v="0"/>
          </reference>
        </references>
      </pivotArea>
    </format>
    <format dxfId="10">
      <pivotArea collapsedLevelsAreSubtotals="1" fieldPosition="0">
        <references count="2">
          <reference field="2" count="1">
            <x v="5"/>
          </reference>
          <reference field="30" count="1" selected="0">
            <x v="0"/>
          </reference>
        </references>
      </pivotArea>
    </format>
    <format dxfId="9">
      <pivotArea collapsedLevelsAreSubtotals="1" fieldPosition="0">
        <references count="2">
          <reference field="2" count="1">
            <x v="5"/>
          </reference>
          <reference field="30" count="1" selected="0">
            <x v="0"/>
          </reference>
        </references>
      </pivotArea>
    </format>
    <format dxfId="8">
      <pivotArea collapsedLevelsAreSubtotals="1" fieldPosition="0">
        <references count="2">
          <reference field="2" count="1">
            <x v="5"/>
          </reference>
          <reference field="30" count="1" selected="0">
            <x v="0"/>
          </reference>
        </references>
      </pivotArea>
    </format>
  </formats>
  <chartFormats count="2">
    <chartFormat chart="23" format="9" series="1">
      <pivotArea type="data" outline="0" fieldPosition="0">
        <references count="2">
          <reference field="4294967294" count="1" selected="0">
            <x v="0"/>
          </reference>
          <reference field="30" count="1" selected="0">
            <x v="0"/>
          </reference>
        </references>
      </pivotArea>
    </chartFormat>
    <chartFormat chart="23" format="10" series="1">
      <pivotArea type="data" outline="0" fieldPosition="0">
        <references count="2">
          <reference field="4294967294" count="1" selected="0">
            <x v="0"/>
          </reference>
          <reference field="30"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2.xml><?xml version="1.0" encoding="utf-8"?>
<pivotTableDefinition xmlns="http://schemas.openxmlformats.org/spreadsheetml/2006/main" name="PivotTable6" cacheId="0" applyNumberFormats="0" applyBorderFormats="0" applyFontFormats="0" applyPatternFormats="0" applyAlignmentFormats="0" applyWidthHeightFormats="1" dataCaption="Values" updatedVersion="6" minRefreshableVersion="3" useAutoFormatting="1" colGrandTotals="0" itemPrintTitles="1" createdVersion="6" indent="0" outline="1" outlineData="1" multipleFieldFilters="0" chartFormat="24" rowHeaderCaption="Program Concept">
  <location ref="B50:D58" firstHeaderRow="1" firstDataRow="2" firstDataCol="1" rowPageCount="1" colPageCount="1"/>
  <pivotFields count="31">
    <pivotField showAll="0"/>
    <pivotField showAll="0"/>
    <pivotField axis="axisRow" showAll="0" measureFilter="1">
      <items count="23">
        <item x="11"/>
        <item x="1"/>
        <item x="0"/>
        <item x="20"/>
        <item x="2"/>
        <item x="12"/>
        <item x="13"/>
        <item x="21"/>
        <item x="15"/>
        <item x="14"/>
        <item x="17"/>
        <item x="8"/>
        <item x="16"/>
        <item x="6"/>
        <item x="7"/>
        <item x="5"/>
        <item x="4"/>
        <item x="9"/>
        <item x="10"/>
        <item x="18"/>
        <item x="19"/>
        <item x="3"/>
        <item t="default"/>
      </items>
    </pivotField>
    <pivotField axis="axisPage" showAll="0">
      <items count="3">
        <item x="0"/>
        <item x="1"/>
        <item t="default"/>
      </items>
    </pivotField>
    <pivotField showAll="0"/>
    <pivotField showAll="0"/>
    <pivotField showAll="0"/>
    <pivotField showAll="0"/>
    <pivotField showAll="0"/>
    <pivotField showAl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pivotField showAll="0"/>
    <pivotField showAll="0"/>
    <pivotField showAll="0"/>
    <pivotField showAll="0"/>
    <pivotField showAll="0"/>
    <pivotField dataField="1" showAll="0"/>
    <pivotField showAll="0"/>
    <pivotField showAll="0"/>
    <pivotField showAll="0"/>
    <pivotField showAll="0"/>
    <pivotField numFmtId="41" showAll="0"/>
    <pivotField axis="axisCol" showAll="0">
      <items count="3">
        <item x="0"/>
        <item x="1"/>
        <item t="default"/>
      </items>
    </pivotField>
  </pivotFields>
  <rowFields count="1">
    <field x="2"/>
  </rowFields>
  <rowItems count="7">
    <i>
      <x v="1"/>
    </i>
    <i>
      <x v="2"/>
    </i>
    <i>
      <x v="3"/>
    </i>
    <i>
      <x v="4"/>
    </i>
    <i>
      <x v="10"/>
    </i>
    <i>
      <x v="11"/>
    </i>
    <i t="grand">
      <x/>
    </i>
  </rowItems>
  <colFields count="1">
    <field x="30"/>
  </colFields>
  <colItems count="2">
    <i>
      <x/>
    </i>
    <i>
      <x v="1"/>
    </i>
  </colItems>
  <pageFields count="1">
    <pageField fld="3" item="0" hier="-1"/>
  </pageFields>
  <dataFields count="1">
    <dataField name="Average of PC-CAPEX" fld="24" subtotal="average" baseField="2" baseItem="1"/>
  </dataFields>
  <formats count="1">
    <format dxfId="18">
      <pivotArea field="30" grandRow="1" outline="0" collapsedLevelsAreSubtotals="1" axis="axisCol" fieldPosition="0">
        <references count="1">
          <reference field="30" count="1" selected="0">
            <x v="1"/>
          </reference>
        </references>
      </pivotArea>
    </format>
  </formats>
  <chartFormats count="2">
    <chartFormat chart="15" format="2" series="1">
      <pivotArea type="data" outline="0" fieldPosition="0">
        <references count="2">
          <reference field="4294967294" count="1" selected="0">
            <x v="0"/>
          </reference>
          <reference field="30" count="1" selected="0">
            <x v="1"/>
          </reference>
        </references>
      </pivotArea>
    </chartFormat>
    <chartFormat chart="15" format="3" series="1">
      <pivotArea type="data" outline="0" fieldPosition="0">
        <references count="2">
          <reference field="4294967294" count="1" selected="0">
            <x v="0"/>
          </reference>
          <reference field="30" count="1" selected="0">
            <x v="0"/>
          </reference>
        </references>
      </pivotArea>
    </chartFormat>
  </chartFormats>
  <pivotTableStyleInfo name="PivotStyleLight16" showRowHeaders="1" showColHeaders="1" showRowStripes="0" showColStripes="0" showLastColumn="1"/>
  <filters count="1">
    <filter fld="2" type="valueNotEqual" evalOrder="-1" id="2" iMeasureFld="0">
      <autoFilter ref="A1">
        <filterColumn colId="0">
          <customFilters>
            <customFilter operator="notEqual" val="0"/>
          </customFilters>
        </filterColumn>
      </autoFilter>
    </filter>
  </filters>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9" cacheId="0" applyNumberFormats="0" applyBorderFormats="0" applyFontFormats="0" applyPatternFormats="0" applyAlignmentFormats="0" applyWidthHeightFormats="1" dataCaption="Values" updatedVersion="6" minRefreshableVersion="3" useAutoFormatting="1" colGrandTotals="0" itemPrintTitles="1" createdVersion="6" indent="0" outline="1" outlineData="1" multipleFieldFilters="0" chartFormat="36" rowHeaderCaption="Program Concept">
  <location ref="B110:D121" firstHeaderRow="1" firstDataRow="2" firstDataCol="1" rowPageCount="1" colPageCount="1"/>
  <pivotFields count="31">
    <pivotField showAll="0"/>
    <pivotField showAll="0"/>
    <pivotField axis="axisRow" showAll="0">
      <items count="23">
        <item x="1"/>
        <item x="2"/>
        <item x="15"/>
        <item x="17"/>
        <item x="9"/>
        <item x="4"/>
        <item x="8"/>
        <item x="10"/>
        <item x="14"/>
        <item x="16"/>
        <item x="19"/>
        <item x="3"/>
        <item x="20"/>
        <item x="0"/>
        <item x="7"/>
        <item x="5"/>
        <item x="6"/>
        <item x="18"/>
        <item x="13"/>
        <item x="21"/>
        <item x="12"/>
        <item x="11"/>
        <item t="default"/>
      </items>
    </pivotField>
    <pivotField axis="axisPage" showAll="0">
      <items count="3">
        <item x="0"/>
        <item x="1"/>
        <item t="default"/>
      </items>
    </pivotField>
    <pivotField showAll="0"/>
    <pivotField showAll="0"/>
    <pivotField showAll="0"/>
    <pivotField showAll="0"/>
    <pivotField showAll="0"/>
    <pivotField showAl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pivotField showAll="0"/>
    <pivotField showAll="0"/>
    <pivotField showAll="0"/>
    <pivotField showAll="0"/>
    <pivotField showAll="0"/>
    <pivotField showAll="0"/>
    <pivotField showAll="0"/>
    <pivotField showAll="0"/>
    <pivotField showAll="0"/>
    <pivotField dataField="1" showAll="0"/>
    <pivotField numFmtId="41" showAll="0"/>
    <pivotField axis="axisCol" showAll="0">
      <items count="3">
        <item x="0"/>
        <item x="1"/>
        <item t="default"/>
      </items>
    </pivotField>
  </pivotFields>
  <rowFields count="1">
    <field x="2"/>
  </rowFields>
  <rowItems count="10">
    <i>
      <x v="2"/>
    </i>
    <i>
      <x v="8"/>
    </i>
    <i>
      <x v="9"/>
    </i>
    <i>
      <x v="10"/>
    </i>
    <i>
      <x v="17"/>
    </i>
    <i>
      <x v="18"/>
    </i>
    <i>
      <x v="19"/>
    </i>
    <i>
      <x v="20"/>
    </i>
    <i>
      <x v="21"/>
    </i>
    <i t="grand">
      <x/>
    </i>
  </rowItems>
  <colFields count="1">
    <field x="30"/>
  </colFields>
  <colItems count="2">
    <i>
      <x/>
    </i>
    <i>
      <x v="1"/>
    </i>
  </colItems>
  <pageFields count="1">
    <pageField fld="3" item="1" hier="-1"/>
  </pageFields>
  <dataFields count="1">
    <dataField name="Average of SCT" fld="28" subtotal="average" baseField="2" baseItem="2"/>
  </dataFields>
  <chartFormats count="4">
    <chartFormat chart="32" format="0" series="1">
      <pivotArea type="data" outline="0" fieldPosition="0">
        <references count="2">
          <reference field="4294967294" count="1" selected="0">
            <x v="0"/>
          </reference>
          <reference field="30" count="1" selected="0">
            <x v="0"/>
          </reference>
        </references>
      </pivotArea>
    </chartFormat>
    <chartFormat chart="32" format="1" series="1">
      <pivotArea type="data" outline="0" fieldPosition="0">
        <references count="2">
          <reference field="4294967294" count="1" selected="0">
            <x v="0"/>
          </reference>
          <reference field="30" count="1" selected="0">
            <x v="1"/>
          </reference>
        </references>
      </pivotArea>
    </chartFormat>
    <chartFormat chart="35" format="0" series="1">
      <pivotArea type="data" outline="0" fieldPosition="0">
        <references count="2">
          <reference field="4294967294" count="1" selected="0">
            <x v="0"/>
          </reference>
          <reference field="30" count="1" selected="0">
            <x v="0"/>
          </reference>
        </references>
      </pivotArea>
    </chartFormat>
    <chartFormat chart="35" format="1" series="1">
      <pivotArea type="data" outline="0" fieldPosition="0">
        <references count="2">
          <reference field="4294967294" count="1" selected="0">
            <x v="0"/>
          </reference>
          <reference field="30"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11" cacheId="0" applyNumberFormats="0" applyBorderFormats="0" applyFontFormats="0" applyPatternFormats="0" applyAlignmentFormats="0" applyWidthHeightFormats="1" dataCaption="Values" updatedVersion="6" minRefreshableVersion="3" useAutoFormatting="1" colGrandTotals="0" itemPrintTitles="1" createdVersion="6" indent="0" outline="1" outlineData="1" multipleFieldFilters="0" chartFormat="47" rowHeaderCaption="Program Concept">
  <location ref="B168:D183" firstHeaderRow="1" firstDataRow="2" firstDataCol="1" rowPageCount="1" colPageCount="1"/>
  <pivotFields count="31">
    <pivotField showAll="0"/>
    <pivotField showAll="0"/>
    <pivotField axis="axisRow" showAll="0">
      <items count="23">
        <item x="5"/>
        <item x="6"/>
        <item x="2"/>
        <item x="20"/>
        <item x="1"/>
        <item x="21"/>
        <item x="11"/>
        <item x="15"/>
        <item x="7"/>
        <item x="8"/>
        <item x="0"/>
        <item x="4"/>
        <item x="12"/>
        <item x="13"/>
        <item x="18"/>
        <item x="14"/>
        <item x="19"/>
        <item x="3"/>
        <item x="16"/>
        <item x="17"/>
        <item x="9"/>
        <item x="10"/>
        <item t="default"/>
      </items>
    </pivotField>
    <pivotField axis="axisPage" showAll="0">
      <items count="3">
        <item x="0"/>
        <item x="1"/>
        <item t="default"/>
      </items>
    </pivotField>
    <pivotField showAll="0"/>
    <pivotField showAll="0"/>
    <pivotField showAll="0"/>
    <pivotField showAll="0"/>
    <pivotField showAll="0"/>
    <pivotField showAl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pivotField showAll="0"/>
    <pivotField showAll="0"/>
    <pivotField showAll="0"/>
    <pivotField showAll="0"/>
    <pivotField showAll="0"/>
    <pivotField showAll="0"/>
    <pivotField showAll="0"/>
    <pivotField showAll="0"/>
    <pivotField showAll="0"/>
    <pivotField showAll="0"/>
    <pivotField dataField="1" numFmtId="41" showAll="0"/>
    <pivotField axis="axisCol" showAll="0">
      <items count="3">
        <item x="0"/>
        <item x="1"/>
        <item t="default"/>
      </items>
    </pivotField>
  </pivotFields>
  <rowFields count="1">
    <field x="2"/>
  </rowFields>
  <rowItems count="14">
    <i>
      <x/>
    </i>
    <i>
      <x v="1"/>
    </i>
    <i>
      <x v="2"/>
    </i>
    <i>
      <x v="3"/>
    </i>
    <i>
      <x v="4"/>
    </i>
    <i>
      <x v="8"/>
    </i>
    <i>
      <x v="9"/>
    </i>
    <i>
      <x v="10"/>
    </i>
    <i>
      <x v="11"/>
    </i>
    <i>
      <x v="17"/>
    </i>
    <i>
      <x v="19"/>
    </i>
    <i>
      <x v="20"/>
    </i>
    <i>
      <x v="21"/>
    </i>
    <i t="grand">
      <x/>
    </i>
  </rowItems>
  <colFields count="1">
    <field x="30"/>
  </colFields>
  <colItems count="2">
    <i>
      <x/>
    </i>
    <i>
      <x v="1"/>
    </i>
  </colItems>
  <pageFields count="1">
    <pageField fld="3" item="0" hier="-1"/>
  </pageFields>
  <dataFields count="1">
    <dataField name="Average of Unweighted All CBI Score:" fld="29" subtotal="average" baseField="2" baseItem="0"/>
  </dataFields>
  <chartFormats count="4">
    <chartFormat chart="35" format="0" series="1">
      <pivotArea type="data" outline="0" fieldPosition="0">
        <references count="2">
          <reference field="4294967294" count="1" selected="0">
            <x v="0"/>
          </reference>
          <reference field="30" count="1" selected="0">
            <x v="0"/>
          </reference>
        </references>
      </pivotArea>
    </chartFormat>
    <chartFormat chart="35" format="1" series="1">
      <pivotArea type="data" outline="0" fieldPosition="0">
        <references count="2">
          <reference field="4294967294" count="1" selected="0">
            <x v="0"/>
          </reference>
          <reference field="30" count="1" selected="0">
            <x v="1"/>
          </reference>
        </references>
      </pivotArea>
    </chartFormat>
    <chartFormat chart="38" format="0" series="1">
      <pivotArea type="data" outline="0" fieldPosition="0">
        <references count="2">
          <reference field="4294967294" count="1" selected="0">
            <x v="0"/>
          </reference>
          <reference field="30" count="1" selected="0">
            <x v="0"/>
          </reference>
        </references>
      </pivotArea>
    </chartFormat>
    <chartFormat chart="38" format="1" series="1">
      <pivotArea type="data" outline="0" fieldPosition="0">
        <references count="2">
          <reference field="4294967294" count="1" selected="0">
            <x v="0"/>
          </reference>
          <reference field="30"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6" minRefreshableVersion="3" useAutoFormatting="1" colGrandTotals="0" itemPrintTitles="1" createdVersion="6" indent="0" outline="1" outlineData="1" multipleFieldFilters="0" chartFormat="9" rowHeaderCaption="Program Concept">
  <location ref="B10:D16" firstHeaderRow="1" firstDataRow="2" firstDataCol="1" rowPageCount="1" colPageCount="1"/>
  <pivotFields count="31">
    <pivotField showAll="0"/>
    <pivotField showAll="0"/>
    <pivotField axis="axisRow" showAll="0" measureFilter="1">
      <items count="23">
        <item x="0"/>
        <item x="11"/>
        <item x="1"/>
        <item x="20"/>
        <item x="2"/>
        <item x="12"/>
        <item x="3"/>
        <item x="21"/>
        <item x="16"/>
        <item x="15"/>
        <item x="14"/>
        <item x="4"/>
        <item x="17"/>
        <item x="5"/>
        <item x="6"/>
        <item x="7"/>
        <item x="8"/>
        <item x="9"/>
        <item x="10"/>
        <item x="13"/>
        <item x="18"/>
        <item x="19"/>
        <item t="default"/>
      </items>
    </pivotField>
    <pivotField axis="axisPage" showAll="0">
      <items count="3">
        <item x="0"/>
        <item x="1"/>
        <item t="default"/>
      </items>
    </pivotField>
    <pivotField showAll="0"/>
    <pivotField showAll="0"/>
    <pivotField showAll="0"/>
    <pivotField showAll="0"/>
    <pivotField showAll="0"/>
    <pivotField showAl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pivotField showAll="0"/>
    <pivotField showAll="0"/>
    <pivotField dataField="1" showAll="0"/>
    <pivotField showAll="0"/>
    <pivotField showAll="0"/>
    <pivotField showAll="0"/>
    <pivotField showAll="0"/>
    <pivotField showAll="0"/>
    <pivotField showAll="0"/>
    <pivotField showAll="0"/>
    <pivotField numFmtId="41" showAll="0"/>
    <pivotField axis="axisCol" showAll="0">
      <items count="3">
        <item x="0"/>
        <item x="1"/>
        <item t="default"/>
      </items>
    </pivotField>
  </pivotFields>
  <rowFields count="1">
    <field x="2"/>
  </rowFields>
  <rowItems count="5">
    <i>
      <x v="7"/>
    </i>
    <i>
      <x v="19"/>
    </i>
    <i>
      <x v="20"/>
    </i>
    <i>
      <x v="21"/>
    </i>
    <i t="grand">
      <x/>
    </i>
  </rowItems>
  <colFields count="1">
    <field x="30"/>
  </colFields>
  <colItems count="2">
    <i>
      <x/>
    </i>
    <i>
      <x v="1"/>
    </i>
  </colItems>
  <pageFields count="1">
    <pageField fld="3" item="1" hier="-1"/>
  </pageFields>
  <dataFields count="1">
    <dataField name="Average of UC-CAPEX" fld="21" subtotal="average" baseField="2" baseItem="7"/>
  </dataFields>
  <chartFormats count="2">
    <chartFormat chart="0" format="19" series="1">
      <pivotArea type="data" outline="0" fieldPosition="0">
        <references count="2">
          <reference field="4294967294" count="1" selected="0">
            <x v="0"/>
          </reference>
          <reference field="30" count="1" selected="0">
            <x v="0"/>
          </reference>
        </references>
      </pivotArea>
    </chartFormat>
    <chartFormat chart="0" format="20" series="1">
      <pivotArea type="data" outline="0" fieldPosition="0">
        <references count="2">
          <reference field="4294967294" count="1" selected="0">
            <x v="0"/>
          </reference>
          <reference field="30" count="1" selected="0">
            <x v="1"/>
          </reference>
        </references>
      </pivotArea>
    </chartFormat>
  </chartFormats>
  <pivotTableStyleInfo name="PivotStyleLight16" showRowHeaders="1" showColHeaders="1" showRowStripes="0" showColStripes="0" showLastColumn="1"/>
  <filters count="1">
    <filter fld="2" type="valueNotEqual" evalOrder="-1" id="2" iMeasureFld="0">
      <autoFilter ref="A1">
        <filterColumn colId="0">
          <customFilters>
            <customFilter operator="notEqual" val="0"/>
          </customFilters>
        </filterColumn>
      </autoFilter>
    </filter>
  </filters>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PivotTable4" cacheId="0" applyNumberFormats="0" applyBorderFormats="0" applyFontFormats="0" applyPatternFormats="0" applyAlignmentFormats="0" applyWidthHeightFormats="1" dataCaption="Values" updatedVersion="6" minRefreshableVersion="3" useAutoFormatting="1" colGrandTotals="0" itemPrintTitles="1" createdVersion="6" indent="0" outline="1" outlineData="1" multipleFieldFilters="0" chartFormat="27" rowHeaderCaption="Program Concept">
  <location ref="B35:D44" firstHeaderRow="1" firstDataRow="2" firstDataCol="1" rowPageCount="1" colPageCount="1"/>
  <pivotFields count="31">
    <pivotField showAll="0"/>
    <pivotField showAll="0"/>
    <pivotField axis="axisRow" showAll="0" measureFilter="1">
      <items count="23">
        <item x="11"/>
        <item x="1"/>
        <item x="0"/>
        <item x="20"/>
        <item x="2"/>
        <item x="12"/>
        <item x="13"/>
        <item x="21"/>
        <item x="15"/>
        <item x="14"/>
        <item x="8"/>
        <item x="17"/>
        <item x="16"/>
        <item x="6"/>
        <item x="7"/>
        <item x="5"/>
        <item x="4"/>
        <item x="9"/>
        <item x="10"/>
        <item x="18"/>
        <item x="19"/>
        <item x="3"/>
        <item t="default"/>
      </items>
    </pivotField>
    <pivotField axis="axisPage" showAll="0">
      <items count="3">
        <item x="0"/>
        <item x="1"/>
        <item t="default"/>
      </items>
    </pivotField>
    <pivotField showAll="0"/>
    <pivotField showAll="0"/>
    <pivotField showAll="0"/>
    <pivotField showAll="0"/>
    <pivotField showAll="0"/>
    <pivotField showAl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pivotField showAll="0"/>
    <pivotField showAll="0"/>
    <pivotField dataField="1" showAll="0"/>
    <pivotField showAll="0"/>
    <pivotField showAll="0"/>
    <pivotField showAll="0"/>
    <pivotField showAll="0"/>
    <pivotField showAll="0"/>
    <pivotField showAll="0"/>
    <pivotField showAll="0"/>
    <pivotField numFmtId="41" showAll="0"/>
    <pivotField axis="axisCol" showAll="0">
      <items count="3">
        <item x="0"/>
        <item x="1"/>
        <item t="default"/>
      </items>
    </pivotField>
  </pivotFields>
  <rowFields count="1">
    <field x="2"/>
  </rowFields>
  <rowItems count="8">
    <i>
      <x v="13"/>
    </i>
    <i>
      <x v="14"/>
    </i>
    <i>
      <x v="15"/>
    </i>
    <i>
      <x v="16"/>
    </i>
    <i>
      <x v="17"/>
    </i>
    <i>
      <x v="18"/>
    </i>
    <i>
      <x v="21"/>
    </i>
    <i t="grand">
      <x/>
    </i>
  </rowItems>
  <colFields count="1">
    <field x="30"/>
  </colFields>
  <colItems count="2">
    <i>
      <x/>
    </i>
    <i>
      <x v="1"/>
    </i>
  </colItems>
  <pageFields count="1">
    <pageField fld="3" item="0" hier="-1"/>
  </pageFields>
  <dataFields count="1">
    <dataField name="Average of UC-CAPEX" fld="21" subtotal="average" baseField="2" baseItem="9"/>
  </dataFields>
  <formats count="3">
    <format dxfId="4">
      <pivotArea field="30" grandRow="1" outline="0" collapsedLevelsAreSubtotals="1" axis="axisCol" fieldPosition="0">
        <references count="1">
          <reference field="30" count="1" selected="0">
            <x v="0"/>
          </reference>
        </references>
      </pivotArea>
    </format>
    <format dxfId="3">
      <pivotArea field="30" grandRow="1" outline="0" collapsedLevelsAreSubtotals="1" axis="axisCol" fieldPosition="0">
        <references count="1">
          <reference field="30" count="1" selected="0">
            <x v="0"/>
          </reference>
        </references>
      </pivotArea>
    </format>
    <format dxfId="2">
      <pivotArea field="30" grandRow="1" outline="0" collapsedLevelsAreSubtotals="1" axis="axisCol" fieldPosition="0">
        <references count="1">
          <reference field="30" count="1" selected="0">
            <x v="0"/>
          </reference>
        </references>
      </pivotArea>
    </format>
  </formats>
  <chartFormats count="7">
    <chartFormat chart="2" format="5" series="1">
      <pivotArea type="data" outline="0" fieldPosition="0">
        <references count="2">
          <reference field="4294967294" count="1" selected="0">
            <x v="0"/>
          </reference>
          <reference field="30" count="1" selected="0">
            <x v="0"/>
          </reference>
        </references>
      </pivotArea>
    </chartFormat>
    <chartFormat chart="2" format="6" series="1">
      <pivotArea type="data" outline="0" fieldPosition="0">
        <references count="2">
          <reference field="4294967294" count="1" selected="0">
            <x v="0"/>
          </reference>
          <reference field="30" count="1" selected="0">
            <x v="1"/>
          </reference>
        </references>
      </pivotArea>
    </chartFormat>
    <chartFormat chart="2" format="9" series="1">
      <pivotArea type="data" outline="0" fieldPosition="0">
        <references count="1">
          <reference field="4294967294" count="1" selected="0">
            <x v="0"/>
          </reference>
        </references>
      </pivotArea>
    </chartFormat>
    <chartFormat chart="0" format="11" series="1">
      <pivotArea type="data" outline="0" fieldPosition="0">
        <references count="1">
          <reference field="4294967294" count="1" selected="0">
            <x v="0"/>
          </reference>
        </references>
      </pivotArea>
    </chartFormat>
    <chartFormat chart="4" format="15" series="1">
      <pivotArea type="data" outline="0" fieldPosition="0">
        <references count="1">
          <reference field="4294967294" count="1" selected="0">
            <x v="0"/>
          </reference>
        </references>
      </pivotArea>
    </chartFormat>
    <chartFormat chart="12" format="2" series="1">
      <pivotArea type="data" outline="0" fieldPosition="0">
        <references count="2">
          <reference field="4294967294" count="1" selected="0">
            <x v="0"/>
          </reference>
          <reference field="30" count="1" selected="0">
            <x v="0"/>
          </reference>
        </references>
      </pivotArea>
    </chartFormat>
    <chartFormat chart="12" format="3" series="1">
      <pivotArea type="data" outline="0" fieldPosition="0">
        <references count="2">
          <reference field="4294967294" count="1" selected="0">
            <x v="0"/>
          </reference>
          <reference field="30" count="1" selected="0">
            <x v="1"/>
          </reference>
        </references>
      </pivotArea>
    </chartFormat>
  </chartFormats>
  <pivotTableStyleInfo name="PivotStyleLight16" showRowHeaders="1" showColHeaders="1" showRowStripes="0" showColStripes="0" showLastColumn="1"/>
  <filters count="1">
    <filter fld="2" type="valueNotEqual" evalOrder="-1" id="1" iMeasureFld="0">
      <autoFilter ref="A1">
        <filterColumn colId="0">
          <customFilters>
            <customFilter operator="notEqual" val="0"/>
          </customFilters>
        </filterColumn>
      </autoFilter>
    </filter>
  </filters>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PivotTable7" cacheId="0" applyNumberFormats="0" applyBorderFormats="0" applyFontFormats="0" applyPatternFormats="0" applyAlignmentFormats="0" applyWidthHeightFormats="1" dataCaption="Values" updatedVersion="6" minRefreshableVersion="3" useAutoFormatting="1" colGrandTotals="0" itemPrintTitles="1" createdVersion="6" indent="0" outline="1" outlineData="1" multipleFieldFilters="0" chartFormat="41" rowHeaderCaption="Program Concept">
  <location ref="B128:D143" firstHeaderRow="1" firstDataRow="2" firstDataCol="1" rowPageCount="1" colPageCount="1"/>
  <pivotFields count="31">
    <pivotField showAll="0"/>
    <pivotField showAll="0"/>
    <pivotField axis="axisRow" showAll="0">
      <items count="23">
        <item x="1"/>
        <item x="2"/>
        <item x="12"/>
        <item x="21"/>
        <item x="11"/>
        <item x="16"/>
        <item x="15"/>
        <item x="17"/>
        <item x="9"/>
        <item x="4"/>
        <item x="13"/>
        <item x="8"/>
        <item x="10"/>
        <item x="18"/>
        <item x="14"/>
        <item x="19"/>
        <item x="3"/>
        <item x="20"/>
        <item x="0"/>
        <item x="7"/>
        <item x="5"/>
        <item x="6"/>
        <item t="default"/>
      </items>
    </pivotField>
    <pivotField axis="axisPage" showAll="0">
      <items count="3">
        <item x="0"/>
        <item x="1"/>
        <item t="default"/>
      </items>
    </pivotField>
    <pivotField showAll="0"/>
    <pivotField showAll="0"/>
    <pivotField showAll="0"/>
    <pivotField showAll="0"/>
    <pivotField showAll="0"/>
    <pivotField showAl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pivotField showAll="0"/>
    <pivotField showAll="0"/>
    <pivotField showAll="0"/>
    <pivotField showAll="0"/>
    <pivotField showAll="0"/>
    <pivotField showAll="0"/>
    <pivotField showAll="0"/>
    <pivotField showAll="0"/>
    <pivotField showAll="0"/>
    <pivotField dataField="1" showAll="0"/>
    <pivotField numFmtId="41" showAll="0"/>
    <pivotField axis="axisCol" showAll="0">
      <items count="3">
        <item x="0"/>
        <item x="1"/>
        <item t="default"/>
      </items>
    </pivotField>
  </pivotFields>
  <rowFields count="1">
    <field x="2"/>
  </rowFields>
  <rowItems count="14">
    <i>
      <x/>
    </i>
    <i>
      <x v="1"/>
    </i>
    <i>
      <x v="7"/>
    </i>
    <i>
      <x v="8"/>
    </i>
    <i>
      <x v="9"/>
    </i>
    <i>
      <x v="11"/>
    </i>
    <i>
      <x v="12"/>
    </i>
    <i>
      <x v="16"/>
    </i>
    <i>
      <x v="17"/>
    </i>
    <i>
      <x v="18"/>
    </i>
    <i>
      <x v="19"/>
    </i>
    <i>
      <x v="20"/>
    </i>
    <i>
      <x v="21"/>
    </i>
    <i t="grand">
      <x/>
    </i>
  </rowItems>
  <colFields count="1">
    <field x="30"/>
  </colFields>
  <colItems count="2">
    <i>
      <x/>
    </i>
    <i>
      <x v="1"/>
    </i>
  </colItems>
  <pageFields count="1">
    <pageField fld="3" item="0" hier="-1"/>
  </pageFields>
  <dataFields count="1">
    <dataField name="Average of SCT" fld="28" subtotal="average" baseField="2" baseItem="1"/>
  </dataFields>
  <chartFormats count="2">
    <chartFormat chart="32" format="0" series="1">
      <pivotArea type="data" outline="0" fieldPosition="0">
        <references count="2">
          <reference field="4294967294" count="1" selected="0">
            <x v="0"/>
          </reference>
          <reference field="30" count="1" selected="0">
            <x v="0"/>
          </reference>
        </references>
      </pivotArea>
    </chartFormat>
    <chartFormat chart="32" format="1" series="1">
      <pivotArea type="data" outline="0" fieldPosition="0">
        <references count="2">
          <reference field="4294967294" count="1" selected="0">
            <x v="0"/>
          </reference>
          <reference field="30"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7.xml><?xml version="1.0" encoding="utf-8"?>
<pivotTableDefinition xmlns="http://schemas.openxmlformats.org/spreadsheetml/2006/main" name="PivotTable10" cacheId="0" applyNumberFormats="0" applyBorderFormats="0" applyFontFormats="0" applyPatternFormats="0" applyAlignmentFormats="0" applyWidthHeightFormats="1" dataCaption="Values" updatedVersion="6" minRefreshableVersion="3" useAutoFormatting="1" colGrandTotals="0" itemPrintTitles="1" createdVersion="6" indent="0" outline="1" outlineData="1" multipleFieldFilters="0" chartFormat="36" rowHeaderCaption="Program Concept">
  <location ref="B151:D162" firstHeaderRow="1" firstDataRow="2" firstDataCol="1" rowPageCount="1" colPageCount="1"/>
  <pivotFields count="31">
    <pivotField showAll="0"/>
    <pivotField showAll="0"/>
    <pivotField axis="axisRow" showAll="0">
      <items count="23">
        <item x="1"/>
        <item x="2"/>
        <item x="21"/>
        <item x="11"/>
        <item x="15"/>
        <item x="17"/>
        <item x="9"/>
        <item x="4"/>
        <item x="12"/>
        <item x="13"/>
        <item x="8"/>
        <item x="10"/>
        <item x="18"/>
        <item x="14"/>
        <item x="19"/>
        <item x="3"/>
        <item x="20"/>
        <item x="0"/>
        <item x="7"/>
        <item x="5"/>
        <item x="6"/>
        <item x="16"/>
        <item t="default"/>
      </items>
    </pivotField>
    <pivotField axis="axisPage" showAll="0">
      <items count="3">
        <item x="0"/>
        <item x="1"/>
        <item t="default"/>
      </items>
    </pivotField>
    <pivotField showAll="0"/>
    <pivotField showAll="0"/>
    <pivotField showAll="0"/>
    <pivotField showAll="0"/>
    <pivotField showAll="0"/>
    <pivotField showAl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pivotField showAll="0"/>
    <pivotField showAll="0"/>
    <pivotField showAll="0"/>
    <pivotField showAll="0"/>
    <pivotField showAll="0"/>
    <pivotField showAll="0"/>
    <pivotField showAll="0"/>
    <pivotField showAll="0"/>
    <pivotField showAll="0"/>
    <pivotField showAll="0"/>
    <pivotField dataField="1" numFmtId="41" showAll="0"/>
    <pivotField axis="axisCol" showAll="0">
      <items count="3">
        <item x="0"/>
        <item x="1"/>
        <item t="default"/>
      </items>
    </pivotField>
  </pivotFields>
  <rowFields count="1">
    <field x="2"/>
  </rowFields>
  <rowItems count="10">
    <i>
      <x v="2"/>
    </i>
    <i>
      <x v="3"/>
    </i>
    <i>
      <x v="4"/>
    </i>
    <i>
      <x v="8"/>
    </i>
    <i>
      <x v="9"/>
    </i>
    <i>
      <x v="12"/>
    </i>
    <i>
      <x v="13"/>
    </i>
    <i>
      <x v="14"/>
    </i>
    <i>
      <x v="21"/>
    </i>
    <i t="grand">
      <x/>
    </i>
  </rowItems>
  <colFields count="1">
    <field x="30"/>
  </colFields>
  <colItems count="2">
    <i>
      <x/>
    </i>
    <i>
      <x v="1"/>
    </i>
  </colItems>
  <pageFields count="1">
    <pageField fld="3" item="1" hier="-1"/>
  </pageFields>
  <dataFields count="1">
    <dataField name="Average of Unweighted All CBI Score:" fld="29" subtotal="average" baseField="2" baseItem="2"/>
  </dataFields>
  <chartFormats count="2">
    <chartFormat chart="35" format="0" series="1">
      <pivotArea type="data" outline="0" fieldPosition="0">
        <references count="2">
          <reference field="4294967294" count="1" selected="0">
            <x v="0"/>
          </reference>
          <reference field="30" count="1" selected="0">
            <x v="0"/>
          </reference>
        </references>
      </pivotArea>
    </chartFormat>
    <chartFormat chart="35" format="1" series="1">
      <pivotArea type="data" outline="0" fieldPosition="0">
        <references count="2">
          <reference field="4294967294" count="1" selected="0">
            <x v="0"/>
          </reference>
          <reference field="30"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8.xml><?xml version="1.0" encoding="utf-8"?>
<pivotTableDefinition xmlns="http://schemas.openxmlformats.org/spreadsheetml/2006/main" name="PivotTable5" cacheId="0" applyNumberFormats="0" applyBorderFormats="0" applyFontFormats="0" applyPatternFormats="0" applyAlignmentFormats="0" applyWidthHeightFormats="1" dataCaption="Values" updatedVersion="6" minRefreshableVersion="3" useAutoFormatting="1" colGrandTotals="0" itemPrintTitles="1" createdVersion="6" indent="0" outline="1" outlineData="1" multipleFieldFilters="0" chartFormat="14" rowHeaderCaption="Program Concept">
  <location ref="B22:D29" firstHeaderRow="1" firstDataRow="2" firstDataCol="1" rowPageCount="1" colPageCount="1"/>
  <pivotFields count="31">
    <pivotField showAll="0"/>
    <pivotField showAll="0"/>
    <pivotField axis="axisRow" showAll="0" measureFilter="1">
      <items count="23">
        <item x="0"/>
        <item x="11"/>
        <item x="1"/>
        <item x="20"/>
        <item x="2"/>
        <item x="12"/>
        <item x="3"/>
        <item x="21"/>
        <item x="16"/>
        <item x="15"/>
        <item x="14"/>
        <item x="4"/>
        <item x="17"/>
        <item x="5"/>
        <item x="6"/>
        <item x="7"/>
        <item x="8"/>
        <item x="9"/>
        <item x="10"/>
        <item x="13"/>
        <item x="18"/>
        <item x="19"/>
        <item t="default"/>
      </items>
    </pivotField>
    <pivotField axis="axisPage" showAll="0">
      <items count="3">
        <item x="0"/>
        <item x="1"/>
        <item t="default"/>
      </items>
    </pivotField>
    <pivotField showAll="0"/>
    <pivotField showAll="0"/>
    <pivotField showAll="0"/>
    <pivotField showAll="0"/>
    <pivotField showAll="0"/>
    <pivotField showAl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pivotField showAll="0"/>
    <pivotField showAll="0"/>
    <pivotField showAll="0"/>
    <pivotField showAll="0"/>
    <pivotField showAll="0"/>
    <pivotField dataField="1" showAll="0"/>
    <pivotField showAll="0"/>
    <pivotField showAll="0"/>
    <pivotField showAll="0"/>
    <pivotField showAll="0"/>
    <pivotField numFmtId="41" showAll="0"/>
    <pivotField axis="axisCol" showAll="0">
      <items count="3">
        <item x="0"/>
        <item x="1"/>
        <item t="default"/>
      </items>
    </pivotField>
  </pivotFields>
  <rowFields count="1">
    <field x="2"/>
  </rowFields>
  <rowItems count="6">
    <i>
      <x v="1"/>
    </i>
    <i>
      <x v="5"/>
    </i>
    <i>
      <x v="8"/>
    </i>
    <i>
      <x v="9"/>
    </i>
    <i>
      <x v="10"/>
    </i>
    <i t="grand">
      <x/>
    </i>
  </rowItems>
  <colFields count="1">
    <field x="30"/>
  </colFields>
  <colItems count="2">
    <i>
      <x/>
    </i>
    <i>
      <x v="1"/>
    </i>
  </colItems>
  <pageFields count="1">
    <pageField fld="3" item="1" hier="-1"/>
  </pageFields>
  <dataFields count="1">
    <dataField name="Average of PC-CAPEX" fld="24" subtotal="average" baseField="2" baseItem="1"/>
  </dataFields>
  <formats count="3">
    <format dxfId="7">
      <pivotArea field="30" grandRow="1" outline="0" collapsedLevelsAreSubtotals="1" axis="axisCol" fieldPosition="0">
        <references count="1">
          <reference field="30" count="1" selected="0">
            <x v="1"/>
          </reference>
        </references>
      </pivotArea>
    </format>
    <format dxfId="6">
      <pivotArea field="30" grandRow="1" outline="0" collapsedLevelsAreSubtotals="1" axis="axisCol" fieldPosition="0">
        <references count="1">
          <reference field="30" count="1" selected="0">
            <x v="1"/>
          </reference>
        </references>
      </pivotArea>
    </format>
    <format dxfId="5">
      <pivotArea field="30" grandRow="1" outline="0" collapsedLevelsAreSubtotals="1" axis="axisCol" fieldPosition="0">
        <references count="1">
          <reference field="30" count="1" selected="0">
            <x v="1"/>
          </reference>
        </references>
      </pivotArea>
    </format>
  </formats>
  <chartFormats count="2">
    <chartFormat chart="13" format="0" series="1">
      <pivotArea type="data" outline="0" fieldPosition="0">
        <references count="2">
          <reference field="4294967294" count="1" selected="0">
            <x v="0"/>
          </reference>
          <reference field="30" count="1" selected="0">
            <x v="0"/>
          </reference>
        </references>
      </pivotArea>
    </chartFormat>
    <chartFormat chart="13" format="1" series="1">
      <pivotArea type="data" outline="0" fieldPosition="0">
        <references count="2">
          <reference field="4294967294" count="1" selected="0">
            <x v="0"/>
          </reference>
          <reference field="30" count="1" selected="0">
            <x v="1"/>
          </reference>
        </references>
      </pivotArea>
    </chartFormat>
  </chartFormats>
  <pivotTableStyleInfo name="PivotStyleLight16" showRowHeaders="1" showColHeaders="1" showRowStripes="0" showColStripes="0" showLastColumn="1"/>
  <filters count="1">
    <filter fld="2" type="valueNotEqual" evalOrder="-1" id="3" iMeasureFld="0">
      <autoFilter ref="A1">
        <filterColumn colId="0">
          <customFilters>
            <customFilter operator="notEqual" val="0"/>
          </customFilters>
        </filterColumn>
      </autoFilter>
    </filter>
  </filters>
  <extLst>
    <ext xmlns:x14="http://schemas.microsoft.com/office/spreadsheetml/2009/9/main" uri="{962EF5D1-5CA2-4c93-8EF4-DBF5C05439D2}">
      <x14:pivotTableDefinition xmlns:xm="http://schemas.microsoft.com/office/excel/2006/main" hideValuesRow="1"/>
    </ext>
  </extLst>
</pivotTableDefinition>
</file>

<file path=xl/pivotTables/pivotTable9.xml><?xml version="1.0" encoding="utf-8"?>
<pivotTableDefinition xmlns="http://schemas.openxmlformats.org/spreadsheetml/2006/main" name="PivotTable3" cacheId="0" applyNumberFormats="0" applyBorderFormats="0" applyFontFormats="0" applyPatternFormats="0" applyAlignmentFormats="0" applyWidthHeightFormats="1" dataCaption="Values" updatedVersion="6" minRefreshableVersion="3" useAutoFormatting="1" colGrandTotals="0" itemPrintTitles="1" createdVersion="6" indent="0" outline="1" outlineData="1" multipleFieldFilters="0" chartFormat="37" rowHeaderCaption="Program Concept">
  <location ref="B87:D102" firstHeaderRow="1" firstDataRow="2" firstDataCol="1" rowPageCount="1" colPageCount="1"/>
  <pivotFields count="31">
    <pivotField showAll="0"/>
    <pivotField showAll="0"/>
    <pivotField axis="axisRow" showAll="0">
      <items count="23">
        <item x="20"/>
        <item x="1"/>
        <item x="6"/>
        <item x="2"/>
        <item x="12"/>
        <item x="21"/>
        <item x="11"/>
        <item x="16"/>
        <item x="15"/>
        <item x="8"/>
        <item x="5"/>
        <item x="17"/>
        <item x="7"/>
        <item x="0"/>
        <item x="9"/>
        <item x="4"/>
        <item x="13"/>
        <item x="10"/>
        <item x="18"/>
        <item x="14"/>
        <item x="19"/>
        <item x="3"/>
        <item t="default"/>
      </items>
    </pivotField>
    <pivotField axis="axisPage" showAll="0">
      <items count="3">
        <item x="0"/>
        <item x="1"/>
        <item t="default"/>
      </items>
    </pivotField>
    <pivotField showAll="0"/>
    <pivotField showAll="0"/>
    <pivotField showAll="0"/>
    <pivotField showAll="0"/>
    <pivotField showAll="0"/>
    <pivotField showAl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pivotField showAll="0"/>
    <pivotField showAll="0"/>
    <pivotField showAll="0"/>
    <pivotField showAll="0"/>
    <pivotField showAll="0"/>
    <pivotField showAll="0"/>
    <pivotField showAll="0"/>
    <pivotField showAll="0"/>
    <pivotField dataField="1" showAll="0"/>
    <pivotField showAll="0"/>
    <pivotField numFmtId="41" showAll="0"/>
    <pivotField axis="axisCol" showAll="0">
      <items count="3">
        <item x="0"/>
        <item x="1"/>
        <item t="default"/>
      </items>
    </pivotField>
  </pivotFields>
  <rowFields count="1">
    <field x="2"/>
  </rowFields>
  <rowItems count="14">
    <i>
      <x/>
    </i>
    <i>
      <x v="1"/>
    </i>
    <i>
      <x v="2"/>
    </i>
    <i>
      <x v="3"/>
    </i>
    <i>
      <x v="9"/>
    </i>
    <i>
      <x v="10"/>
    </i>
    <i>
      <x v="11"/>
    </i>
    <i>
      <x v="12"/>
    </i>
    <i>
      <x v="13"/>
    </i>
    <i>
      <x v="14"/>
    </i>
    <i>
      <x v="15"/>
    </i>
    <i>
      <x v="17"/>
    </i>
    <i>
      <x v="21"/>
    </i>
    <i t="grand">
      <x/>
    </i>
  </rowItems>
  <colFields count="1">
    <field x="30"/>
  </colFields>
  <colItems count="2">
    <i>
      <x/>
    </i>
    <i>
      <x v="1"/>
    </i>
  </colItems>
  <pageFields count="1">
    <pageField fld="3" item="0" hier="-1"/>
  </pageFields>
  <dataFields count="1">
    <dataField name="Average of AURORA $/Watt Cost" fld="27" subtotal="average" baseField="2" baseItem="6"/>
  </dataFields>
  <chartFormats count="2">
    <chartFormat chart="23" format="8" series="1">
      <pivotArea type="data" outline="0" fieldPosition="0">
        <references count="1">
          <reference field="4294967294" count="1" selected="0">
            <x v="0"/>
          </reference>
        </references>
      </pivotArea>
    </chartFormat>
    <chartFormat chart="28"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ivotTable" Target="../pivotTables/pivotTable8.xml"/><Relationship Id="rId13" Type="http://schemas.openxmlformats.org/officeDocument/2006/relationships/printerSettings" Target="../printerSettings/printerSettings1.bin"/><Relationship Id="rId3" Type="http://schemas.openxmlformats.org/officeDocument/2006/relationships/pivotTable" Target="../pivotTables/pivotTable3.xml"/><Relationship Id="rId7" Type="http://schemas.openxmlformats.org/officeDocument/2006/relationships/pivotTable" Target="../pivotTables/pivotTable7.xml"/><Relationship Id="rId12" Type="http://schemas.openxmlformats.org/officeDocument/2006/relationships/pivotTable" Target="../pivotTables/pivotTable12.xml"/><Relationship Id="rId2" Type="http://schemas.openxmlformats.org/officeDocument/2006/relationships/pivotTable" Target="../pivotTables/pivotTable2.xml"/><Relationship Id="rId16" Type="http://schemas.openxmlformats.org/officeDocument/2006/relationships/comments" Target="../comments1.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pivotTable" Target="../pivotTables/pivotTable11.xml"/><Relationship Id="rId5" Type="http://schemas.openxmlformats.org/officeDocument/2006/relationships/pivotTable" Target="../pivotTables/pivotTable5.xml"/><Relationship Id="rId15" Type="http://schemas.openxmlformats.org/officeDocument/2006/relationships/vmlDrawing" Target="../drawings/vmlDrawing1.vml"/><Relationship Id="rId10" Type="http://schemas.openxmlformats.org/officeDocument/2006/relationships/pivotTable" Target="../pivotTables/pivotTable10.xml"/><Relationship Id="rId4" Type="http://schemas.openxmlformats.org/officeDocument/2006/relationships/pivotTable" Target="../pivotTables/pivotTable4.xml"/><Relationship Id="rId9" Type="http://schemas.openxmlformats.org/officeDocument/2006/relationships/pivotTable" Target="../pivotTables/pivotTable9.xml"/><Relationship Id="rId1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team/sites/CleanEnergyStrategy/Shared%20Documents/DERs/Programs%20Actions/CEIP%20Final/Appendix%20D-3_DER%20CBI%20Scoring.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hyperlink" Target="https://team/sites/CleanEnergyStrategy/Shared%20Documents/DERs/Programs%20Actions/CEIP%20Final/Appendix%20K_BV%20DER%20Program%20Concepts%20List.xls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team/sites/CleanEnergyStrategy/Shared%20Documents/DERs/Programs%20Actions/CEIP%20Final/Appendix%20D-3_DER%20CBI%20Scoring.xlsx" TargetMode="External"/><Relationship Id="rId1" Type="http://schemas.openxmlformats.org/officeDocument/2006/relationships/hyperlink" Target="https://team/sites/CleanEnergyStrategy/Shared%20Documents/DERs/Programs%20Actions/CEIP%20Final/Appendix%20K_BV%20DER%20Program%20Concepts%20List.xlsx"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pageSetUpPr fitToPage="1"/>
  </sheetPr>
  <dimension ref="B1:O243"/>
  <sheetViews>
    <sheetView tabSelected="1" topLeftCell="B1" zoomScaleNormal="100" workbookViewId="0">
      <selection activeCell="E125" sqref="E125"/>
    </sheetView>
  </sheetViews>
  <sheetFormatPr defaultRowHeight="14.5" x14ac:dyDescent="0.35"/>
  <cols>
    <col min="1" max="1" width="5.08984375" customWidth="1"/>
    <col min="2" max="2" width="48.54296875" customWidth="1"/>
    <col min="3" max="11" width="14.26953125" customWidth="1"/>
    <col min="12" max="12" width="28.08984375" customWidth="1"/>
    <col min="13" max="13" width="31.36328125" customWidth="1"/>
    <col min="14" max="14" width="34.36328125" customWidth="1"/>
    <col min="15" max="15" width="28.36328125" customWidth="1"/>
    <col min="16" max="16" width="31.36328125" customWidth="1"/>
    <col min="17" max="17" width="43.08984375" customWidth="1"/>
    <col min="18" max="18" width="46.1796875" customWidth="1"/>
    <col min="19" max="19" width="45" customWidth="1"/>
    <col min="20" max="20" width="48" customWidth="1"/>
    <col min="21" max="21" width="32.36328125" customWidth="1"/>
    <col min="22" max="29" width="14.26953125" customWidth="1"/>
    <col min="30" max="30" width="24.81640625" customWidth="1"/>
    <col min="31" max="38" width="14.26953125" customWidth="1"/>
    <col min="39" max="39" width="23.26953125" customWidth="1"/>
    <col min="40" max="47" width="14.26953125" customWidth="1"/>
    <col min="48" max="48" width="29.54296875" customWidth="1"/>
    <col min="49" max="56" width="14.26953125" customWidth="1"/>
    <col min="57" max="57" width="26.54296875" customWidth="1"/>
    <col min="58" max="65" width="14.26953125" customWidth="1"/>
    <col min="66" max="66" width="41.26953125" customWidth="1"/>
    <col min="67" max="74" width="14.26953125" customWidth="1"/>
    <col min="75" max="75" width="43.1796875" bestFit="1" customWidth="1"/>
    <col min="76" max="83" width="14.26953125" customWidth="1"/>
    <col min="84" max="86" width="37.453125" customWidth="1"/>
    <col min="87" max="87" width="37.453125" bestFit="1" customWidth="1"/>
    <col min="88" max="91" width="37.453125" customWidth="1"/>
    <col min="92" max="93" width="31.36328125" customWidth="1"/>
    <col min="94" max="98" width="31.36328125" bestFit="1" customWidth="1"/>
    <col min="99" max="100" width="31.36328125" customWidth="1"/>
    <col min="101" max="104" width="43.6328125" bestFit="1" customWidth="1"/>
    <col min="105" max="107" width="43.6328125" customWidth="1"/>
    <col min="108" max="109" width="43.6328125" bestFit="1" customWidth="1"/>
    <col min="110" max="118" width="28.36328125" bestFit="1" customWidth="1"/>
    <col min="119" max="121" width="40.6328125" bestFit="1" customWidth="1"/>
    <col min="122" max="122" width="40.6328125" customWidth="1"/>
    <col min="123" max="127" width="40.6328125" bestFit="1" customWidth="1"/>
    <col min="128" max="136" width="43.08984375" bestFit="1" customWidth="1"/>
    <col min="137" max="145" width="55.453125" bestFit="1" customWidth="1"/>
    <col min="146" max="154" width="45" bestFit="1" customWidth="1"/>
    <col min="155" max="163" width="57.26953125" bestFit="1" customWidth="1"/>
  </cols>
  <sheetData>
    <row r="1" spans="2:15" s="142" customFormat="1" x14ac:dyDescent="0.35"/>
    <row r="2" spans="2:15" s="142" customFormat="1" ht="46" x14ac:dyDescent="1">
      <c r="B2" s="144" t="s">
        <v>280</v>
      </c>
    </row>
    <row r="3" spans="2:15" s="142" customFormat="1" ht="28.5" customHeight="1" x14ac:dyDescent="0.35">
      <c r="B3" s="152" t="s">
        <v>292</v>
      </c>
      <c r="C3" s="152"/>
      <c r="D3" s="152"/>
      <c r="E3" s="152"/>
      <c r="F3" s="152"/>
      <c r="G3" s="152"/>
      <c r="H3" s="152"/>
      <c r="I3" s="152"/>
      <c r="J3" s="152"/>
      <c r="K3" s="152"/>
      <c r="L3" s="152"/>
    </row>
    <row r="4" spans="2:15" s="142" customFormat="1" x14ac:dyDescent="0.35"/>
    <row r="6" spans="2:15" ht="20" thickBot="1" x14ac:dyDescent="0.5">
      <c r="B6" s="143" t="s">
        <v>282</v>
      </c>
      <c r="C6" s="143"/>
      <c r="D6" s="143"/>
      <c r="E6" s="143"/>
      <c r="F6" s="143"/>
      <c r="G6" s="143"/>
      <c r="H6" s="143"/>
      <c r="I6" s="143"/>
      <c r="J6" s="143"/>
      <c r="K6" s="143"/>
      <c r="L6" s="143"/>
      <c r="M6" s="143"/>
      <c r="N6" s="143"/>
      <c r="O6" s="143"/>
    </row>
    <row r="7" spans="2:15" ht="15" thickTop="1" x14ac:dyDescent="0.35"/>
    <row r="8" spans="2:15" x14ac:dyDescent="0.35">
      <c r="B8" s="99" t="s">
        <v>9</v>
      </c>
      <c r="C8" t="s">
        <v>0</v>
      </c>
    </row>
    <row r="10" spans="2:15" x14ac:dyDescent="0.35">
      <c r="B10" s="99" t="s">
        <v>253</v>
      </c>
      <c r="C10" s="99" t="s">
        <v>269</v>
      </c>
    </row>
    <row r="11" spans="2:15" x14ac:dyDescent="0.35">
      <c r="B11" s="99" t="s">
        <v>8</v>
      </c>
      <c r="C11" t="s">
        <v>256</v>
      </c>
      <c r="D11" t="s">
        <v>128</v>
      </c>
    </row>
    <row r="12" spans="2:15" x14ac:dyDescent="0.35">
      <c r="B12" s="100" t="s">
        <v>258</v>
      </c>
      <c r="C12" s="98">
        <v>1408</v>
      </c>
      <c r="D12" s="98"/>
    </row>
    <row r="13" spans="2:15" x14ac:dyDescent="0.35">
      <c r="B13" s="100" t="s">
        <v>69</v>
      </c>
      <c r="C13" s="98">
        <v>2162</v>
      </c>
      <c r="D13" s="98"/>
    </row>
    <row r="14" spans="2:15" x14ac:dyDescent="0.35">
      <c r="B14" s="100" t="s">
        <v>79</v>
      </c>
      <c r="C14" s="98"/>
      <c r="D14" s="98">
        <v>3547</v>
      </c>
    </row>
    <row r="15" spans="2:15" x14ac:dyDescent="0.35">
      <c r="B15" s="100" t="s">
        <v>81</v>
      </c>
      <c r="C15" s="98"/>
      <c r="D15" s="98">
        <v>4439</v>
      </c>
    </row>
    <row r="16" spans="2:15" x14ac:dyDescent="0.35">
      <c r="B16" s="100" t="s">
        <v>252</v>
      </c>
      <c r="C16" s="98">
        <v>1785</v>
      </c>
      <c r="D16" s="98">
        <v>3993</v>
      </c>
    </row>
    <row r="20" spans="2:4" x14ac:dyDescent="0.35">
      <c r="B20" s="99" t="s">
        <v>9</v>
      </c>
      <c r="C20" t="s">
        <v>0</v>
      </c>
    </row>
    <row r="22" spans="2:4" x14ac:dyDescent="0.35">
      <c r="B22" s="99" t="s">
        <v>254</v>
      </c>
      <c r="C22" s="99" t="s">
        <v>269</v>
      </c>
    </row>
    <row r="23" spans="2:4" x14ac:dyDescent="0.35">
      <c r="B23" s="99" t="s">
        <v>8</v>
      </c>
      <c r="C23" t="s">
        <v>256</v>
      </c>
      <c r="D23" t="s">
        <v>128</v>
      </c>
    </row>
    <row r="24" spans="2:4" x14ac:dyDescent="0.35">
      <c r="B24" s="100" t="s">
        <v>65</v>
      </c>
      <c r="C24" s="98"/>
      <c r="D24" s="98">
        <v>2165</v>
      </c>
    </row>
    <row r="25" spans="2:4" x14ac:dyDescent="0.35">
      <c r="B25" s="100" t="s">
        <v>67</v>
      </c>
      <c r="C25" s="98"/>
      <c r="D25" s="98">
        <v>2165</v>
      </c>
    </row>
    <row r="26" spans="2:4" x14ac:dyDescent="0.35">
      <c r="B26" s="100" t="s">
        <v>260</v>
      </c>
      <c r="C26" s="98"/>
      <c r="D26" s="98">
        <v>3394.5</v>
      </c>
    </row>
    <row r="27" spans="2:4" x14ac:dyDescent="0.35">
      <c r="B27" s="100" t="s">
        <v>75</v>
      </c>
      <c r="C27" s="98"/>
      <c r="D27" s="98">
        <v>4027</v>
      </c>
    </row>
    <row r="28" spans="2:4" x14ac:dyDescent="0.35">
      <c r="B28" s="100" t="s">
        <v>71</v>
      </c>
      <c r="C28" s="98"/>
      <c r="D28" s="98">
        <v>4027</v>
      </c>
    </row>
    <row r="29" spans="2:4" x14ac:dyDescent="0.35">
      <c r="B29" s="100" t="s">
        <v>252</v>
      </c>
      <c r="C29" s="98"/>
      <c r="D29" s="140">
        <v>3155.7</v>
      </c>
    </row>
    <row r="33" spans="2:4" x14ac:dyDescent="0.35">
      <c r="B33" s="99" t="s">
        <v>9</v>
      </c>
      <c r="C33" t="s">
        <v>1</v>
      </c>
    </row>
    <row r="35" spans="2:4" x14ac:dyDescent="0.35">
      <c r="B35" s="99" t="s">
        <v>253</v>
      </c>
      <c r="C35" s="99" t="s">
        <v>269</v>
      </c>
    </row>
    <row r="36" spans="2:4" x14ac:dyDescent="0.35">
      <c r="B36" s="99" t="s">
        <v>8</v>
      </c>
      <c r="C36" t="s">
        <v>256</v>
      </c>
      <c r="D36" t="s">
        <v>128</v>
      </c>
    </row>
    <row r="37" spans="2:4" x14ac:dyDescent="0.35">
      <c r="B37" s="100" t="s">
        <v>44</v>
      </c>
      <c r="C37" s="98">
        <v>1339</v>
      </c>
      <c r="D37" s="98"/>
    </row>
    <row r="38" spans="2:4" x14ac:dyDescent="0.35">
      <c r="B38" s="100" t="s">
        <v>47</v>
      </c>
      <c r="C38" s="98">
        <v>1365</v>
      </c>
      <c r="D38" s="98"/>
    </row>
    <row r="39" spans="2:4" x14ac:dyDescent="0.35">
      <c r="B39" s="100" t="s">
        <v>41</v>
      </c>
      <c r="C39" s="98">
        <v>1784</v>
      </c>
      <c r="D39" s="98"/>
    </row>
    <row r="40" spans="2:4" x14ac:dyDescent="0.35">
      <c r="B40" s="100" t="s">
        <v>37</v>
      </c>
      <c r="C40" s="98">
        <v>3782</v>
      </c>
      <c r="D40" s="98"/>
    </row>
    <row r="41" spans="2:4" x14ac:dyDescent="0.35">
      <c r="B41" s="100" t="s">
        <v>51</v>
      </c>
      <c r="C41" s="98"/>
      <c r="D41" s="98">
        <v>3782</v>
      </c>
    </row>
    <row r="42" spans="2:4" x14ac:dyDescent="0.35">
      <c r="B42" s="100" t="s">
        <v>53</v>
      </c>
      <c r="C42" s="98"/>
      <c r="D42" s="98">
        <v>3782</v>
      </c>
    </row>
    <row r="43" spans="2:4" x14ac:dyDescent="0.35">
      <c r="B43" s="100" t="s">
        <v>33</v>
      </c>
      <c r="C43" s="98"/>
      <c r="D43" s="98">
        <v>4802</v>
      </c>
    </row>
    <row r="44" spans="2:4" x14ac:dyDescent="0.35">
      <c r="B44" s="100" t="s">
        <v>252</v>
      </c>
      <c r="C44" s="140">
        <v>2067.5</v>
      </c>
      <c r="D44" s="98">
        <v>4122</v>
      </c>
    </row>
    <row r="48" spans="2:4" x14ac:dyDescent="0.35">
      <c r="B48" s="99" t="s">
        <v>9</v>
      </c>
      <c r="C48" t="s">
        <v>1</v>
      </c>
    </row>
    <row r="50" spans="2:15" x14ac:dyDescent="0.35">
      <c r="B50" s="99" t="s">
        <v>254</v>
      </c>
      <c r="C50" s="99" t="s">
        <v>269</v>
      </c>
    </row>
    <row r="51" spans="2:15" x14ac:dyDescent="0.35">
      <c r="B51" s="99" t="s">
        <v>8</v>
      </c>
      <c r="C51" t="s">
        <v>256</v>
      </c>
      <c r="D51" t="s">
        <v>128</v>
      </c>
    </row>
    <row r="52" spans="2:15" x14ac:dyDescent="0.35">
      <c r="B52" s="100" t="s">
        <v>24</v>
      </c>
      <c r="C52" s="98">
        <v>2292</v>
      </c>
      <c r="D52" s="98"/>
    </row>
    <row r="53" spans="2:15" x14ac:dyDescent="0.35">
      <c r="B53" s="100" t="s">
        <v>16</v>
      </c>
      <c r="C53" s="98">
        <v>3072</v>
      </c>
      <c r="D53" s="98"/>
    </row>
    <row r="54" spans="2:15" x14ac:dyDescent="0.35">
      <c r="B54" s="100" t="s">
        <v>83</v>
      </c>
      <c r="C54" s="98">
        <v>3072</v>
      </c>
      <c r="D54" s="98"/>
    </row>
    <row r="55" spans="2:15" x14ac:dyDescent="0.35">
      <c r="B55" s="100" t="s">
        <v>29</v>
      </c>
      <c r="C55" s="98">
        <v>3072</v>
      </c>
      <c r="D55" s="98"/>
    </row>
    <row r="56" spans="2:15" x14ac:dyDescent="0.35">
      <c r="B56" s="100" t="s">
        <v>261</v>
      </c>
      <c r="C56" s="98"/>
      <c r="D56" s="98">
        <v>3394.5</v>
      </c>
    </row>
    <row r="57" spans="2:15" x14ac:dyDescent="0.35">
      <c r="B57" s="100" t="s">
        <v>49</v>
      </c>
      <c r="C57" s="98">
        <v>3782</v>
      </c>
      <c r="D57" s="98"/>
    </row>
    <row r="58" spans="2:15" x14ac:dyDescent="0.35">
      <c r="B58" s="100" t="s">
        <v>252</v>
      </c>
      <c r="C58" s="98">
        <v>3058</v>
      </c>
      <c r="D58" s="140">
        <v>3394.5</v>
      </c>
    </row>
    <row r="60" spans="2:15" x14ac:dyDescent="0.35">
      <c r="E60" s="98"/>
      <c r="F60" s="98"/>
    </row>
    <row r="61" spans="2:15" x14ac:dyDescent="0.35">
      <c r="E61" s="98"/>
      <c r="F61" s="98"/>
    </row>
    <row r="62" spans="2:15" x14ac:dyDescent="0.35">
      <c r="E62" s="98"/>
      <c r="F62" s="98"/>
    </row>
    <row r="63" spans="2:15" x14ac:dyDescent="0.35">
      <c r="E63" s="98"/>
      <c r="F63" s="98"/>
    </row>
    <row r="64" spans="2:15" ht="20" thickBot="1" x14ac:dyDescent="0.5">
      <c r="B64" s="143" t="s">
        <v>281</v>
      </c>
      <c r="C64" s="143"/>
      <c r="D64" s="143"/>
      <c r="E64" s="145"/>
      <c r="F64" s="145"/>
      <c r="G64" s="143"/>
      <c r="H64" s="143"/>
      <c r="I64" s="143"/>
      <c r="J64" s="143"/>
      <c r="K64" s="143"/>
      <c r="L64" s="143"/>
      <c r="M64" s="143"/>
      <c r="N64" s="143"/>
      <c r="O64" s="143"/>
    </row>
    <row r="65" spans="2:6" ht="15" thickTop="1" x14ac:dyDescent="0.35">
      <c r="E65" s="98"/>
      <c r="F65" s="98"/>
    </row>
    <row r="66" spans="2:6" x14ac:dyDescent="0.35">
      <c r="B66" s="99" t="s">
        <v>9</v>
      </c>
      <c r="C66" t="s">
        <v>0</v>
      </c>
    </row>
    <row r="68" spans="2:6" x14ac:dyDescent="0.35">
      <c r="B68" s="99" t="s">
        <v>266</v>
      </c>
      <c r="C68" s="99" t="s">
        <v>269</v>
      </c>
    </row>
    <row r="69" spans="2:6" x14ac:dyDescent="0.35">
      <c r="B69" s="99" t="s">
        <v>8</v>
      </c>
      <c r="C69" t="s">
        <v>256</v>
      </c>
      <c r="D69" t="s">
        <v>128</v>
      </c>
    </row>
    <row r="70" spans="2:6" x14ac:dyDescent="0.35">
      <c r="B70" s="100" t="s">
        <v>67</v>
      </c>
      <c r="C70" s="98"/>
      <c r="D70" s="98">
        <v>0.45340382079178365</v>
      </c>
    </row>
    <row r="71" spans="2:6" x14ac:dyDescent="0.35">
      <c r="B71" s="100" t="s">
        <v>258</v>
      </c>
      <c r="C71" s="139">
        <v>3.08</v>
      </c>
      <c r="D71" s="98"/>
    </row>
    <row r="72" spans="2:6" x14ac:dyDescent="0.35">
      <c r="B72" s="100" t="s">
        <v>65</v>
      </c>
      <c r="C72" s="98"/>
      <c r="D72" s="98">
        <v>4.6354712939937226</v>
      </c>
    </row>
    <row r="73" spans="2:6" x14ac:dyDescent="0.35">
      <c r="B73" s="100" t="s">
        <v>260</v>
      </c>
      <c r="C73" s="98"/>
      <c r="D73" s="98">
        <v>6.4572802308164361</v>
      </c>
    </row>
    <row r="74" spans="2:6" x14ac:dyDescent="0.35">
      <c r="B74" s="100" t="s">
        <v>69</v>
      </c>
      <c r="C74" s="98">
        <v>8.964012775361347</v>
      </c>
      <c r="D74" s="98"/>
    </row>
    <row r="75" spans="2:6" x14ac:dyDescent="0.35">
      <c r="B75" s="100" t="s">
        <v>75</v>
      </c>
      <c r="C75" s="98"/>
      <c r="D75" s="98">
        <v>9.2076025756029747</v>
      </c>
    </row>
    <row r="76" spans="2:6" x14ac:dyDescent="0.35">
      <c r="B76" s="100" t="s">
        <v>79</v>
      </c>
      <c r="C76" s="98"/>
      <c r="D76" s="98">
        <v>18.415985147405596</v>
      </c>
    </row>
    <row r="77" spans="2:6" x14ac:dyDescent="0.35">
      <c r="B77" s="100" t="s">
        <v>71</v>
      </c>
      <c r="C77" s="98"/>
      <c r="D77" s="98">
        <v>18.531135620948916</v>
      </c>
    </row>
    <row r="78" spans="2:6" x14ac:dyDescent="0.35">
      <c r="B78" s="100" t="s">
        <v>81</v>
      </c>
      <c r="C78" s="98"/>
      <c r="D78" s="98">
        <v>22.472664936145215</v>
      </c>
    </row>
    <row r="79" spans="2:6" x14ac:dyDescent="0.35">
      <c r="B79" s="100" t="s">
        <v>252</v>
      </c>
      <c r="C79" s="98">
        <v>6.0220063876806735</v>
      </c>
      <c r="D79" s="98">
        <v>11.453363375100663</v>
      </c>
    </row>
    <row r="85" spans="2:4" x14ac:dyDescent="0.35">
      <c r="B85" s="99" t="s">
        <v>9</v>
      </c>
      <c r="C85" t="s">
        <v>1</v>
      </c>
    </row>
    <row r="87" spans="2:4" x14ac:dyDescent="0.35">
      <c r="B87" s="99" t="s">
        <v>266</v>
      </c>
      <c r="C87" s="99" t="s">
        <v>269</v>
      </c>
    </row>
    <row r="88" spans="2:4" x14ac:dyDescent="0.35">
      <c r="B88" s="99" t="s">
        <v>8</v>
      </c>
      <c r="C88" t="s">
        <v>256</v>
      </c>
      <c r="D88" t="s">
        <v>128</v>
      </c>
    </row>
    <row r="89" spans="2:4" x14ac:dyDescent="0.35">
      <c r="B89" s="100" t="s">
        <v>83</v>
      </c>
      <c r="C89" s="98">
        <v>-0.52515932611883698</v>
      </c>
      <c r="D89" s="98"/>
    </row>
    <row r="90" spans="2:4" x14ac:dyDescent="0.35">
      <c r="B90" s="100" t="s">
        <v>24</v>
      </c>
      <c r="C90" s="98">
        <v>0</v>
      </c>
      <c r="D90" s="98"/>
    </row>
    <row r="91" spans="2:4" x14ac:dyDescent="0.35">
      <c r="B91" s="100" t="s">
        <v>44</v>
      </c>
      <c r="C91" s="98">
        <v>4.712471923828125</v>
      </c>
      <c r="D91" s="98"/>
    </row>
    <row r="92" spans="2:4" x14ac:dyDescent="0.35">
      <c r="B92" s="100" t="s">
        <v>29</v>
      </c>
      <c r="C92" s="98">
        <v>5.2236608394434931</v>
      </c>
      <c r="D92" s="98"/>
    </row>
    <row r="93" spans="2:4" x14ac:dyDescent="0.35">
      <c r="B93" s="100" t="s">
        <v>49</v>
      </c>
      <c r="C93" s="98">
        <v>6.3576728588689448</v>
      </c>
      <c r="D93" s="98"/>
    </row>
    <row r="94" spans="2:4" x14ac:dyDescent="0.35">
      <c r="B94" s="100" t="s">
        <v>41</v>
      </c>
      <c r="C94" s="98">
        <v>6.3874646759033205</v>
      </c>
      <c r="D94" s="98"/>
    </row>
    <row r="95" spans="2:4" x14ac:dyDescent="0.35">
      <c r="B95" s="100" t="s">
        <v>261</v>
      </c>
      <c r="C95" s="98"/>
      <c r="D95" s="98">
        <v>6.4572802308164361</v>
      </c>
    </row>
    <row r="96" spans="2:4" x14ac:dyDescent="0.35">
      <c r="B96" s="100" t="s">
        <v>47</v>
      </c>
      <c r="C96" s="98">
        <v>8.8681755371093693</v>
      </c>
      <c r="D96" s="98"/>
    </row>
    <row r="97" spans="2:15" x14ac:dyDescent="0.35">
      <c r="B97" s="100" t="s">
        <v>16</v>
      </c>
      <c r="C97" s="98">
        <v>13.101785311970335</v>
      </c>
      <c r="D97" s="98"/>
    </row>
    <row r="98" spans="2:15" x14ac:dyDescent="0.35">
      <c r="B98" s="100" t="s">
        <v>51</v>
      </c>
      <c r="C98" s="98"/>
      <c r="D98" s="98">
        <v>13.920828306662617</v>
      </c>
    </row>
    <row r="99" spans="2:15" x14ac:dyDescent="0.35">
      <c r="B99" s="100" t="s">
        <v>37</v>
      </c>
      <c r="C99" s="98">
        <v>14.188653289794923</v>
      </c>
      <c r="D99" s="98"/>
    </row>
    <row r="100" spans="2:15" x14ac:dyDescent="0.35">
      <c r="B100" s="100" t="s">
        <v>53</v>
      </c>
      <c r="C100" s="98"/>
      <c r="D100" s="98">
        <v>16.132658183982102</v>
      </c>
    </row>
    <row r="101" spans="2:15" x14ac:dyDescent="0.35">
      <c r="B101" s="100" t="s">
        <v>33</v>
      </c>
      <c r="C101" s="98"/>
      <c r="D101" s="98">
        <v>26.334972555837133</v>
      </c>
    </row>
    <row r="102" spans="2:15" x14ac:dyDescent="0.35">
      <c r="B102" s="100" t="s">
        <v>252</v>
      </c>
      <c r="C102" s="98">
        <v>6.4794139011999636</v>
      </c>
      <c r="D102" s="98">
        <v>15.711434819324571</v>
      </c>
    </row>
    <row r="106" spans="2:15" ht="20" thickBot="1" x14ac:dyDescent="0.5">
      <c r="B106" s="143" t="s">
        <v>283</v>
      </c>
      <c r="C106" s="143"/>
      <c r="D106" s="143"/>
      <c r="E106" s="143"/>
      <c r="F106" s="143"/>
      <c r="G106" s="143"/>
      <c r="H106" s="143"/>
      <c r="I106" s="143"/>
      <c r="J106" s="143"/>
      <c r="K106" s="143"/>
      <c r="L106" s="143"/>
      <c r="M106" s="143"/>
      <c r="N106" s="143"/>
      <c r="O106" s="143"/>
    </row>
    <row r="107" spans="2:15" ht="15" thickTop="1" x14ac:dyDescent="0.35"/>
    <row r="108" spans="2:15" x14ac:dyDescent="0.35">
      <c r="B108" s="99" t="s">
        <v>9</v>
      </c>
      <c r="C108" t="s">
        <v>0</v>
      </c>
    </row>
    <row r="110" spans="2:15" x14ac:dyDescent="0.35">
      <c r="B110" s="99" t="s">
        <v>267</v>
      </c>
      <c r="C110" s="99" t="s">
        <v>269</v>
      </c>
    </row>
    <row r="111" spans="2:15" x14ac:dyDescent="0.35">
      <c r="B111" s="99" t="s">
        <v>8</v>
      </c>
      <c r="C111" t="s">
        <v>256</v>
      </c>
      <c r="D111" t="s">
        <v>128</v>
      </c>
    </row>
    <row r="112" spans="2:15" x14ac:dyDescent="0.35">
      <c r="B112" s="100" t="s">
        <v>75</v>
      </c>
      <c r="C112" s="98"/>
      <c r="D112" s="98">
        <v>0.1173427519052541</v>
      </c>
    </row>
    <row r="113" spans="2:4" x14ac:dyDescent="0.35">
      <c r="B113" s="100" t="s">
        <v>71</v>
      </c>
      <c r="C113" s="98"/>
      <c r="D113" s="98">
        <v>0.16558823561576444</v>
      </c>
    </row>
    <row r="114" spans="2:4" x14ac:dyDescent="0.35">
      <c r="B114" s="100" t="s">
        <v>260</v>
      </c>
      <c r="C114" s="98"/>
      <c r="D114" s="98">
        <v>0.17516959361661694</v>
      </c>
    </row>
    <row r="115" spans="2:4" x14ac:dyDescent="0.35">
      <c r="B115" s="100" t="s">
        <v>81</v>
      </c>
      <c r="C115" s="98"/>
      <c r="D115" s="98">
        <v>0.17595976874201763</v>
      </c>
    </row>
    <row r="116" spans="2:4" x14ac:dyDescent="0.35">
      <c r="B116" s="100" t="s">
        <v>79</v>
      </c>
      <c r="C116" s="98"/>
      <c r="D116" s="98">
        <v>0.21121505752351757</v>
      </c>
    </row>
    <row r="117" spans="2:4" x14ac:dyDescent="0.35">
      <c r="B117" s="100" t="s">
        <v>69</v>
      </c>
      <c r="C117" s="98">
        <v>0.3794284339748269</v>
      </c>
      <c r="D117" s="98"/>
    </row>
    <row r="118" spans="2:4" x14ac:dyDescent="0.35">
      <c r="B118" s="100" t="s">
        <v>258</v>
      </c>
      <c r="C118" s="98">
        <v>0.49127613822504879</v>
      </c>
      <c r="D118" s="98"/>
    </row>
    <row r="119" spans="2:4" x14ac:dyDescent="0.35">
      <c r="B119" s="100" t="s">
        <v>67</v>
      </c>
      <c r="C119" s="98"/>
      <c r="D119" s="98">
        <v>0.49574268401292115</v>
      </c>
    </row>
    <row r="120" spans="2:4" x14ac:dyDescent="0.35">
      <c r="B120" s="100" t="s">
        <v>65</v>
      </c>
      <c r="C120" s="98"/>
      <c r="D120" s="98">
        <v>0.65399230103020356</v>
      </c>
    </row>
    <row r="121" spans="2:4" x14ac:dyDescent="0.35">
      <c r="B121" s="100" t="s">
        <v>252</v>
      </c>
      <c r="C121" s="98">
        <v>0.43535228609993781</v>
      </c>
      <c r="D121" s="98">
        <v>0.28500148463518504</v>
      </c>
    </row>
    <row r="125" spans="2:4" x14ac:dyDescent="0.35">
      <c r="B125" s="100"/>
      <c r="C125" s="98"/>
      <c r="D125" s="98"/>
    </row>
    <row r="126" spans="2:4" x14ac:dyDescent="0.35">
      <c r="B126" s="99" t="s">
        <v>9</v>
      </c>
      <c r="C126" t="s">
        <v>1</v>
      </c>
    </row>
    <row r="128" spans="2:4" x14ac:dyDescent="0.35">
      <c r="B128" s="99" t="s">
        <v>267</v>
      </c>
      <c r="C128" s="99" t="s">
        <v>269</v>
      </c>
    </row>
    <row r="129" spans="2:4" x14ac:dyDescent="0.35">
      <c r="B129" s="99" t="s">
        <v>8</v>
      </c>
      <c r="C129" t="s">
        <v>256</v>
      </c>
      <c r="D129" t="s">
        <v>128</v>
      </c>
    </row>
    <row r="130" spans="2:4" x14ac:dyDescent="0.35">
      <c r="B130" s="100" t="s">
        <v>24</v>
      </c>
      <c r="C130" s="98">
        <v>0</v>
      </c>
      <c r="D130" s="98"/>
    </row>
    <row r="131" spans="2:4" x14ac:dyDescent="0.35">
      <c r="B131" s="100" t="s">
        <v>29</v>
      </c>
      <c r="C131" s="98">
        <v>0.17005155150118925</v>
      </c>
      <c r="D131" s="98"/>
    </row>
    <row r="132" spans="2:4" x14ac:dyDescent="0.35">
      <c r="B132" s="100" t="s">
        <v>261</v>
      </c>
      <c r="C132" s="98"/>
      <c r="D132" s="98">
        <v>0.17516959361661694</v>
      </c>
    </row>
    <row r="133" spans="2:4" x14ac:dyDescent="0.35">
      <c r="B133" s="100" t="s">
        <v>51</v>
      </c>
      <c r="C133" s="98"/>
      <c r="D133" s="98">
        <v>0.17699999999999999</v>
      </c>
    </row>
    <row r="134" spans="2:4" x14ac:dyDescent="0.35">
      <c r="B134" s="100" t="s">
        <v>37</v>
      </c>
      <c r="C134" s="98">
        <v>0.1842</v>
      </c>
      <c r="D134" s="98"/>
    </row>
    <row r="135" spans="2:4" x14ac:dyDescent="0.35">
      <c r="B135" s="100" t="s">
        <v>49</v>
      </c>
      <c r="C135" s="98">
        <v>0.18697381815723682</v>
      </c>
      <c r="D135" s="98"/>
    </row>
    <row r="136" spans="2:4" x14ac:dyDescent="0.35">
      <c r="B136" s="100" t="s">
        <v>53</v>
      </c>
      <c r="C136" s="98"/>
      <c r="D136" s="98">
        <v>0.1946</v>
      </c>
    </row>
    <row r="137" spans="2:4" x14ac:dyDescent="0.35">
      <c r="B137" s="100" t="s">
        <v>33</v>
      </c>
      <c r="C137" s="98"/>
      <c r="D137" s="98">
        <v>0.2011</v>
      </c>
    </row>
    <row r="138" spans="2:4" x14ac:dyDescent="0.35">
      <c r="B138" s="100" t="s">
        <v>83</v>
      </c>
      <c r="C138" s="98">
        <v>0.25758908336664499</v>
      </c>
      <c r="D138" s="98"/>
    </row>
    <row r="139" spans="2:4" x14ac:dyDescent="0.35">
      <c r="B139" s="100" t="s">
        <v>16</v>
      </c>
      <c r="C139" s="98">
        <v>0.28160000000000002</v>
      </c>
      <c r="D139" s="98"/>
    </row>
    <row r="140" spans="2:4" x14ac:dyDescent="0.35">
      <c r="B140" s="100" t="s">
        <v>47</v>
      </c>
      <c r="C140" s="98">
        <v>0.31419999999999998</v>
      </c>
      <c r="D140" s="98"/>
    </row>
    <row r="141" spans="2:4" x14ac:dyDescent="0.35">
      <c r="B141" s="100" t="s">
        <v>41</v>
      </c>
      <c r="C141" s="98">
        <v>0.4123</v>
      </c>
      <c r="D141" s="98"/>
    </row>
    <row r="142" spans="2:4" x14ac:dyDescent="0.35">
      <c r="B142" s="100" t="s">
        <v>44</v>
      </c>
      <c r="C142" s="98">
        <v>0.46</v>
      </c>
      <c r="D142" s="98"/>
    </row>
    <row r="143" spans="2:4" x14ac:dyDescent="0.35">
      <c r="B143" s="100" t="s">
        <v>252</v>
      </c>
      <c r="C143" s="98">
        <v>0.25187938366945234</v>
      </c>
      <c r="D143" s="98">
        <v>0.18696739840415422</v>
      </c>
    </row>
    <row r="147" spans="2:15" ht="20" thickBot="1" x14ac:dyDescent="0.5">
      <c r="B147" s="143" t="s">
        <v>284</v>
      </c>
      <c r="C147" s="143"/>
      <c r="D147" s="143"/>
      <c r="E147" s="143"/>
      <c r="F147" s="143"/>
      <c r="G147" s="143"/>
      <c r="H147" s="143"/>
      <c r="I147" s="143"/>
      <c r="J147" s="143"/>
      <c r="K147" s="143"/>
      <c r="L147" s="143"/>
      <c r="M147" s="143"/>
      <c r="N147" s="143"/>
      <c r="O147" s="143"/>
    </row>
    <row r="148" spans="2:15" ht="15" thickTop="1" x14ac:dyDescent="0.35"/>
    <row r="149" spans="2:15" x14ac:dyDescent="0.35">
      <c r="B149" s="99" t="s">
        <v>9</v>
      </c>
      <c r="C149" t="s">
        <v>0</v>
      </c>
    </row>
    <row r="151" spans="2:15" x14ac:dyDescent="0.35">
      <c r="B151" s="99" t="s">
        <v>268</v>
      </c>
      <c r="C151" s="99" t="s">
        <v>269</v>
      </c>
    </row>
    <row r="152" spans="2:15" x14ac:dyDescent="0.35">
      <c r="B152" s="99" t="s">
        <v>8</v>
      </c>
      <c r="C152" t="s">
        <v>256</v>
      </c>
      <c r="D152" t="s">
        <v>128</v>
      </c>
    </row>
    <row r="153" spans="2:15" x14ac:dyDescent="0.35">
      <c r="B153" s="100" t="s">
        <v>258</v>
      </c>
      <c r="C153" s="98">
        <v>14</v>
      </c>
      <c r="D153" s="98"/>
    </row>
    <row r="154" spans="2:15" x14ac:dyDescent="0.35">
      <c r="B154" s="100" t="s">
        <v>65</v>
      </c>
      <c r="C154" s="98"/>
      <c r="D154" s="98">
        <v>15</v>
      </c>
    </row>
    <row r="155" spans="2:15" x14ac:dyDescent="0.35">
      <c r="B155" s="100" t="s">
        <v>75</v>
      </c>
      <c r="C155" s="98"/>
      <c r="D155" s="98">
        <v>16</v>
      </c>
    </row>
    <row r="156" spans="2:15" x14ac:dyDescent="0.35">
      <c r="B156" s="100" t="s">
        <v>67</v>
      </c>
      <c r="C156" s="98"/>
      <c r="D156" s="98">
        <v>16</v>
      </c>
    </row>
    <row r="157" spans="2:15" x14ac:dyDescent="0.35">
      <c r="B157" s="100" t="s">
        <v>69</v>
      </c>
      <c r="C157" s="98">
        <v>16</v>
      </c>
      <c r="D157" s="98"/>
    </row>
    <row r="158" spans="2:15" x14ac:dyDescent="0.35">
      <c r="B158" s="100" t="s">
        <v>79</v>
      </c>
      <c r="C158" s="98"/>
      <c r="D158" s="98">
        <v>16</v>
      </c>
    </row>
    <row r="159" spans="2:15" x14ac:dyDescent="0.35">
      <c r="B159" s="100" t="s">
        <v>71</v>
      </c>
      <c r="C159" s="98"/>
      <c r="D159" s="98">
        <v>16</v>
      </c>
    </row>
    <row r="160" spans="2:15" x14ac:dyDescent="0.35">
      <c r="B160" s="100" t="s">
        <v>81</v>
      </c>
      <c r="C160" s="98"/>
      <c r="D160" s="98">
        <v>17</v>
      </c>
    </row>
    <row r="161" spans="2:4" x14ac:dyDescent="0.35">
      <c r="B161" s="100" t="s">
        <v>260</v>
      </c>
      <c r="C161" s="98"/>
      <c r="D161" s="98">
        <v>19</v>
      </c>
    </row>
    <row r="162" spans="2:4" x14ac:dyDescent="0.35">
      <c r="B162" s="100" t="s">
        <v>252</v>
      </c>
      <c r="C162" s="98">
        <v>15</v>
      </c>
      <c r="D162" s="98">
        <v>16.428571428571427</v>
      </c>
    </row>
    <row r="166" spans="2:4" x14ac:dyDescent="0.35">
      <c r="B166" s="99" t="s">
        <v>9</v>
      </c>
      <c r="C166" t="s">
        <v>1</v>
      </c>
    </row>
    <row r="168" spans="2:4" x14ac:dyDescent="0.35">
      <c r="B168" s="99" t="s">
        <v>268</v>
      </c>
      <c r="C168" s="99" t="s">
        <v>269</v>
      </c>
    </row>
    <row r="169" spans="2:4" x14ac:dyDescent="0.35">
      <c r="B169" s="99" t="s">
        <v>8</v>
      </c>
      <c r="C169" t="s">
        <v>256</v>
      </c>
      <c r="D169" t="s">
        <v>128</v>
      </c>
    </row>
    <row r="170" spans="2:4" x14ac:dyDescent="0.35">
      <c r="B170" s="100" t="s">
        <v>41</v>
      </c>
      <c r="C170" s="98">
        <v>12</v>
      </c>
      <c r="D170" s="98"/>
    </row>
    <row r="171" spans="2:4" x14ac:dyDescent="0.35">
      <c r="B171" s="100" t="s">
        <v>44</v>
      </c>
      <c r="C171" s="98">
        <v>12</v>
      </c>
      <c r="D171" s="98"/>
    </row>
    <row r="172" spans="2:4" x14ac:dyDescent="0.35">
      <c r="B172" s="100" t="s">
        <v>29</v>
      </c>
      <c r="C172" s="98">
        <v>13</v>
      </c>
      <c r="D172" s="98"/>
    </row>
    <row r="173" spans="2:4" x14ac:dyDescent="0.35">
      <c r="B173" s="100" t="s">
        <v>83</v>
      </c>
      <c r="C173" s="98">
        <v>13</v>
      </c>
      <c r="D173" s="98"/>
    </row>
    <row r="174" spans="2:4" x14ac:dyDescent="0.35">
      <c r="B174" s="100" t="s">
        <v>24</v>
      </c>
      <c r="C174" s="98">
        <v>14</v>
      </c>
      <c r="D174" s="98"/>
    </row>
    <row r="175" spans="2:4" x14ac:dyDescent="0.35">
      <c r="B175" s="100" t="s">
        <v>47</v>
      </c>
      <c r="C175" s="98">
        <v>14</v>
      </c>
      <c r="D175" s="98"/>
    </row>
    <row r="176" spans="2:4" x14ac:dyDescent="0.35">
      <c r="B176" s="100" t="s">
        <v>49</v>
      </c>
      <c r="C176" s="98">
        <v>15</v>
      </c>
      <c r="D176" s="98"/>
    </row>
    <row r="177" spans="2:15" x14ac:dyDescent="0.35">
      <c r="B177" s="100" t="s">
        <v>16</v>
      </c>
      <c r="C177" s="98">
        <v>16</v>
      </c>
      <c r="D177" s="98"/>
    </row>
    <row r="178" spans="2:15" x14ac:dyDescent="0.35">
      <c r="B178" s="100" t="s">
        <v>37</v>
      </c>
      <c r="C178" s="98">
        <v>17</v>
      </c>
      <c r="D178" s="98"/>
    </row>
    <row r="179" spans="2:15" x14ac:dyDescent="0.35">
      <c r="B179" s="100" t="s">
        <v>33</v>
      </c>
      <c r="C179" s="98"/>
      <c r="D179" s="98">
        <v>17</v>
      </c>
    </row>
    <row r="180" spans="2:15" x14ac:dyDescent="0.35">
      <c r="B180" s="100" t="s">
        <v>261</v>
      </c>
      <c r="C180" s="98"/>
      <c r="D180" s="98">
        <v>19</v>
      </c>
    </row>
    <row r="181" spans="2:15" x14ac:dyDescent="0.35">
      <c r="B181" s="100" t="s">
        <v>51</v>
      </c>
      <c r="C181" s="98"/>
      <c r="D181" s="98">
        <v>19</v>
      </c>
    </row>
    <row r="182" spans="2:15" x14ac:dyDescent="0.35">
      <c r="B182" s="100" t="s">
        <v>53</v>
      </c>
      <c r="C182" s="98"/>
      <c r="D182" s="98">
        <v>20</v>
      </c>
    </row>
    <row r="183" spans="2:15" x14ac:dyDescent="0.35">
      <c r="B183" s="100" t="s">
        <v>252</v>
      </c>
      <c r="C183" s="98">
        <v>14</v>
      </c>
      <c r="D183" s="98">
        <v>18.75</v>
      </c>
    </row>
    <row r="186" spans="2:15" ht="20" thickBot="1" x14ac:dyDescent="0.5">
      <c r="B186" s="146" t="s">
        <v>285</v>
      </c>
      <c r="C186" s="143"/>
      <c r="D186" s="143"/>
      <c r="E186" s="143"/>
      <c r="F186" s="143"/>
      <c r="G186" s="143"/>
      <c r="H186" s="143"/>
      <c r="I186" s="143"/>
      <c r="J186" s="143"/>
      <c r="K186" s="143"/>
      <c r="L186" s="143"/>
      <c r="M186" s="143"/>
      <c r="N186" s="143"/>
      <c r="O186" s="143"/>
    </row>
    <row r="187" spans="2:15" ht="15" thickTop="1" x14ac:dyDescent="0.35"/>
    <row r="188" spans="2:15" x14ac:dyDescent="0.35">
      <c r="B188" s="99" t="s">
        <v>9</v>
      </c>
      <c r="C188" t="s">
        <v>0</v>
      </c>
    </row>
    <row r="190" spans="2:15" x14ac:dyDescent="0.35">
      <c r="B190" s="99" t="s">
        <v>8</v>
      </c>
      <c r="C190" t="s">
        <v>270</v>
      </c>
      <c r="D190" t="s">
        <v>271</v>
      </c>
      <c r="E190" t="s">
        <v>272</v>
      </c>
      <c r="F190" t="s">
        <v>273</v>
      </c>
      <c r="G190" t="s">
        <v>274</v>
      </c>
      <c r="H190" t="s">
        <v>275</v>
      </c>
      <c r="I190" t="s">
        <v>276</v>
      </c>
      <c r="J190" t="s">
        <v>277</v>
      </c>
      <c r="K190" t="s">
        <v>278</v>
      </c>
    </row>
    <row r="191" spans="2:15" x14ac:dyDescent="0.35">
      <c r="B191" s="100" t="s">
        <v>256</v>
      </c>
      <c r="C191" s="98">
        <v>13.7</v>
      </c>
      <c r="D191" s="98">
        <v>15.9</v>
      </c>
      <c r="E191" s="98">
        <v>18.100000000000001</v>
      </c>
      <c r="F191" s="98">
        <v>20.3</v>
      </c>
      <c r="G191" s="98">
        <v>20.3</v>
      </c>
      <c r="H191" s="98">
        <v>22.200000000000003</v>
      </c>
      <c r="I191" s="98">
        <v>22.200000000000003</v>
      </c>
      <c r="J191" s="98">
        <v>22.200000000000003</v>
      </c>
      <c r="K191" s="98">
        <v>22.200000000000003</v>
      </c>
    </row>
    <row r="192" spans="2:15" x14ac:dyDescent="0.35">
      <c r="B192" s="141" t="s">
        <v>258</v>
      </c>
      <c r="C192" s="98">
        <v>19</v>
      </c>
      <c r="D192" s="98">
        <v>19</v>
      </c>
      <c r="E192" s="98">
        <v>19</v>
      </c>
      <c r="F192" s="98">
        <v>19</v>
      </c>
      <c r="G192" s="98">
        <v>19</v>
      </c>
      <c r="H192" s="98">
        <v>22.8</v>
      </c>
      <c r="I192" s="98">
        <v>22.8</v>
      </c>
      <c r="J192" s="98">
        <v>22.8</v>
      </c>
      <c r="K192" s="98">
        <v>22.8</v>
      </c>
    </row>
    <row r="193" spans="2:11" x14ac:dyDescent="0.35">
      <c r="B193" s="141" t="s">
        <v>69</v>
      </c>
      <c r="C193" s="98">
        <v>8.4</v>
      </c>
      <c r="D193" s="98">
        <v>12.8</v>
      </c>
      <c r="E193" s="98">
        <v>17.2</v>
      </c>
      <c r="F193" s="98">
        <v>21.6</v>
      </c>
      <c r="G193" s="98">
        <v>21.6</v>
      </c>
      <c r="H193" s="98">
        <v>21.6</v>
      </c>
      <c r="I193" s="98">
        <v>21.6</v>
      </c>
      <c r="J193" s="98">
        <v>21.6</v>
      </c>
      <c r="K193" s="98">
        <v>21.6</v>
      </c>
    </row>
    <row r="194" spans="2:11" x14ac:dyDescent="0.35">
      <c r="B194" s="100" t="s">
        <v>128</v>
      </c>
      <c r="C194" s="98">
        <v>1.7318571428571428</v>
      </c>
      <c r="D194" s="98">
        <v>1.8698571428571427</v>
      </c>
      <c r="E194" s="98">
        <v>2.0301428571428572</v>
      </c>
      <c r="F194" s="98">
        <v>2.1998571428571432</v>
      </c>
      <c r="G194" s="98">
        <v>2.9851428571428573</v>
      </c>
      <c r="H194" s="98">
        <v>3.7574285714285716</v>
      </c>
      <c r="I194" s="98">
        <v>4.5672857142857151</v>
      </c>
      <c r="J194" s="98">
        <v>5.4618571428571432</v>
      </c>
      <c r="K194" s="98">
        <v>6.3541428571428566</v>
      </c>
    </row>
    <row r="195" spans="2:11" x14ac:dyDescent="0.35">
      <c r="B195" s="141" t="s">
        <v>67</v>
      </c>
      <c r="C195" s="98">
        <v>5.2190000000000003</v>
      </c>
      <c r="D195" s="98">
        <v>5.2190000000000003</v>
      </c>
      <c r="E195" s="98">
        <v>5.2190000000000003</v>
      </c>
      <c r="F195" s="98">
        <v>5.2190000000000003</v>
      </c>
      <c r="G195" s="98">
        <v>7.0609999999999999</v>
      </c>
      <c r="H195" s="98">
        <v>8.5960000000000001</v>
      </c>
      <c r="I195" s="98">
        <v>10.131</v>
      </c>
      <c r="J195" s="98">
        <v>11.666</v>
      </c>
      <c r="K195" s="98">
        <v>13.201000000000001</v>
      </c>
    </row>
    <row r="196" spans="2:11" x14ac:dyDescent="0.35">
      <c r="B196" s="141" t="s">
        <v>65</v>
      </c>
      <c r="C196" s="98">
        <v>2.8</v>
      </c>
      <c r="D196" s="98">
        <v>2.8</v>
      </c>
      <c r="E196" s="98">
        <v>2.8</v>
      </c>
      <c r="F196" s="98">
        <v>2.8</v>
      </c>
      <c r="G196" s="98">
        <v>4.8</v>
      </c>
      <c r="H196" s="98">
        <v>6.8</v>
      </c>
      <c r="I196" s="98">
        <v>8.8000000000000007</v>
      </c>
      <c r="J196" s="98">
        <v>11.2</v>
      </c>
      <c r="K196" s="98">
        <v>13.2</v>
      </c>
    </row>
    <row r="197" spans="2:11" x14ac:dyDescent="0.35">
      <c r="B197" s="141" t="s">
        <v>260</v>
      </c>
      <c r="C197" s="98">
        <v>2.8679999999999999</v>
      </c>
      <c r="D197" s="98">
        <v>3.456</v>
      </c>
      <c r="E197" s="98">
        <v>4.1159999999999997</v>
      </c>
      <c r="F197" s="98">
        <v>4.8419999999999996</v>
      </c>
      <c r="G197" s="98">
        <v>5.64</v>
      </c>
      <c r="H197" s="98">
        <v>6.5039999999999996</v>
      </c>
      <c r="I197" s="98">
        <v>7.4340000000000002</v>
      </c>
      <c r="J197" s="98">
        <v>8.4179999999999993</v>
      </c>
      <c r="K197" s="98">
        <v>9.4559999999999995</v>
      </c>
    </row>
    <row r="198" spans="2:11" x14ac:dyDescent="0.35">
      <c r="B198" s="141" t="s">
        <v>79</v>
      </c>
      <c r="C198" s="98">
        <v>0.64800000000000002</v>
      </c>
      <c r="D198" s="98">
        <v>0.97799999999999998</v>
      </c>
      <c r="E198" s="98">
        <v>1.38</v>
      </c>
      <c r="F198" s="98">
        <v>1.788</v>
      </c>
      <c r="G198" s="98">
        <v>2.4660000000000002</v>
      </c>
      <c r="H198" s="98">
        <v>3.2759999999999998</v>
      </c>
      <c r="I198" s="98">
        <v>4.1820000000000004</v>
      </c>
      <c r="J198" s="98">
        <v>5.2859999999999996</v>
      </c>
      <c r="K198" s="98">
        <v>6.6779999999999999</v>
      </c>
    </row>
    <row r="199" spans="2:11" x14ac:dyDescent="0.35">
      <c r="B199" s="141" t="s">
        <v>75</v>
      </c>
      <c r="C199" s="98">
        <v>0.41499999999999998</v>
      </c>
      <c r="D199" s="98">
        <v>0.41499999999999998</v>
      </c>
      <c r="E199" s="98">
        <v>0.41499999999999998</v>
      </c>
      <c r="F199" s="98">
        <v>0.41499999999999998</v>
      </c>
      <c r="G199" s="98">
        <v>0.498</v>
      </c>
      <c r="H199" s="98">
        <v>0.498</v>
      </c>
      <c r="I199" s="98">
        <v>0.58099999999999996</v>
      </c>
      <c r="J199" s="98">
        <v>0.66400000000000003</v>
      </c>
      <c r="K199" s="98">
        <v>0.66400000000000003</v>
      </c>
    </row>
    <row r="200" spans="2:11" x14ac:dyDescent="0.35">
      <c r="B200" s="141" t="s">
        <v>81</v>
      </c>
      <c r="C200" s="98">
        <v>0.09</v>
      </c>
      <c r="D200" s="98">
        <v>0.13800000000000001</v>
      </c>
      <c r="E200" s="98">
        <v>0.19800000000000001</v>
      </c>
      <c r="F200" s="98">
        <v>0.252</v>
      </c>
      <c r="G200" s="98">
        <v>0.34799999999999998</v>
      </c>
      <c r="H200" s="98">
        <v>0.46200000000000002</v>
      </c>
      <c r="I200" s="98">
        <v>0.59399999999999997</v>
      </c>
      <c r="J200" s="98">
        <v>0.75</v>
      </c>
      <c r="K200" s="98">
        <v>0.94799999999999995</v>
      </c>
    </row>
    <row r="201" spans="2:11" x14ac:dyDescent="0.35">
      <c r="B201" s="141" t="s">
        <v>71</v>
      </c>
      <c r="C201" s="98">
        <v>8.3000000000000004E-2</v>
      </c>
      <c r="D201" s="98">
        <v>8.3000000000000004E-2</v>
      </c>
      <c r="E201" s="98">
        <v>8.3000000000000004E-2</v>
      </c>
      <c r="F201" s="98">
        <v>8.3000000000000004E-2</v>
      </c>
      <c r="G201" s="98">
        <v>8.3000000000000004E-2</v>
      </c>
      <c r="H201" s="98">
        <v>0.16600000000000001</v>
      </c>
      <c r="I201" s="98">
        <v>0.249</v>
      </c>
      <c r="J201" s="98">
        <v>0.249</v>
      </c>
      <c r="K201" s="98">
        <v>0.33200000000000002</v>
      </c>
    </row>
    <row r="202" spans="2:11" x14ac:dyDescent="0.35">
      <c r="B202" s="100" t="s">
        <v>252</v>
      </c>
      <c r="C202" s="98">
        <v>4.3914444444444447</v>
      </c>
      <c r="D202" s="98">
        <v>4.9876666666666658</v>
      </c>
      <c r="E202" s="98">
        <v>5.6012222222222228</v>
      </c>
      <c r="F202" s="98">
        <v>6.2221111111111105</v>
      </c>
      <c r="G202" s="98">
        <v>6.8328888888888883</v>
      </c>
      <c r="H202" s="98">
        <v>7.8557777777777789</v>
      </c>
      <c r="I202" s="98">
        <v>8.4856666666666669</v>
      </c>
      <c r="J202" s="98">
        <v>9.1814444444444447</v>
      </c>
      <c r="K202" s="98">
        <v>9.8754444444444438</v>
      </c>
    </row>
    <row r="228" spans="2:11" x14ac:dyDescent="0.35">
      <c r="B228" s="99" t="s">
        <v>9</v>
      </c>
      <c r="C228" t="s">
        <v>1</v>
      </c>
    </row>
    <row r="230" spans="2:11" x14ac:dyDescent="0.35">
      <c r="B230" s="99" t="s">
        <v>8</v>
      </c>
      <c r="C230" t="s">
        <v>270</v>
      </c>
      <c r="D230" t="s">
        <v>271</v>
      </c>
      <c r="E230" t="s">
        <v>272</v>
      </c>
      <c r="F230" t="s">
        <v>273</v>
      </c>
      <c r="G230" t="s">
        <v>274</v>
      </c>
      <c r="H230" t="s">
        <v>275</v>
      </c>
      <c r="I230" t="s">
        <v>276</v>
      </c>
      <c r="J230" t="s">
        <v>277</v>
      </c>
      <c r="K230" t="s">
        <v>278</v>
      </c>
    </row>
    <row r="231" spans="2:11" x14ac:dyDescent="0.35">
      <c r="B231" s="100" t="s">
        <v>256</v>
      </c>
      <c r="C231" s="98">
        <v>1.3608333333333331</v>
      </c>
      <c r="D231" s="98">
        <v>1.5108333333333333</v>
      </c>
      <c r="E231" s="98">
        <v>1.5866666666666667</v>
      </c>
      <c r="F231" s="98">
        <v>1.7299999999999998</v>
      </c>
      <c r="G231" s="98">
        <v>2.0074999999999998</v>
      </c>
      <c r="H231" s="98">
        <v>2.1516666666666668</v>
      </c>
      <c r="I231" s="98">
        <v>3.3466666666666662</v>
      </c>
      <c r="J231" s="98">
        <v>3.6575000000000002</v>
      </c>
      <c r="K231" s="98">
        <v>3.8358333333333334</v>
      </c>
    </row>
    <row r="232" spans="2:11" x14ac:dyDescent="0.35">
      <c r="B232" s="141" t="s">
        <v>16</v>
      </c>
      <c r="C232" s="98">
        <v>6.8</v>
      </c>
      <c r="D232" s="98">
        <v>7</v>
      </c>
      <c r="E232" s="98">
        <v>7.2</v>
      </c>
      <c r="F232" s="98">
        <v>7.4</v>
      </c>
      <c r="G232" s="98">
        <v>7.4</v>
      </c>
      <c r="H232" s="98">
        <v>7.6</v>
      </c>
      <c r="I232" s="98">
        <v>7.6</v>
      </c>
      <c r="J232" s="98">
        <v>7.8</v>
      </c>
      <c r="K232" s="98">
        <v>7.8</v>
      </c>
    </row>
    <row r="233" spans="2:11" x14ac:dyDescent="0.35">
      <c r="B233" s="141" t="s">
        <v>37</v>
      </c>
      <c r="C233" s="98">
        <v>0.5</v>
      </c>
      <c r="D233" s="98">
        <v>0.75</v>
      </c>
      <c r="E233" s="98">
        <v>0.75</v>
      </c>
      <c r="F233" s="98">
        <v>0.75</v>
      </c>
      <c r="G233" s="98">
        <v>1.75</v>
      </c>
      <c r="H233" s="98">
        <v>1.75</v>
      </c>
      <c r="I233" s="98">
        <v>3.25</v>
      </c>
      <c r="J233" s="98">
        <v>4.25</v>
      </c>
      <c r="K233" s="98">
        <v>4.25</v>
      </c>
    </row>
    <row r="234" spans="2:11" x14ac:dyDescent="0.35">
      <c r="B234" s="141" t="s">
        <v>24</v>
      </c>
      <c r="C234" s="98">
        <v>0</v>
      </c>
      <c r="D234" s="98">
        <v>0</v>
      </c>
      <c r="E234" s="98">
        <v>0</v>
      </c>
      <c r="F234" s="98">
        <v>0</v>
      </c>
      <c r="G234" s="98">
        <v>0</v>
      </c>
      <c r="H234" s="98">
        <v>0</v>
      </c>
      <c r="I234" s="98">
        <v>5</v>
      </c>
      <c r="J234" s="98">
        <v>5</v>
      </c>
      <c r="K234" s="98">
        <v>5</v>
      </c>
    </row>
    <row r="235" spans="2:11" x14ac:dyDescent="0.35">
      <c r="B235" s="141" t="s">
        <v>29</v>
      </c>
      <c r="C235" s="98">
        <v>0.4</v>
      </c>
      <c r="D235" s="98">
        <v>0.6</v>
      </c>
      <c r="E235" s="98">
        <v>0.8</v>
      </c>
      <c r="F235" s="98">
        <v>1.2</v>
      </c>
      <c r="G235" s="98">
        <v>1.6</v>
      </c>
      <c r="H235" s="98">
        <v>2</v>
      </c>
      <c r="I235" s="98">
        <v>2.4</v>
      </c>
      <c r="J235" s="98">
        <v>2.8</v>
      </c>
      <c r="K235" s="98">
        <v>3.4</v>
      </c>
    </row>
    <row r="236" spans="2:11" x14ac:dyDescent="0.35">
      <c r="B236" s="141" t="s">
        <v>49</v>
      </c>
      <c r="C236" s="98">
        <v>0.26500000000000001</v>
      </c>
      <c r="D236" s="98">
        <v>0.315</v>
      </c>
      <c r="E236" s="98">
        <v>0.37</v>
      </c>
      <c r="F236" s="98">
        <v>0.43</v>
      </c>
      <c r="G236" s="98">
        <v>0.495</v>
      </c>
      <c r="H236" s="98">
        <v>0.56000000000000005</v>
      </c>
      <c r="I236" s="98">
        <v>0.63</v>
      </c>
      <c r="J236" s="98">
        <v>0.69499999999999995</v>
      </c>
      <c r="K236" s="98">
        <v>0.76500000000000001</v>
      </c>
    </row>
    <row r="237" spans="2:11" x14ac:dyDescent="0.35">
      <c r="B237" s="141" t="s">
        <v>83</v>
      </c>
      <c r="C237" s="98">
        <v>0.2</v>
      </c>
      <c r="D237" s="98">
        <v>0.4</v>
      </c>
      <c r="E237" s="98">
        <v>0.4</v>
      </c>
      <c r="F237" s="98">
        <v>0.6</v>
      </c>
      <c r="G237" s="98">
        <v>0.8</v>
      </c>
      <c r="H237" s="98">
        <v>1</v>
      </c>
      <c r="I237" s="98">
        <v>1.2</v>
      </c>
      <c r="J237" s="98">
        <v>1.4</v>
      </c>
      <c r="K237" s="98">
        <v>1.8</v>
      </c>
    </row>
    <row r="238" spans="2:11" x14ac:dyDescent="0.35">
      <c r="B238" s="100" t="s">
        <v>128</v>
      </c>
      <c r="C238" s="98">
        <v>1.8050000000000002</v>
      </c>
      <c r="D238" s="98">
        <v>2.8337499999999998</v>
      </c>
      <c r="E238" s="98">
        <v>2.9762500000000003</v>
      </c>
      <c r="F238" s="98">
        <v>3.1324999999999998</v>
      </c>
      <c r="G238" s="98">
        <v>5.1025</v>
      </c>
      <c r="H238" s="98">
        <v>5.2862499999999999</v>
      </c>
      <c r="I238" s="98">
        <v>9.0837500000000002</v>
      </c>
      <c r="J238" s="98">
        <v>11.092499999999999</v>
      </c>
      <c r="K238" s="98">
        <v>11.3125</v>
      </c>
    </row>
    <row r="239" spans="2:11" x14ac:dyDescent="0.35">
      <c r="B239" s="141" t="s">
        <v>33</v>
      </c>
      <c r="C239" s="98">
        <v>3.6</v>
      </c>
      <c r="D239" s="98">
        <v>7.2</v>
      </c>
      <c r="E239" s="98">
        <v>7.2</v>
      </c>
      <c r="F239" s="98">
        <v>7.2</v>
      </c>
      <c r="G239" s="98">
        <v>14.4</v>
      </c>
      <c r="H239" s="98">
        <v>14.4</v>
      </c>
      <c r="I239" s="98">
        <v>28.8</v>
      </c>
      <c r="J239" s="98">
        <v>36</v>
      </c>
      <c r="K239" s="98">
        <v>36</v>
      </c>
    </row>
    <row r="240" spans="2:11" x14ac:dyDescent="0.35">
      <c r="B240" s="141" t="s">
        <v>261</v>
      </c>
      <c r="C240" s="98">
        <v>2.39</v>
      </c>
      <c r="D240" s="98">
        <v>2.88</v>
      </c>
      <c r="E240" s="98">
        <v>3.43</v>
      </c>
      <c r="F240" s="98">
        <v>4.0350000000000001</v>
      </c>
      <c r="G240" s="98">
        <v>4.7</v>
      </c>
      <c r="H240" s="98">
        <v>5.42</v>
      </c>
      <c r="I240" s="98">
        <v>6.1950000000000003</v>
      </c>
      <c r="J240" s="98">
        <v>7.0149999999999997</v>
      </c>
      <c r="K240" s="98">
        <v>7.88</v>
      </c>
    </row>
    <row r="241" spans="2:11" x14ac:dyDescent="0.35">
      <c r="B241" s="141" t="s">
        <v>51</v>
      </c>
      <c r="C241" s="98">
        <v>1.1200000000000001</v>
      </c>
      <c r="D241" s="98">
        <v>1.145</v>
      </c>
      <c r="E241" s="98">
        <v>1.165</v>
      </c>
      <c r="F241" s="98">
        <v>1.1850000000000001</v>
      </c>
      <c r="G241" s="98">
        <v>1.2</v>
      </c>
      <c r="H241" s="98">
        <v>1.2150000000000001</v>
      </c>
      <c r="I241" s="98">
        <v>1.23</v>
      </c>
      <c r="J241" s="98">
        <v>1.2450000000000001</v>
      </c>
      <c r="K241" s="98">
        <v>1.26</v>
      </c>
    </row>
    <row r="242" spans="2:11" x14ac:dyDescent="0.35">
      <c r="B242" s="141" t="s">
        <v>53</v>
      </c>
      <c r="C242" s="98">
        <v>0.11</v>
      </c>
      <c r="D242" s="98">
        <v>0.11</v>
      </c>
      <c r="E242" s="98">
        <v>0.11</v>
      </c>
      <c r="F242" s="98">
        <v>0.11</v>
      </c>
      <c r="G242" s="98">
        <v>0.11</v>
      </c>
      <c r="H242" s="98">
        <v>0.11</v>
      </c>
      <c r="I242" s="98">
        <v>0.11</v>
      </c>
      <c r="J242" s="98">
        <v>0.11</v>
      </c>
      <c r="K242" s="98">
        <v>0.11</v>
      </c>
    </row>
    <row r="243" spans="2:11" x14ac:dyDescent="0.35">
      <c r="B243" s="100" t="s">
        <v>252</v>
      </c>
      <c r="C243" s="98">
        <v>1.5384999999999998</v>
      </c>
      <c r="D243" s="98">
        <v>2.04</v>
      </c>
      <c r="E243" s="98">
        <v>2.1424999999999996</v>
      </c>
      <c r="F243" s="98">
        <v>2.2909999999999995</v>
      </c>
      <c r="G243" s="98">
        <v>3.2454999999999998</v>
      </c>
      <c r="H243" s="98">
        <v>3.4055000000000009</v>
      </c>
      <c r="I243" s="98">
        <v>5.6414999999999988</v>
      </c>
      <c r="J243" s="98">
        <v>6.6315</v>
      </c>
      <c r="K243" s="98">
        <v>6.8265000000000002</v>
      </c>
    </row>
  </sheetData>
  <mergeCells count="1">
    <mergeCell ref="B3:L3"/>
  </mergeCells>
  <pageMargins left="0.7" right="0.7" top="0.75" bottom="0.75" header="0.3" footer="0.3"/>
  <pageSetup scale="16" orientation="portrait" r:id="rId13"/>
  <headerFooter differentFirst="1">
    <firstHeader>&amp;LAppendix B: Cost Analysis</firstHeader>
  </headerFooter>
  <drawing r:id="rId14"/>
  <legacyDrawing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filterMode="1">
    <pageSetUpPr fitToPage="1"/>
  </sheetPr>
  <dimension ref="B1:X27"/>
  <sheetViews>
    <sheetView zoomScale="85" zoomScaleNormal="85" workbookViewId="0">
      <pane xSplit="8" ySplit="12" topLeftCell="I13" activePane="bottomRight" state="frozen"/>
      <selection activeCell="C12" sqref="C12"/>
      <selection pane="topRight" activeCell="C12" sqref="C12"/>
      <selection pane="bottomLeft" activeCell="C12" sqref="C12"/>
      <selection pane="bottomRight" activeCell="C12" sqref="C12"/>
    </sheetView>
  </sheetViews>
  <sheetFormatPr defaultColWidth="10.7265625" defaultRowHeight="14.5" outlineLevelCol="1" x14ac:dyDescent="0.35"/>
  <cols>
    <col min="1" max="1" width="2.7265625" style="2" customWidth="1"/>
    <col min="2" max="2" width="5.7265625" style="2" customWidth="1"/>
    <col min="3" max="3" width="30.7265625" style="2" customWidth="1"/>
    <col min="4" max="8" width="10.7265625" style="2" customWidth="1"/>
    <col min="9" max="12" width="7.7265625" style="2" customWidth="1"/>
    <col min="13" max="17" width="7.7265625" style="2" hidden="1" customWidth="1" outlineLevel="1"/>
    <col min="18" max="18" width="10.7265625" style="2" customWidth="1" collapsed="1"/>
    <col min="19" max="19" width="16.1796875" style="2" customWidth="1"/>
    <col min="20" max="20" width="8.7265625" style="2" customWidth="1"/>
    <col min="21" max="21" width="10.7265625" style="2" customWidth="1"/>
    <col min="22" max="22" width="6.7265625" style="2" customWidth="1" outlineLevel="1"/>
    <col min="23" max="23" width="60.7265625" style="2" customWidth="1"/>
    <col min="25" max="16384" width="10.7265625" style="2"/>
  </cols>
  <sheetData>
    <row r="1" spans="2:24" x14ac:dyDescent="0.35">
      <c r="B1" s="18" t="s">
        <v>109</v>
      </c>
      <c r="C1" s="18" t="s">
        <v>110</v>
      </c>
    </row>
    <row r="2" spans="2:24" x14ac:dyDescent="0.35">
      <c r="B2" s="30">
        <v>1</v>
      </c>
      <c r="C2" s="3" t="s">
        <v>112</v>
      </c>
    </row>
    <row r="3" spans="2:24" x14ac:dyDescent="0.35">
      <c r="B3" s="30">
        <v>2</v>
      </c>
      <c r="C3" s="1" t="s">
        <v>127</v>
      </c>
    </row>
    <row r="4" spans="2:24" x14ac:dyDescent="0.35">
      <c r="B4" s="30">
        <v>3</v>
      </c>
      <c r="C4" s="1" t="s">
        <v>126</v>
      </c>
    </row>
    <row r="5" spans="2:24" x14ac:dyDescent="0.35">
      <c r="B5" s="30">
        <v>4</v>
      </c>
      <c r="C5" s="1" t="s">
        <v>179</v>
      </c>
    </row>
    <row r="6" spans="2:24" s="76" customFormat="1" x14ac:dyDescent="0.35">
      <c r="B6" s="30">
        <v>5</v>
      </c>
      <c r="C6" s="1" t="s">
        <v>184</v>
      </c>
      <c r="X6"/>
    </row>
    <row r="7" spans="2:24" x14ac:dyDescent="0.35">
      <c r="B7" s="30">
        <v>6</v>
      </c>
      <c r="C7" s="3" t="s">
        <v>113</v>
      </c>
    </row>
    <row r="8" spans="2:24" x14ac:dyDescent="0.35">
      <c r="B8" s="30">
        <v>7</v>
      </c>
      <c r="C8" s="3" t="s">
        <v>116</v>
      </c>
    </row>
    <row r="9" spans="2:24" x14ac:dyDescent="0.35">
      <c r="B9" s="30">
        <v>8</v>
      </c>
      <c r="C9" s="3" t="s">
        <v>178</v>
      </c>
    </row>
    <row r="10" spans="2:24" x14ac:dyDescent="0.35">
      <c r="B10" s="30">
        <v>9</v>
      </c>
      <c r="C10" s="3" t="s">
        <v>115</v>
      </c>
    </row>
    <row r="11" spans="2:24" x14ac:dyDescent="0.35">
      <c r="H11" s="18"/>
      <c r="I11" s="158"/>
      <c r="J11" s="158"/>
      <c r="K11" s="158"/>
      <c r="L11" s="158"/>
      <c r="M11" s="158"/>
      <c r="N11" s="158"/>
      <c r="O11" s="158"/>
      <c r="P11" s="158"/>
      <c r="Q11" s="158"/>
      <c r="R11" s="158"/>
      <c r="S11" s="57"/>
      <c r="T11" s="57"/>
      <c r="U11" s="57"/>
      <c r="V11" s="55"/>
      <c r="W11" s="55"/>
    </row>
    <row r="12" spans="2:24" s="18" customFormat="1" ht="39" x14ac:dyDescent="0.35">
      <c r="B12" s="7" t="s">
        <v>7</v>
      </c>
      <c r="C12" s="7" t="s">
        <v>8</v>
      </c>
      <c r="D12" s="7" t="s">
        <v>9</v>
      </c>
      <c r="E12" s="7" t="s">
        <v>11</v>
      </c>
      <c r="F12" s="7" t="s">
        <v>12</v>
      </c>
      <c r="G12" s="7" t="s">
        <v>13</v>
      </c>
      <c r="H12" s="7" t="s">
        <v>14</v>
      </c>
      <c r="I12" s="7">
        <v>2022</v>
      </c>
      <c r="J12" s="7">
        <v>2023</v>
      </c>
      <c r="K12" s="7">
        <v>2024</v>
      </c>
      <c r="L12" s="7">
        <v>2025</v>
      </c>
      <c r="M12" s="7">
        <v>2026</v>
      </c>
      <c r="N12" s="7">
        <v>2027</v>
      </c>
      <c r="O12" s="7">
        <v>2028</v>
      </c>
      <c r="P12" s="7">
        <v>2029</v>
      </c>
      <c r="Q12" s="7">
        <v>2030</v>
      </c>
      <c r="R12" s="7" t="s">
        <v>89</v>
      </c>
      <c r="S12" s="7" t="s">
        <v>104</v>
      </c>
      <c r="T12" s="7" t="s">
        <v>88</v>
      </c>
      <c r="U12" s="36" t="s">
        <v>140</v>
      </c>
      <c r="V12" s="7" t="s">
        <v>103</v>
      </c>
      <c r="W12" s="7" t="s">
        <v>91</v>
      </c>
      <c r="X12" s="18" t="s">
        <v>128</v>
      </c>
    </row>
    <row r="13" spans="2:24" ht="39" hidden="1" x14ac:dyDescent="0.35">
      <c r="B13" s="58">
        <v>24</v>
      </c>
      <c r="C13" s="9" t="s">
        <v>83</v>
      </c>
      <c r="D13" s="58" t="s">
        <v>1</v>
      </c>
      <c r="E13" s="58" t="s">
        <v>18</v>
      </c>
      <c r="F13" s="58" t="s">
        <v>31</v>
      </c>
      <c r="G13" s="58" t="s">
        <v>20</v>
      </c>
      <c r="H13" s="58" t="s">
        <v>32</v>
      </c>
      <c r="I13" s="12">
        <f>INDEX('S6-Summary'!$B$17:$W$43,MATCH($B13,'S6-Summary'!$B$17:$B$43,0),MATCH(I$12,'S6-Summary'!$B$17:$W$17,0))</f>
        <v>0</v>
      </c>
      <c r="J13" s="12">
        <f>INDEX('S6-Summary'!$B$17:$W$43,MATCH($B13,'S6-Summary'!$B$17:$B$43,0),MATCH(J$12,'S6-Summary'!$B$17:$W$17,0))</f>
        <v>0.46666666666666667</v>
      </c>
      <c r="K13" s="12">
        <f>INDEX('S6-Summary'!$B$17:$W$43,MATCH($B13,'S6-Summary'!$B$17:$B$43,0),MATCH(K$12,'S6-Summary'!$B$17:$W$17,0))</f>
        <v>0.46666666666666667</v>
      </c>
      <c r="L13" s="12">
        <f>INDEX('S6-Summary'!$B$17:$W$43,MATCH($B13,'S6-Summary'!$B$17:$B$43,0),MATCH(L$12,'S6-Summary'!$B$17:$W$17,0))</f>
        <v>0.66666666666666663</v>
      </c>
      <c r="M13" s="12">
        <f>INDEX('DER Concepts'!$B$6:$V$31,MATCH($B13,'DER Concepts'!$B$6:$B$31,0),MATCH(M$12,'DER Concepts'!$B$6:$V$6,0))</f>
        <v>0.8</v>
      </c>
      <c r="N13" s="12">
        <f>INDEX('DER Concepts'!$B$6:$V$31,MATCH($B13,'DER Concepts'!$B$6:$B$31,0),MATCH(N$12,'DER Concepts'!$B$6:$V$6,0))</f>
        <v>1</v>
      </c>
      <c r="O13" s="12">
        <f>INDEX('DER Concepts'!$B$6:$V$31,MATCH($B13,'DER Concepts'!$B$6:$B$31,0),MATCH(O$12,'DER Concepts'!$B$6:$V$6,0))</f>
        <v>1.2</v>
      </c>
      <c r="P13" s="12">
        <f>INDEX('DER Concepts'!$B$6:$V$31,MATCH($B13,'DER Concepts'!$B$6:$B$31,0),MATCH(P$12,'DER Concepts'!$B$6:$V$6,0))</f>
        <v>1.4</v>
      </c>
      <c r="Q13" s="12">
        <f>INDEX('DER Concepts'!$B$6:$V$31,MATCH($B13,'DER Concepts'!$B$6:$B$31,0),MATCH(Q$12,'DER Concepts'!$B$6:$V$6,0))</f>
        <v>1.8</v>
      </c>
      <c r="R13" s="12">
        <f t="shared" ref="R13:R25" si="0">SUM(I13:L13)</f>
        <v>1.6</v>
      </c>
      <c r="S13" s="46">
        <v>-0.52515932611883698</v>
      </c>
      <c r="T13" s="20">
        <v>0.53243280517115688</v>
      </c>
      <c r="U13" s="19">
        <f>INDEX('S6-Summary'!$B$17:$W$43,MATCH($B13,'S6-Summary'!$B$17:$B$43,0),MATCH(U$12,'S6-Summary'!$B$17:$W$17,0))</f>
        <v>13</v>
      </c>
      <c r="V13" s="21"/>
      <c r="W13" s="9" t="s">
        <v>117</v>
      </c>
      <c r="X13" s="30" t="s">
        <v>27</v>
      </c>
    </row>
    <row r="14" spans="2:24" ht="26" hidden="1" x14ac:dyDescent="0.35">
      <c r="B14" s="58">
        <v>2</v>
      </c>
      <c r="C14" s="9" t="s">
        <v>24</v>
      </c>
      <c r="D14" s="58" t="s">
        <v>1</v>
      </c>
      <c r="E14" s="58" t="s">
        <v>26</v>
      </c>
      <c r="F14" s="58" t="s">
        <v>19</v>
      </c>
      <c r="G14" s="58" t="s">
        <v>27</v>
      </c>
      <c r="H14" s="58" t="s">
        <v>28</v>
      </c>
      <c r="I14" s="12">
        <f>INDEX('S6-Summary'!$B$17:$W$43,MATCH($B14,'S6-Summary'!$B$17:$B$43,0),MATCH(I$12,'S6-Summary'!$B$17:$W$17,0))</f>
        <v>0</v>
      </c>
      <c r="J14" s="12">
        <f>INDEX('S6-Summary'!$B$17:$W$43,MATCH($B14,'S6-Summary'!$B$17:$B$43,0),MATCH(J$12,'S6-Summary'!$B$17:$W$17,0))</f>
        <v>0</v>
      </c>
      <c r="K14" s="12">
        <f>INDEX('S6-Summary'!$B$17:$W$43,MATCH($B14,'S6-Summary'!$B$17:$B$43,0),MATCH(K$12,'S6-Summary'!$B$17:$W$17,0))</f>
        <v>0</v>
      </c>
      <c r="L14" s="12">
        <f>INDEX('S6-Summary'!$B$17:$W$43,MATCH($B14,'S6-Summary'!$B$17:$B$43,0),MATCH(L$12,'S6-Summary'!$B$17:$W$17,0))</f>
        <v>0</v>
      </c>
      <c r="M14" s="12">
        <f>INDEX('DER Concepts'!$B$6:$V$31,MATCH($B14,'DER Concepts'!$B$6:$B$31,0),MATCH(M$12,'DER Concepts'!$B$6:$V$6,0))</f>
        <v>0</v>
      </c>
      <c r="N14" s="12">
        <f>INDEX('DER Concepts'!$B$6:$V$31,MATCH($B14,'DER Concepts'!$B$6:$B$31,0),MATCH(N$12,'DER Concepts'!$B$6:$V$6,0))</f>
        <v>0</v>
      </c>
      <c r="O14" s="12">
        <f>INDEX('DER Concepts'!$B$6:$V$31,MATCH($B14,'DER Concepts'!$B$6:$B$31,0),MATCH(O$12,'DER Concepts'!$B$6:$V$6,0))</f>
        <v>5</v>
      </c>
      <c r="P14" s="12">
        <f>INDEX('DER Concepts'!$B$6:$V$31,MATCH($B14,'DER Concepts'!$B$6:$B$31,0),MATCH(P$12,'DER Concepts'!$B$6:$V$6,0))</f>
        <v>5</v>
      </c>
      <c r="Q14" s="12">
        <f>INDEX('DER Concepts'!$B$6:$V$31,MATCH($B14,'DER Concepts'!$B$6:$B$31,0),MATCH(Q$12,'DER Concepts'!$B$6:$V$6,0))</f>
        <v>5</v>
      </c>
      <c r="R14" s="12">
        <f t="shared" si="0"/>
        <v>0</v>
      </c>
      <c r="S14" s="46">
        <v>0</v>
      </c>
      <c r="T14" s="20">
        <v>0</v>
      </c>
      <c r="U14" s="19">
        <f>INDEX('S6-Summary'!$B$17:$W$43,MATCH($B14,'S6-Summary'!$B$17:$B$43,0),MATCH(U$12,'S6-Summary'!$B$17:$W$17,0))</f>
        <v>14</v>
      </c>
      <c r="V14" s="21"/>
      <c r="W14" s="9"/>
    </row>
    <row r="15" spans="2:24" ht="78" x14ac:dyDescent="0.35">
      <c r="B15" s="58">
        <v>1</v>
      </c>
      <c r="C15" s="9" t="s">
        <v>16</v>
      </c>
      <c r="D15" s="58" t="s">
        <v>1</v>
      </c>
      <c r="E15" s="58" t="s">
        <v>18</v>
      </c>
      <c r="F15" s="58" t="s">
        <v>19</v>
      </c>
      <c r="G15" s="58" t="s">
        <v>20</v>
      </c>
      <c r="H15" s="58" t="s">
        <v>21</v>
      </c>
      <c r="I15" s="12">
        <f>INDEX('S6-Summary'!$B$17:$W$43,MATCH($B15,'S6-Summary'!$B$17:$B$43,0),MATCH(I$12,'S6-Summary'!$B$17:$W$17,0))</f>
        <v>0</v>
      </c>
      <c r="J15" s="12">
        <f>INDEX('S6-Summary'!$B$17:$W$43,MATCH($B15,'S6-Summary'!$B$17:$B$43,0),MATCH(J$12,'S6-Summary'!$B$17:$W$17,0))</f>
        <v>9.2666666666666657</v>
      </c>
      <c r="K15" s="12">
        <f>INDEX('S6-Summary'!$B$17:$W$43,MATCH($B15,'S6-Summary'!$B$17:$B$43,0),MATCH(K$12,'S6-Summary'!$B$17:$W$17,0))</f>
        <v>9.4666666666666668</v>
      </c>
      <c r="L15" s="12">
        <f>INDEX('S6-Summary'!$B$17:$W$43,MATCH($B15,'S6-Summary'!$B$17:$B$43,0),MATCH(L$12,'S6-Summary'!$B$17:$W$17,0))</f>
        <v>9.6666666666666679</v>
      </c>
      <c r="M15" s="12">
        <f>INDEX('DER Concepts'!$B$6:$V$31,MATCH($B15,'DER Concepts'!$B$6:$B$31,0),MATCH(M$12,'DER Concepts'!$B$6:$V$6,0))</f>
        <v>7.4</v>
      </c>
      <c r="N15" s="12">
        <f>INDEX('DER Concepts'!$B$6:$V$31,MATCH($B15,'DER Concepts'!$B$6:$B$31,0),MATCH(N$12,'DER Concepts'!$B$6:$V$6,0))</f>
        <v>7.6</v>
      </c>
      <c r="O15" s="12">
        <f>INDEX('DER Concepts'!$B$6:$V$31,MATCH($B15,'DER Concepts'!$B$6:$B$31,0),MATCH(O$12,'DER Concepts'!$B$6:$V$6,0))</f>
        <v>7.6</v>
      </c>
      <c r="P15" s="12">
        <f>INDEX('DER Concepts'!$B$6:$V$31,MATCH($B15,'DER Concepts'!$B$6:$B$31,0),MATCH(P$12,'DER Concepts'!$B$6:$V$6,0))</f>
        <v>7.8</v>
      </c>
      <c r="Q15" s="12">
        <f>INDEX('DER Concepts'!$B$6:$V$31,MATCH($B15,'DER Concepts'!$B$6:$B$31,0),MATCH(Q$12,'DER Concepts'!$B$6:$V$6,0))</f>
        <v>7.8</v>
      </c>
      <c r="R15" s="12">
        <f t="shared" si="0"/>
        <v>28.400000000000002</v>
      </c>
      <c r="S15" s="46">
        <v>13.101785311970335</v>
      </c>
      <c r="T15" s="75">
        <f>INDEX('S6-Summary'!$B$17:$W$43,MATCH($B15,'S6-Summary'!$B$17:$B$43,0),MATCH(T$12,'S6-Summary'!$B$17:$W$17,0))</f>
        <v>0.28160000000000002</v>
      </c>
      <c r="U15" s="19">
        <f>INDEX('S6-Summary'!$B$17:$W$43,MATCH($B15,'S6-Summary'!$B$17:$B$43,0),MATCH(U$12,'S6-Summary'!$B$17:$W$17,0))</f>
        <v>16</v>
      </c>
      <c r="V15" s="21"/>
      <c r="W15" s="9" t="s">
        <v>198</v>
      </c>
      <c r="X15" s="30" t="s">
        <v>27</v>
      </c>
    </row>
    <row r="16" spans="2:24" ht="39" x14ac:dyDescent="0.35">
      <c r="B16" s="58">
        <v>9</v>
      </c>
      <c r="C16" s="9" t="s">
        <v>49</v>
      </c>
      <c r="D16" s="58" t="s">
        <v>1</v>
      </c>
      <c r="E16" s="58" t="s">
        <v>18</v>
      </c>
      <c r="F16" s="58" t="s">
        <v>31</v>
      </c>
      <c r="G16" s="58" t="s">
        <v>20</v>
      </c>
      <c r="H16" s="58" t="s">
        <v>32</v>
      </c>
      <c r="I16" s="12">
        <f>INDEX('S6-Summary'!$B$17:$W$43,MATCH($B16,'S6-Summary'!$B$17:$B$43,0),MATCH(I$12,'S6-Summary'!$B$17:$W$17,0))</f>
        <v>0</v>
      </c>
      <c r="J16" s="12">
        <f>INDEX('S6-Summary'!$B$17:$W$43,MATCH($B16,'S6-Summary'!$B$17:$B$43,0),MATCH(J$12,'S6-Summary'!$B$17:$W$17,0))</f>
        <v>0.40333333333333332</v>
      </c>
      <c r="K16" s="12">
        <f>INDEX('S6-Summary'!$B$17:$W$43,MATCH($B16,'S6-Summary'!$B$17:$B$43,0),MATCH(K$12,'S6-Summary'!$B$17:$W$17,0))</f>
        <v>0.45833333333333331</v>
      </c>
      <c r="L16" s="12">
        <f>INDEX('S6-Summary'!$B$17:$W$43,MATCH($B16,'S6-Summary'!$B$17:$B$43,0),MATCH(L$12,'S6-Summary'!$B$17:$W$17,0))</f>
        <v>0.51833333333333331</v>
      </c>
      <c r="M16" s="12">
        <f>INDEX('DER Concepts'!$B$6:$V$31,MATCH($B16,'DER Concepts'!$B$6:$B$31,0),MATCH(M$12,'DER Concepts'!$B$6:$V$6,0))</f>
        <v>0.495</v>
      </c>
      <c r="N16" s="12">
        <f>INDEX('DER Concepts'!$B$6:$V$31,MATCH($B16,'DER Concepts'!$B$6:$B$31,0),MATCH(N$12,'DER Concepts'!$B$6:$V$6,0))</f>
        <v>0.56000000000000005</v>
      </c>
      <c r="O16" s="12">
        <f>INDEX('DER Concepts'!$B$6:$V$31,MATCH($B16,'DER Concepts'!$B$6:$B$31,0),MATCH(O$12,'DER Concepts'!$B$6:$V$6,0))</f>
        <v>0.63</v>
      </c>
      <c r="P16" s="12">
        <f>INDEX('DER Concepts'!$B$6:$V$31,MATCH($B16,'DER Concepts'!$B$6:$B$31,0),MATCH(P$12,'DER Concepts'!$B$6:$V$6,0))</f>
        <v>0.69499999999999995</v>
      </c>
      <c r="Q16" s="12">
        <f>INDEX('DER Concepts'!$B$6:$V$31,MATCH($B16,'DER Concepts'!$B$6:$B$31,0),MATCH(Q$12,'DER Concepts'!$B$6:$V$6,0))</f>
        <v>0.76500000000000001</v>
      </c>
      <c r="R16" s="12">
        <f t="shared" si="0"/>
        <v>1.38</v>
      </c>
      <c r="S16" s="46">
        <v>6.3576728588689448</v>
      </c>
      <c r="T16" s="75">
        <f>INDEX('S6-Summary'!$B$17:$W$43,MATCH($B16,'S6-Summary'!$B$17:$B$43,0),MATCH(T$12,'S6-Summary'!$B$17:$W$17,0))</f>
        <v>0.18697381815723682</v>
      </c>
      <c r="U16" s="19">
        <f>INDEX('S6-Summary'!$B$17:$W$43,MATCH($B16,'S6-Summary'!$B$17:$B$43,0),MATCH(U$12,'S6-Summary'!$B$17:$W$17,0))</f>
        <v>15</v>
      </c>
      <c r="V16" s="21"/>
      <c r="W16" s="9" t="s">
        <v>199</v>
      </c>
      <c r="X16" s="30" t="s">
        <v>27</v>
      </c>
    </row>
    <row r="17" spans="2:24" ht="52" hidden="1" x14ac:dyDescent="0.35">
      <c r="B17" s="58">
        <v>3</v>
      </c>
      <c r="C17" s="9" t="s">
        <v>29</v>
      </c>
      <c r="D17" s="58" t="s">
        <v>1</v>
      </c>
      <c r="E17" s="58" t="s">
        <v>18</v>
      </c>
      <c r="F17" s="58" t="s">
        <v>31</v>
      </c>
      <c r="G17" s="58" t="s">
        <v>20</v>
      </c>
      <c r="H17" s="58" t="s">
        <v>32</v>
      </c>
      <c r="I17" s="12">
        <f>INDEX('S6-Summary'!$B$17:$W$43,MATCH($B17,'S6-Summary'!$B$17:$B$43,0),MATCH(I$12,'S6-Summary'!$B$17:$W$17,0))</f>
        <v>0</v>
      </c>
      <c r="J17" s="12">
        <f>INDEX('S6-Summary'!$B$17:$W$43,MATCH($B17,'S6-Summary'!$B$17:$B$43,0),MATCH(J$12,'S6-Summary'!$B$17:$W$17,0))</f>
        <v>0.73333333333333328</v>
      </c>
      <c r="K17" s="12">
        <f>INDEX('S6-Summary'!$B$17:$W$43,MATCH($B17,'S6-Summary'!$B$17:$B$43,0),MATCH(K$12,'S6-Summary'!$B$17:$W$17,0))</f>
        <v>0.93333333333333335</v>
      </c>
      <c r="L17" s="12">
        <f>INDEX('S6-Summary'!$B$17:$W$43,MATCH($B17,'S6-Summary'!$B$17:$B$43,0),MATCH(L$12,'S6-Summary'!$B$17:$W$17,0))</f>
        <v>1.3333333333333333</v>
      </c>
      <c r="M17" s="12">
        <f>INDEX('DER Concepts'!$B$6:$V$31,MATCH($B17,'DER Concepts'!$B$6:$B$31,0),MATCH(M$12,'DER Concepts'!$B$6:$V$6,0))</f>
        <v>1.6</v>
      </c>
      <c r="N17" s="12">
        <f>INDEX('DER Concepts'!$B$6:$V$31,MATCH($B17,'DER Concepts'!$B$6:$B$31,0),MATCH(N$12,'DER Concepts'!$B$6:$V$6,0))</f>
        <v>2</v>
      </c>
      <c r="O17" s="12">
        <f>INDEX('DER Concepts'!$B$6:$V$31,MATCH($B17,'DER Concepts'!$B$6:$B$31,0),MATCH(O$12,'DER Concepts'!$B$6:$V$6,0))</f>
        <v>2.4</v>
      </c>
      <c r="P17" s="12">
        <f>INDEX('DER Concepts'!$B$6:$V$31,MATCH($B17,'DER Concepts'!$B$6:$B$31,0),MATCH(P$12,'DER Concepts'!$B$6:$V$6,0))</f>
        <v>2.8</v>
      </c>
      <c r="Q17" s="12">
        <f>INDEX('DER Concepts'!$B$6:$V$31,MATCH($B17,'DER Concepts'!$B$6:$B$31,0),MATCH(Q$12,'DER Concepts'!$B$6:$V$6,0))</f>
        <v>3.4</v>
      </c>
      <c r="R17" s="12">
        <f t="shared" si="0"/>
        <v>3</v>
      </c>
      <c r="S17" s="46">
        <v>5.2236608394434931</v>
      </c>
      <c r="T17" s="20">
        <v>0.30571505425385875</v>
      </c>
      <c r="U17" s="19">
        <f>INDEX('S6-Summary'!$B$17:$W$43,MATCH($B17,'S6-Summary'!$B$17:$B$43,0),MATCH(U$12,'S6-Summary'!$B$17:$W$17,0))</f>
        <v>13</v>
      </c>
      <c r="V17" s="21"/>
      <c r="W17" s="9" t="s">
        <v>130</v>
      </c>
      <c r="X17" s="30" t="s">
        <v>27</v>
      </c>
    </row>
    <row r="18" spans="2:24" hidden="1" x14ac:dyDescent="0.35">
      <c r="B18" s="58">
        <v>6</v>
      </c>
      <c r="C18" s="9" t="s">
        <v>41</v>
      </c>
      <c r="D18" s="58" t="s">
        <v>1</v>
      </c>
      <c r="E18" s="58" t="s">
        <v>26</v>
      </c>
      <c r="F18" s="58" t="s">
        <v>35</v>
      </c>
      <c r="G18" s="58" t="s">
        <v>27</v>
      </c>
      <c r="H18" s="58" t="s">
        <v>36</v>
      </c>
      <c r="I18" s="12">
        <f>INDEX('S6-Summary'!$B$17:$W$43,MATCH($B18,'S6-Summary'!$B$17:$B$43,0),MATCH(I$12,'S6-Summary'!$B$17:$W$17,0))</f>
        <v>0</v>
      </c>
      <c r="J18" s="12">
        <f>INDEX('S6-Summary'!$B$17:$W$43,MATCH($B18,'S6-Summary'!$B$17:$B$43,0),MATCH(J$12,'S6-Summary'!$B$17:$W$17,0))</f>
        <v>0</v>
      </c>
      <c r="K18" s="12">
        <f>INDEX('S6-Summary'!$B$17:$W$43,MATCH($B18,'S6-Summary'!$B$17:$B$43,0),MATCH(K$12,'S6-Summary'!$B$17:$W$17,0))</f>
        <v>0</v>
      </c>
      <c r="L18" s="12">
        <f>INDEX('S6-Summary'!$B$17:$W$43,MATCH($B18,'S6-Summary'!$B$17:$B$43,0),MATCH(L$12,'S6-Summary'!$B$17:$W$17,0))</f>
        <v>0</v>
      </c>
      <c r="M18" s="12">
        <f>INDEX('DER Concepts'!$B$6:$V$31,MATCH($B18,'DER Concepts'!$B$6:$B$31,0),MATCH(M$12,'DER Concepts'!$B$6:$V$6,0))</f>
        <v>0</v>
      </c>
      <c r="N18" s="12">
        <f>INDEX('DER Concepts'!$B$6:$V$31,MATCH($B18,'DER Concepts'!$B$6:$B$31,0),MATCH(N$12,'DER Concepts'!$B$6:$V$6,0))</f>
        <v>0</v>
      </c>
      <c r="O18" s="12">
        <f>INDEX('DER Concepts'!$B$6:$V$31,MATCH($B18,'DER Concepts'!$B$6:$B$31,0),MATCH(O$12,'DER Concepts'!$B$6:$V$6,0))</f>
        <v>0</v>
      </c>
      <c r="P18" s="12">
        <f>INDEX('DER Concepts'!$B$6:$V$31,MATCH($B18,'DER Concepts'!$B$6:$B$31,0),MATCH(P$12,'DER Concepts'!$B$6:$V$6,0))</f>
        <v>0</v>
      </c>
      <c r="Q18" s="12">
        <f>INDEX('DER Concepts'!$B$6:$V$31,MATCH($B18,'DER Concepts'!$B$6:$B$31,0),MATCH(Q$12,'DER Concepts'!$B$6:$V$6,0))</f>
        <v>0</v>
      </c>
      <c r="R18" s="12">
        <f t="shared" si="0"/>
        <v>0</v>
      </c>
      <c r="S18" s="46">
        <v>6.3874646759033205</v>
      </c>
      <c r="T18" s="20">
        <v>0.41915158872511588</v>
      </c>
      <c r="U18" s="19">
        <f>INDEX('S6-Summary'!$B$17:$W$43,MATCH($B18,'S6-Summary'!$B$17:$B$43,0),MATCH(U$12,'S6-Summary'!$B$17:$W$17,0))</f>
        <v>12</v>
      </c>
      <c r="V18" s="21"/>
      <c r="W18" s="9"/>
    </row>
    <row r="19" spans="2:24" ht="26" hidden="1" x14ac:dyDescent="0.35">
      <c r="B19" s="58">
        <v>7</v>
      </c>
      <c r="C19" s="9" t="s">
        <v>44</v>
      </c>
      <c r="D19" s="58" t="s">
        <v>1</v>
      </c>
      <c r="E19" s="58" t="s">
        <v>26</v>
      </c>
      <c r="F19" s="58" t="s">
        <v>35</v>
      </c>
      <c r="G19" s="58" t="s">
        <v>27</v>
      </c>
      <c r="H19" s="58" t="s">
        <v>28</v>
      </c>
      <c r="I19" s="12">
        <f>INDEX('S6-Summary'!$B$17:$W$43,MATCH($B19,'S6-Summary'!$B$17:$B$43,0),MATCH(I$12,'S6-Summary'!$B$17:$W$17,0))</f>
        <v>0</v>
      </c>
      <c r="J19" s="12">
        <f>INDEX('S6-Summary'!$B$17:$W$43,MATCH($B19,'S6-Summary'!$B$17:$B$43,0),MATCH(J$12,'S6-Summary'!$B$17:$W$17,0))</f>
        <v>0</v>
      </c>
      <c r="K19" s="12">
        <f>INDEX('S6-Summary'!$B$17:$W$43,MATCH($B19,'S6-Summary'!$B$17:$B$43,0),MATCH(K$12,'S6-Summary'!$B$17:$W$17,0))</f>
        <v>0</v>
      </c>
      <c r="L19" s="12">
        <f>INDEX('S6-Summary'!$B$17:$W$43,MATCH($B19,'S6-Summary'!$B$17:$B$43,0),MATCH(L$12,'S6-Summary'!$B$17:$W$17,0))</f>
        <v>0</v>
      </c>
      <c r="M19" s="12">
        <f>INDEX('DER Concepts'!$B$6:$V$31,MATCH($B19,'DER Concepts'!$B$6:$B$31,0),MATCH(M$12,'DER Concepts'!$B$6:$V$6,0))</f>
        <v>0</v>
      </c>
      <c r="N19" s="12">
        <f>INDEX('DER Concepts'!$B$6:$V$31,MATCH($B19,'DER Concepts'!$B$6:$B$31,0),MATCH(N$12,'DER Concepts'!$B$6:$V$6,0))</f>
        <v>0</v>
      </c>
      <c r="O19" s="12">
        <f>INDEX('DER Concepts'!$B$6:$V$31,MATCH($B19,'DER Concepts'!$B$6:$B$31,0),MATCH(O$12,'DER Concepts'!$B$6:$V$6,0))</f>
        <v>0</v>
      </c>
      <c r="P19" s="12">
        <f>INDEX('DER Concepts'!$B$6:$V$31,MATCH($B19,'DER Concepts'!$B$6:$B$31,0),MATCH(P$12,'DER Concepts'!$B$6:$V$6,0))</f>
        <v>0</v>
      </c>
      <c r="Q19" s="12">
        <f>INDEX('DER Concepts'!$B$6:$V$31,MATCH($B19,'DER Concepts'!$B$6:$B$31,0),MATCH(Q$12,'DER Concepts'!$B$6:$V$6,0))</f>
        <v>0</v>
      </c>
      <c r="R19" s="12">
        <f t="shared" si="0"/>
        <v>0</v>
      </c>
      <c r="S19" s="46">
        <v>4.712471923828125</v>
      </c>
      <c r="T19" s="20">
        <v>0.4678346312941507</v>
      </c>
      <c r="U19" s="19">
        <f>INDEX('S6-Summary'!$B$17:$W$43,MATCH($B19,'S6-Summary'!$B$17:$B$43,0),MATCH(U$12,'S6-Summary'!$B$17:$W$17,0))</f>
        <v>12</v>
      </c>
      <c r="V19" s="21"/>
      <c r="W19" s="9"/>
    </row>
    <row r="20" spans="2:24" ht="26" hidden="1" x14ac:dyDescent="0.35">
      <c r="B20" s="58">
        <v>8</v>
      </c>
      <c r="C20" s="9" t="s">
        <v>47</v>
      </c>
      <c r="D20" s="58" t="s">
        <v>1</v>
      </c>
      <c r="E20" s="58" t="s">
        <v>26</v>
      </c>
      <c r="F20" s="58" t="s">
        <v>35</v>
      </c>
      <c r="G20" s="58" t="s">
        <v>27</v>
      </c>
      <c r="H20" s="58" t="s">
        <v>28</v>
      </c>
      <c r="I20" s="12">
        <f>INDEX('S6-Summary'!$B$17:$W$43,MATCH($B20,'S6-Summary'!$B$17:$B$43,0),MATCH(I$12,'S6-Summary'!$B$17:$W$17,0))</f>
        <v>0</v>
      </c>
      <c r="J20" s="12">
        <f>INDEX('S6-Summary'!$B$17:$W$43,MATCH($B20,'S6-Summary'!$B$17:$B$43,0),MATCH(J$12,'S6-Summary'!$B$17:$W$17,0))</f>
        <v>0</v>
      </c>
      <c r="K20" s="12">
        <f>INDEX('S6-Summary'!$B$17:$W$43,MATCH($B20,'S6-Summary'!$B$17:$B$43,0),MATCH(K$12,'S6-Summary'!$B$17:$W$17,0))</f>
        <v>0</v>
      </c>
      <c r="L20" s="12">
        <f>INDEX('S6-Summary'!$B$17:$W$43,MATCH($B20,'S6-Summary'!$B$17:$B$43,0),MATCH(L$12,'S6-Summary'!$B$17:$W$17,0))</f>
        <v>0</v>
      </c>
      <c r="M20" s="12">
        <f>INDEX('DER Concepts'!$B$6:$V$31,MATCH($B20,'DER Concepts'!$B$6:$B$31,0),MATCH(M$12,'DER Concepts'!$B$6:$V$6,0))</f>
        <v>0</v>
      </c>
      <c r="N20" s="12">
        <f>INDEX('DER Concepts'!$B$6:$V$31,MATCH($B20,'DER Concepts'!$B$6:$B$31,0),MATCH(N$12,'DER Concepts'!$B$6:$V$6,0))</f>
        <v>0</v>
      </c>
      <c r="O20" s="12">
        <f>INDEX('DER Concepts'!$B$6:$V$31,MATCH($B20,'DER Concepts'!$B$6:$B$31,0),MATCH(O$12,'DER Concepts'!$B$6:$V$6,0))</f>
        <v>0</v>
      </c>
      <c r="P20" s="12">
        <f>INDEX('DER Concepts'!$B$6:$V$31,MATCH($B20,'DER Concepts'!$B$6:$B$31,0),MATCH(P$12,'DER Concepts'!$B$6:$V$6,0))</f>
        <v>0</v>
      </c>
      <c r="Q20" s="12">
        <f>INDEX('DER Concepts'!$B$6:$V$31,MATCH($B20,'DER Concepts'!$B$6:$B$31,0),MATCH(Q$12,'DER Concepts'!$B$6:$V$6,0))</f>
        <v>0</v>
      </c>
      <c r="R20" s="12">
        <f t="shared" si="0"/>
        <v>0</v>
      </c>
      <c r="S20" s="46">
        <v>8.8681755371093747</v>
      </c>
      <c r="T20" s="20">
        <v>0.31818974489774987</v>
      </c>
      <c r="U20" s="19">
        <f>INDEX('S6-Summary'!$B$17:$W$43,MATCH($B20,'S6-Summary'!$B$17:$B$43,0),MATCH(U$12,'S6-Summary'!$B$17:$W$17,0))</f>
        <v>14</v>
      </c>
      <c r="V20" s="21"/>
      <c r="W20" s="9"/>
    </row>
    <row r="21" spans="2:24" ht="39" x14ac:dyDescent="0.35">
      <c r="B21" s="58" t="s">
        <v>87</v>
      </c>
      <c r="C21" s="9" t="s">
        <v>77</v>
      </c>
      <c r="D21" s="58" t="s">
        <v>1</v>
      </c>
      <c r="E21" s="22" t="s">
        <v>18</v>
      </c>
      <c r="F21" s="23" t="s">
        <v>31</v>
      </c>
      <c r="G21" s="22" t="s">
        <v>20</v>
      </c>
      <c r="H21" s="23" t="s">
        <v>36</v>
      </c>
      <c r="I21" s="12">
        <f>INDEX('S6-Summary'!$B$17:$W$43,MATCH($B21,'S6-Summary'!$B$17:$B$43,0),MATCH(I$12,'S6-Summary'!$B$17:$W$17,0))</f>
        <v>0</v>
      </c>
      <c r="J21" s="12">
        <f>INDEX('S6-Summary'!$B$17:$W$43,MATCH($B21,'S6-Summary'!$B$17:$B$43,0),MATCH(J$12,'S6-Summary'!$B$17:$W$17,0))</f>
        <v>3.6766666666666667</v>
      </c>
      <c r="K21" s="12">
        <f>INDEX('S6-Summary'!$B$17:$W$43,MATCH($B21,'S6-Summary'!$B$17:$B$43,0),MATCH(K$12,'S6-Summary'!$B$17:$W$17,0))</f>
        <v>4.2266666666666666</v>
      </c>
      <c r="L21" s="12">
        <f>INDEX('S6-Summary'!$B$17:$W$43,MATCH($B21,'S6-Summary'!$B$17:$B$43,0),MATCH(L$12,'S6-Summary'!$B$17:$W$17,0))</f>
        <v>4.831666666666667</v>
      </c>
      <c r="M21" s="12">
        <v>4.7</v>
      </c>
      <c r="N21" s="12">
        <v>5.42</v>
      </c>
      <c r="O21" s="12">
        <v>6.1950000000000003</v>
      </c>
      <c r="P21" s="12">
        <v>7.0149999999999997</v>
      </c>
      <c r="Q21" s="12">
        <v>7.88</v>
      </c>
      <c r="R21" s="12">
        <f t="shared" si="0"/>
        <v>12.734999999999999</v>
      </c>
      <c r="S21" s="46">
        <v>6.4572802308164361</v>
      </c>
      <c r="T21" s="75">
        <f>INDEX('S6-Summary'!$B$17:$W$43,MATCH($B21,'S6-Summary'!$B$17:$B$43,0),MATCH(T$12,'S6-Summary'!$B$17:$W$17,0))</f>
        <v>0.17516959361661694</v>
      </c>
      <c r="U21" s="19">
        <f>INDEX('S6-Summary'!$B$17:$W$43,MATCH($B21,'S6-Summary'!$B$17:$B$43,0),MATCH(U$12,'S6-Summary'!$B$17:$W$17,0))</f>
        <v>19</v>
      </c>
      <c r="V21" s="21"/>
      <c r="W21" s="9" t="s">
        <v>200</v>
      </c>
      <c r="X21" s="30" t="s">
        <v>20</v>
      </c>
    </row>
    <row r="22" spans="2:24" ht="78" x14ac:dyDescent="0.35">
      <c r="B22" s="58">
        <v>4</v>
      </c>
      <c r="C22" s="9" t="s">
        <v>33</v>
      </c>
      <c r="D22" s="58" t="s">
        <v>1</v>
      </c>
      <c r="E22" s="58" t="s">
        <v>26</v>
      </c>
      <c r="F22" s="58" t="s">
        <v>35</v>
      </c>
      <c r="G22" s="58" t="s">
        <v>20</v>
      </c>
      <c r="H22" s="58" t="s">
        <v>36</v>
      </c>
      <c r="I22" s="12">
        <f>INDEX('S6-Summary'!$B$17:$W$43,MATCH($B22,'S6-Summary'!$B$17:$B$43,0),MATCH(I$12,'S6-Summary'!$B$17:$W$17,0))</f>
        <v>0</v>
      </c>
      <c r="J22" s="12">
        <f>INDEX('S6-Summary'!$B$17:$W$43,MATCH($B22,'S6-Summary'!$B$17:$B$43,0),MATCH(J$12,'S6-Summary'!$B$17:$W$17,0))</f>
        <v>8.4</v>
      </c>
      <c r="K22" s="12">
        <f>INDEX('S6-Summary'!$B$17:$W$43,MATCH($B22,'S6-Summary'!$B$17:$B$43,0),MATCH(K$12,'S6-Summary'!$B$17:$W$17,0))</f>
        <v>8.4</v>
      </c>
      <c r="L22" s="12">
        <f>INDEX('S6-Summary'!$B$17:$W$43,MATCH($B22,'S6-Summary'!$B$17:$B$43,0),MATCH(L$12,'S6-Summary'!$B$17:$W$17,0))</f>
        <v>8.4</v>
      </c>
      <c r="M22" s="12">
        <f>INDEX('DER Concepts'!$B$6:$V$31,MATCH($B22,'DER Concepts'!$B$6:$B$31,0),MATCH(M$12,'DER Concepts'!$B$6:$V$6,0))</f>
        <v>14.4</v>
      </c>
      <c r="N22" s="12">
        <f>INDEX('DER Concepts'!$B$6:$V$31,MATCH($B22,'DER Concepts'!$B$6:$B$31,0),MATCH(N$12,'DER Concepts'!$B$6:$V$6,0))</f>
        <v>14.4</v>
      </c>
      <c r="O22" s="12">
        <f>INDEX('DER Concepts'!$B$6:$V$31,MATCH($B22,'DER Concepts'!$B$6:$B$31,0),MATCH(O$12,'DER Concepts'!$B$6:$V$6,0))</f>
        <v>28.8</v>
      </c>
      <c r="P22" s="12">
        <f>INDEX('DER Concepts'!$B$6:$V$31,MATCH($B22,'DER Concepts'!$B$6:$B$31,0),MATCH(P$12,'DER Concepts'!$B$6:$V$6,0))</f>
        <v>36</v>
      </c>
      <c r="Q22" s="12">
        <f>INDEX('DER Concepts'!$B$6:$V$31,MATCH($B22,'DER Concepts'!$B$6:$B$31,0),MATCH(Q$12,'DER Concepts'!$B$6:$V$6,0))</f>
        <v>36</v>
      </c>
      <c r="R22" s="12">
        <f t="shared" si="0"/>
        <v>25.200000000000003</v>
      </c>
      <c r="S22" s="46">
        <v>26.334972555837133</v>
      </c>
      <c r="T22" s="75">
        <f>INDEX('S6-Summary'!$B$17:$W$43,MATCH($B22,'S6-Summary'!$B$17:$B$43,0),MATCH(T$12,'S6-Summary'!$B$17:$W$17,0))</f>
        <v>0.2011</v>
      </c>
      <c r="U22" s="19">
        <f>INDEX('S6-Summary'!$B$17:$W$43,MATCH($B22,'S6-Summary'!$B$17:$B$43,0),MATCH(U$12,'S6-Summary'!$B$17:$W$17,0))</f>
        <v>17</v>
      </c>
      <c r="V22" s="21"/>
      <c r="W22" s="9" t="s">
        <v>201</v>
      </c>
      <c r="X22" s="30" t="s">
        <v>20</v>
      </c>
    </row>
    <row r="23" spans="2:24" ht="65" x14ac:dyDescent="0.35">
      <c r="B23" s="58">
        <v>11</v>
      </c>
      <c r="C23" s="9" t="s">
        <v>53</v>
      </c>
      <c r="D23" s="58" t="s">
        <v>1</v>
      </c>
      <c r="E23" s="58" t="s">
        <v>18</v>
      </c>
      <c r="F23" s="58" t="s">
        <v>35</v>
      </c>
      <c r="G23" s="58" t="s">
        <v>20</v>
      </c>
      <c r="H23" s="58" t="s">
        <v>36</v>
      </c>
      <c r="I23" s="12">
        <f>INDEX('S6-Summary'!$B$17:$W$43,MATCH($B23,'S6-Summary'!$B$17:$B$43,0),MATCH(I$12,'S6-Summary'!$B$17:$W$17,0))</f>
        <v>0</v>
      </c>
      <c r="J23" s="12">
        <f>INDEX('S6-Summary'!$B$17:$W$43,MATCH($B23,'S6-Summary'!$B$17:$B$43,0),MATCH(J$12,'S6-Summary'!$B$17:$W$17,0))</f>
        <v>0.14666666666666667</v>
      </c>
      <c r="K23" s="12">
        <f>INDEX('S6-Summary'!$B$17:$W$43,MATCH($B23,'S6-Summary'!$B$17:$B$43,0),MATCH(K$12,'S6-Summary'!$B$17:$W$17,0))</f>
        <v>0.14666666666666667</v>
      </c>
      <c r="L23" s="12">
        <f>INDEX('S6-Summary'!$B$17:$W$43,MATCH($B23,'S6-Summary'!$B$17:$B$43,0),MATCH(L$12,'S6-Summary'!$B$17:$W$17,0))</f>
        <v>0.14666666666666667</v>
      </c>
      <c r="M23" s="12">
        <f>INDEX('DER Concepts'!$B$6:$V$31,MATCH($B23,'DER Concepts'!$B$6:$B$31,0),MATCH(M$12,'DER Concepts'!$B$6:$V$6,0))</f>
        <v>0.11</v>
      </c>
      <c r="N23" s="12">
        <f>INDEX('DER Concepts'!$B$6:$V$31,MATCH($B23,'DER Concepts'!$B$6:$B$31,0),MATCH(N$12,'DER Concepts'!$B$6:$V$6,0))</f>
        <v>0.11</v>
      </c>
      <c r="O23" s="12">
        <f>INDEX('DER Concepts'!$B$6:$V$31,MATCH($B23,'DER Concepts'!$B$6:$B$31,0),MATCH(O$12,'DER Concepts'!$B$6:$V$6,0))</f>
        <v>0.11</v>
      </c>
      <c r="P23" s="12">
        <f>INDEX('DER Concepts'!$B$6:$V$31,MATCH($B23,'DER Concepts'!$B$6:$B$31,0),MATCH(P$12,'DER Concepts'!$B$6:$V$6,0))</f>
        <v>0.11</v>
      </c>
      <c r="Q23" s="12">
        <f>INDEX('DER Concepts'!$B$6:$V$31,MATCH($B23,'DER Concepts'!$B$6:$B$31,0),MATCH(Q$12,'DER Concepts'!$B$6:$V$6,0))</f>
        <v>0.11</v>
      </c>
      <c r="R23" s="12">
        <f t="shared" si="0"/>
        <v>0.44</v>
      </c>
      <c r="S23" s="46">
        <v>16.132658183982102</v>
      </c>
      <c r="T23" s="75">
        <f>INDEX('S6-Summary'!$B$17:$W$43,MATCH($B23,'S6-Summary'!$B$17:$B$43,0),MATCH(T$12,'S6-Summary'!$B$17:$W$17,0))</f>
        <v>0.1946</v>
      </c>
      <c r="U23" s="19">
        <f>INDEX('S6-Summary'!$B$17:$W$43,MATCH($B23,'S6-Summary'!$B$17:$B$43,0),MATCH(U$12,'S6-Summary'!$B$17:$W$17,0))</f>
        <v>20</v>
      </c>
      <c r="V23" s="21"/>
      <c r="W23" s="9" t="s">
        <v>202</v>
      </c>
      <c r="X23" s="30" t="s">
        <v>20</v>
      </c>
    </row>
    <row r="24" spans="2:24" ht="65" x14ac:dyDescent="0.35">
      <c r="B24" s="58">
        <v>5</v>
      </c>
      <c r="C24" s="9" t="s">
        <v>37</v>
      </c>
      <c r="D24" s="58" t="s">
        <v>1</v>
      </c>
      <c r="E24" s="58" t="s">
        <v>18</v>
      </c>
      <c r="F24" s="58" t="s">
        <v>39</v>
      </c>
      <c r="G24" s="58" t="s">
        <v>27</v>
      </c>
      <c r="H24" s="58" t="s">
        <v>40</v>
      </c>
      <c r="I24" s="12">
        <f>INDEX('S6-Summary'!$B$17:$W$43,MATCH($B24,'S6-Summary'!$B$17:$B$43,0),MATCH(I$12,'S6-Summary'!$B$17:$W$17,0))</f>
        <v>0</v>
      </c>
      <c r="J24" s="12">
        <f>INDEX('S6-Summary'!$B$17:$W$43,MATCH($B24,'S6-Summary'!$B$17:$B$43,0),MATCH(J$12,'S6-Summary'!$B$17:$W$17,0))</f>
        <v>0.91666666666666663</v>
      </c>
      <c r="K24" s="12">
        <f>INDEX('S6-Summary'!$B$17:$W$43,MATCH($B24,'S6-Summary'!$B$17:$B$43,0),MATCH(K$12,'S6-Summary'!$B$17:$W$17,0))</f>
        <v>0.91666666666666663</v>
      </c>
      <c r="L24" s="12">
        <f>INDEX('S6-Summary'!$B$17:$W$43,MATCH($B24,'S6-Summary'!$B$17:$B$43,0),MATCH(L$12,'S6-Summary'!$B$17:$W$17,0))</f>
        <v>0.91666666666666663</v>
      </c>
      <c r="M24" s="12">
        <f>INDEX('DER Concepts'!$B$6:$V$31,MATCH($B24,'DER Concepts'!$B$6:$B$31,0),MATCH(M$12,'DER Concepts'!$B$6:$V$6,0))</f>
        <v>1.75</v>
      </c>
      <c r="N24" s="12">
        <f>INDEX('DER Concepts'!$B$6:$V$31,MATCH($B24,'DER Concepts'!$B$6:$B$31,0),MATCH(N$12,'DER Concepts'!$B$6:$V$6,0))</f>
        <v>1.75</v>
      </c>
      <c r="O24" s="12">
        <f>INDEX('DER Concepts'!$B$6:$V$31,MATCH($B24,'DER Concepts'!$B$6:$B$31,0),MATCH(O$12,'DER Concepts'!$B$6:$V$6,0))</f>
        <v>3.25</v>
      </c>
      <c r="P24" s="12">
        <f>INDEX('DER Concepts'!$B$6:$V$31,MATCH($B24,'DER Concepts'!$B$6:$B$31,0),MATCH(P$12,'DER Concepts'!$B$6:$V$6,0))</f>
        <v>4.25</v>
      </c>
      <c r="Q24" s="12">
        <f>INDEX('DER Concepts'!$B$6:$V$31,MATCH($B24,'DER Concepts'!$B$6:$B$31,0),MATCH(Q$12,'DER Concepts'!$B$6:$V$6,0))</f>
        <v>4.25</v>
      </c>
      <c r="R24" s="12">
        <f t="shared" si="0"/>
        <v>2.75</v>
      </c>
      <c r="S24" s="46">
        <v>14.188653289794923</v>
      </c>
      <c r="T24" s="75">
        <f>INDEX('S6-Summary'!$B$17:$W$43,MATCH($B24,'S6-Summary'!$B$17:$B$43,0),MATCH(T$12,'S6-Summary'!$B$17:$W$17,0))</f>
        <v>0.1842</v>
      </c>
      <c r="U24" s="19">
        <f>INDEX('S6-Summary'!$B$17:$W$43,MATCH($B24,'S6-Summary'!$B$17:$B$43,0),MATCH(U$12,'S6-Summary'!$B$17:$W$17,0))</f>
        <v>17</v>
      </c>
      <c r="V24" s="21"/>
      <c r="W24" s="9" t="s">
        <v>118</v>
      </c>
      <c r="X24" s="30" t="s">
        <v>27</v>
      </c>
    </row>
    <row r="25" spans="2:24" ht="39" x14ac:dyDescent="0.35">
      <c r="B25" s="58">
        <v>10</v>
      </c>
      <c r="C25" s="9" t="s">
        <v>51</v>
      </c>
      <c r="D25" s="58" t="s">
        <v>1</v>
      </c>
      <c r="E25" s="58" t="s">
        <v>18</v>
      </c>
      <c r="F25" s="58" t="s">
        <v>35</v>
      </c>
      <c r="G25" s="58" t="s">
        <v>20</v>
      </c>
      <c r="H25" s="58" t="s">
        <v>36</v>
      </c>
      <c r="I25" s="12">
        <f>INDEX('S6-Summary'!$B$17:$W$43,MATCH($B25,'S6-Summary'!$B$17:$B$43,0),MATCH(I$12,'S6-Summary'!$B$17:$W$17,0))</f>
        <v>0</v>
      </c>
      <c r="J25" s="12">
        <f>INDEX('S6-Summary'!$B$17:$W$43,MATCH($B25,'S6-Summary'!$B$17:$B$43,0),MATCH(J$12,'S6-Summary'!$B$17:$W$17,0))</f>
        <v>1.5183333333333333</v>
      </c>
      <c r="K25" s="12">
        <f>INDEX('S6-Summary'!$B$17:$W$43,MATCH($B25,'S6-Summary'!$B$17:$B$43,0),MATCH(K$12,'S6-Summary'!$B$17:$W$17,0))</f>
        <v>1.5383333333333333</v>
      </c>
      <c r="L25" s="12">
        <f>INDEX('S6-Summary'!$B$17:$W$43,MATCH($B25,'S6-Summary'!$B$17:$B$43,0),MATCH(L$12,'S6-Summary'!$B$17:$W$17,0))</f>
        <v>1.5583333333333333</v>
      </c>
      <c r="M25" s="12">
        <f>INDEX('DER Concepts'!$B$6:$V$31,MATCH($B25,'DER Concepts'!$B$6:$B$31,0),MATCH(M$12,'DER Concepts'!$B$6:$V$6,0))</f>
        <v>1.2</v>
      </c>
      <c r="N25" s="12">
        <f>INDEX('DER Concepts'!$B$6:$V$31,MATCH($B25,'DER Concepts'!$B$6:$B$31,0),MATCH(N$12,'DER Concepts'!$B$6:$V$6,0))</f>
        <v>1.2150000000000001</v>
      </c>
      <c r="O25" s="12">
        <f>INDEX('DER Concepts'!$B$6:$V$31,MATCH($B25,'DER Concepts'!$B$6:$B$31,0),MATCH(O$12,'DER Concepts'!$B$6:$V$6,0))</f>
        <v>1.23</v>
      </c>
      <c r="P25" s="12">
        <f>INDEX('DER Concepts'!$B$6:$V$31,MATCH($B25,'DER Concepts'!$B$6:$B$31,0),MATCH(P$12,'DER Concepts'!$B$6:$V$6,0))</f>
        <v>1.2450000000000001</v>
      </c>
      <c r="Q25" s="12">
        <f>INDEX('DER Concepts'!$B$6:$V$31,MATCH($B25,'DER Concepts'!$B$6:$B$31,0),MATCH(Q$12,'DER Concepts'!$B$6:$V$6,0))</f>
        <v>1.26</v>
      </c>
      <c r="R25" s="12">
        <f t="shared" si="0"/>
        <v>4.6150000000000002</v>
      </c>
      <c r="S25" s="46">
        <v>13.920828306662617</v>
      </c>
      <c r="T25" s="75">
        <f>INDEX('S6-Summary'!$B$17:$W$43,MATCH($B25,'S6-Summary'!$B$17:$B$43,0),MATCH(T$12,'S6-Summary'!$B$17:$W$17,0))</f>
        <v>0.17699999999999999</v>
      </c>
      <c r="U25" s="19">
        <f>INDEX('S6-Summary'!$B$17:$W$43,MATCH($B25,'S6-Summary'!$B$17:$B$43,0),MATCH(U$12,'S6-Summary'!$B$17:$W$17,0))</f>
        <v>19</v>
      </c>
      <c r="V25" s="21"/>
      <c r="W25" s="9" t="s">
        <v>119</v>
      </c>
      <c r="X25" s="30" t="s">
        <v>20</v>
      </c>
    </row>
    <row r="27" spans="2:24" x14ac:dyDescent="0.35">
      <c r="L27" s="64" t="s">
        <v>121</v>
      </c>
      <c r="R27" s="39">
        <f>SUM(R13:R25)</f>
        <v>80.11999999999999</v>
      </c>
    </row>
  </sheetData>
  <autoFilter ref="B12:X25">
    <filterColumn colId="19">
      <customFilters>
        <customFilter operator="greaterThanOrEqual" val="15"/>
      </customFilters>
    </filterColumn>
    <sortState ref="B16:X28">
      <sortCondition descending="1" ref="T15:T28"/>
    </sortState>
  </autoFilter>
  <mergeCells count="1">
    <mergeCell ref="I11:R11"/>
  </mergeCells>
  <pageMargins left="0.7" right="0.7" top="0.75" bottom="0.75" header="0.3" footer="0.3"/>
  <pageSetup scale="49" orientation="landscape" r:id="rId1"/>
  <headerFooter>
    <oddHeader>&amp;LAppendix D-2: DER Preferred Portfolio Selection&amp;RClean Energy Implementation Plan</oddHeader>
    <oddFooter>&amp;LDECEMBER 17, 2021&amp;C&amp;P of &amp;N&amp;RPuget Sound Energy</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2:Q22"/>
  <sheetViews>
    <sheetView workbookViewId="0">
      <selection activeCell="C12" sqref="C12"/>
    </sheetView>
  </sheetViews>
  <sheetFormatPr defaultColWidth="9.1796875" defaultRowHeight="13" outlineLevelCol="1" x14ac:dyDescent="0.35"/>
  <cols>
    <col min="1" max="1" width="2.7265625" style="2" customWidth="1"/>
    <col min="2" max="2" width="9.54296875" style="2" customWidth="1"/>
    <col min="3" max="3" width="27.26953125" style="2" customWidth="1"/>
    <col min="4" max="4" width="14" style="2" bestFit="1" customWidth="1"/>
    <col min="5" max="5" width="13.1796875" style="2" bestFit="1" customWidth="1"/>
    <col min="6" max="6" width="10.7265625" style="2" bestFit="1" customWidth="1"/>
    <col min="7" max="7" width="10.7265625" style="2" customWidth="1"/>
    <col min="8" max="8" width="12" style="2" bestFit="1" customWidth="1"/>
    <col min="9" max="12" width="9.1796875" style="2" customWidth="1" outlineLevel="1"/>
    <col min="13" max="16" width="10.7265625" style="2" customWidth="1"/>
    <col min="17" max="17" width="40.7265625" style="2" customWidth="1" outlineLevel="1"/>
    <col min="18" max="18" width="2.7265625" style="2" customWidth="1"/>
    <col min="19" max="16384" width="9.1796875" style="2"/>
  </cols>
  <sheetData>
    <row r="2" spans="2:17" x14ac:dyDescent="0.35">
      <c r="B2" s="65"/>
      <c r="C2" s="161" t="s">
        <v>94</v>
      </c>
      <c r="D2" s="162"/>
      <c r="E2" s="162"/>
      <c r="F2" s="162"/>
      <c r="G2" s="162"/>
      <c r="H2" s="162"/>
      <c r="I2" s="162"/>
      <c r="J2" s="162"/>
      <c r="K2" s="162"/>
      <c r="L2" s="162"/>
      <c r="M2" s="162"/>
      <c r="N2" s="162"/>
      <c r="O2" s="162"/>
      <c r="P2" s="163"/>
      <c r="Q2" s="65"/>
    </row>
    <row r="3" spans="2:17" ht="39" x14ac:dyDescent="0.35">
      <c r="B3" s="18" t="s">
        <v>97</v>
      </c>
      <c r="C3" s="18" t="s">
        <v>8</v>
      </c>
      <c r="D3" s="18" t="s">
        <v>9</v>
      </c>
      <c r="E3" s="18" t="s">
        <v>11</v>
      </c>
      <c r="F3" s="18" t="s">
        <v>12</v>
      </c>
      <c r="G3" s="18" t="s">
        <v>13</v>
      </c>
      <c r="H3" s="18" t="s">
        <v>14</v>
      </c>
      <c r="I3" s="18">
        <v>2022</v>
      </c>
      <c r="J3" s="18">
        <v>2023</v>
      </c>
      <c r="K3" s="18">
        <v>2024</v>
      </c>
      <c r="L3" s="18">
        <v>2025</v>
      </c>
      <c r="M3" s="18" t="s">
        <v>102</v>
      </c>
      <c r="N3" s="18" t="s">
        <v>104</v>
      </c>
      <c r="O3" s="18" t="s">
        <v>88</v>
      </c>
      <c r="P3" s="36" t="s">
        <v>140</v>
      </c>
      <c r="Q3" s="36" t="s">
        <v>96</v>
      </c>
    </row>
    <row r="4" spans="2:17" x14ac:dyDescent="0.35">
      <c r="B4" s="37" t="s">
        <v>92</v>
      </c>
      <c r="C4" s="25" t="s">
        <v>60</v>
      </c>
      <c r="D4" s="24" t="s">
        <v>0</v>
      </c>
      <c r="E4" s="24" t="s">
        <v>26</v>
      </c>
      <c r="F4" s="24" t="s">
        <v>39</v>
      </c>
      <c r="G4" s="24" t="s">
        <v>20</v>
      </c>
      <c r="H4" s="24" t="s">
        <v>36</v>
      </c>
      <c r="I4" s="26">
        <v>5.6</v>
      </c>
      <c r="J4" s="26">
        <v>4.8</v>
      </c>
      <c r="K4" s="26">
        <v>5.6</v>
      </c>
      <c r="L4" s="28">
        <v>0</v>
      </c>
      <c r="M4" s="31">
        <f t="shared" ref="M4:M10" si="0">SUM(I4:L4)</f>
        <v>15.999999999999998</v>
      </c>
      <c r="N4" s="42">
        <f>INDEX('S6-Summary'!$B$18:$U$43,MATCH($C4,'S6-Summary'!$C$18:$C$43,0),MATCH(N$3,'S6-Summary'!$B$17:$U$17,0))</f>
        <v>-1.8382226655134699</v>
      </c>
      <c r="O4" s="60">
        <f>INDEX('S6-Summary'!$B$18:$U$43,MATCH($C4,'S6-Summary'!$C$18:$C$43,0),MATCH(O$3,'S6-Summary'!$B$17:$U$17,0))</f>
        <v>0.27205278634052843</v>
      </c>
      <c r="P4" s="59">
        <f>INDEX('S6-Summary'!$B$18:$U$43,MATCH($C4,'S6-Summary'!$C$18:$C$43,0),MATCH(P$3,'S6-Summary'!$B$17:$U$17,0))</f>
        <v>14</v>
      </c>
      <c r="Q4" s="47"/>
    </row>
    <row r="5" spans="2:17" ht="26" x14ac:dyDescent="0.35">
      <c r="B5" s="37" t="s">
        <v>92</v>
      </c>
      <c r="C5" s="25" t="s">
        <v>62</v>
      </c>
      <c r="D5" s="24" t="s">
        <v>0</v>
      </c>
      <c r="E5" s="24" t="s">
        <v>26</v>
      </c>
      <c r="F5" s="24" t="s">
        <v>39</v>
      </c>
      <c r="G5" s="24" t="s">
        <v>20</v>
      </c>
      <c r="H5" s="24" t="s">
        <v>64</v>
      </c>
      <c r="I5" s="26">
        <v>1.4</v>
      </c>
      <c r="J5" s="26">
        <v>1.2</v>
      </c>
      <c r="K5" s="26">
        <v>1.4</v>
      </c>
      <c r="L5" s="28">
        <v>0</v>
      </c>
      <c r="M5" s="31">
        <f t="shared" si="0"/>
        <v>3.9999999999999996</v>
      </c>
      <c r="N5" s="42">
        <f>INDEX('S6-Summary'!$B$18:$U$43,MATCH($C5,'S6-Summary'!$C$18:$C$43,0),MATCH(N$3,'S6-Summary'!$B$17:$U$17,0))</f>
        <v>7.0994352087150769</v>
      </c>
      <c r="O5" s="60">
        <f>INDEX('S6-Summary'!$B$18:$U$43,MATCH($C5,'S6-Summary'!$C$18:$C$43,0),MATCH(O$3,'S6-Summary'!$B$17:$U$17,0))</f>
        <v>0.50710307656030273</v>
      </c>
      <c r="P5" s="59">
        <f>INDEX('S6-Summary'!$B$18:$U$43,MATCH($C5,'S6-Summary'!$C$18:$C$43,0),MATCH(P$3,'S6-Summary'!$B$17:$U$17,0))</f>
        <v>16</v>
      </c>
      <c r="Q5" s="47"/>
    </row>
    <row r="6" spans="2:17" x14ac:dyDescent="0.35">
      <c r="B6" s="11">
        <v>1</v>
      </c>
      <c r="C6" s="9" t="s">
        <v>67</v>
      </c>
      <c r="D6" s="11" t="s">
        <v>0</v>
      </c>
      <c r="E6" s="11" t="s">
        <v>18</v>
      </c>
      <c r="F6" s="11" t="s">
        <v>31</v>
      </c>
      <c r="G6" s="11" t="s">
        <v>20</v>
      </c>
      <c r="H6" s="11" t="s">
        <v>32</v>
      </c>
      <c r="I6" s="12">
        <v>0</v>
      </c>
      <c r="J6" s="12">
        <v>6.8</v>
      </c>
      <c r="K6" s="12">
        <v>6.8</v>
      </c>
      <c r="L6" s="12">
        <v>6.8</v>
      </c>
      <c r="M6" s="32">
        <f>SUM(I6:L6)</f>
        <v>20.399999999999999</v>
      </c>
      <c r="N6" s="43">
        <f>INDEX('S6-Summary'!$B$18:$U$43,MATCH($C6,'S6-Summary'!$C$18:$C$43,0),MATCH(N$3,'S6-Summary'!$B$17:$U$17,0))</f>
        <v>0.45340382079178365</v>
      </c>
      <c r="O6" s="62">
        <f>INDEX('S6-Summary'!$B$18:$U$43,MATCH($C6,'S6-Summary'!$C$18:$C$43,0),MATCH(O$3,'S6-Summary'!$B$17:$U$17,0))</f>
        <v>0.49574268401292115</v>
      </c>
      <c r="P6" s="61">
        <f>INDEX('S6-Summary'!$B$18:$U$43,MATCH($C6,'S6-Summary'!$C$18:$C$43,0),MATCH(P$3,'S6-Summary'!$B$17:$U$17,0))</f>
        <v>16</v>
      </c>
      <c r="Q6" s="34"/>
    </row>
    <row r="7" spans="2:17" ht="26" x14ac:dyDescent="0.35">
      <c r="B7" s="11">
        <v>2</v>
      </c>
      <c r="C7" s="23" t="s">
        <v>65</v>
      </c>
      <c r="D7" s="22" t="s">
        <v>0</v>
      </c>
      <c r="E7" s="22" t="s">
        <v>26</v>
      </c>
      <c r="F7" s="22" t="s">
        <v>19</v>
      </c>
      <c r="G7" s="22" t="s">
        <v>20</v>
      </c>
      <c r="H7" s="22" t="s">
        <v>21</v>
      </c>
      <c r="I7" s="15">
        <v>0</v>
      </c>
      <c r="J7" s="15">
        <v>3.7</v>
      </c>
      <c r="K7" s="15">
        <v>3.7</v>
      </c>
      <c r="L7" s="15">
        <v>3.7</v>
      </c>
      <c r="M7" s="33">
        <f t="shared" si="0"/>
        <v>11.100000000000001</v>
      </c>
      <c r="N7" s="43">
        <f>INDEX('S6-Summary'!$B$18:$U$43,MATCH($C7,'S6-Summary'!$C$18:$C$43,0),MATCH(N$3,'S6-Summary'!$B$17:$U$17,0))</f>
        <v>4.6354712939937226</v>
      </c>
      <c r="O7" s="62">
        <f>INDEX('S6-Summary'!$B$18:$U$43,MATCH($C7,'S6-Summary'!$C$18:$C$43,0),MATCH(O$3,'S6-Summary'!$B$17:$U$17,0))</f>
        <v>0.65399230103020356</v>
      </c>
      <c r="P7" s="61">
        <f>INDEX('S6-Summary'!$B$18:$U$43,MATCH($C7,'S6-Summary'!$C$18:$C$43,0),MATCH(P$3,'S6-Summary'!$B$17:$U$17,0))</f>
        <v>15</v>
      </c>
      <c r="Q7" s="35"/>
    </row>
    <row r="8" spans="2:17" ht="26" x14ac:dyDescent="0.35">
      <c r="B8" s="11">
        <v>3</v>
      </c>
      <c r="C8" s="9" t="s">
        <v>77</v>
      </c>
      <c r="D8" s="11" t="s">
        <v>0</v>
      </c>
      <c r="E8" s="22" t="s">
        <v>18</v>
      </c>
      <c r="F8" s="22" t="s">
        <v>31</v>
      </c>
      <c r="G8" s="22" t="s">
        <v>20</v>
      </c>
      <c r="H8" s="23" t="s">
        <v>36</v>
      </c>
      <c r="I8" s="12">
        <v>0</v>
      </c>
      <c r="J8" s="12">
        <v>4.2</v>
      </c>
      <c r="K8" s="12">
        <v>4.9000000000000004</v>
      </c>
      <c r="L8" s="12">
        <v>5.6</v>
      </c>
      <c r="M8" s="32">
        <f t="shared" si="0"/>
        <v>14.700000000000001</v>
      </c>
      <c r="N8" s="43">
        <f>INDEX('S6-Summary'!$B$18:$U$43,MATCH($C8,'S6-Summary'!$C$18:$C$43,0),MATCH(N$3,'S6-Summary'!$B$17:$U$17,0))</f>
        <v>6.4572802308164361</v>
      </c>
      <c r="O8" s="62">
        <f>INDEX('S6-Summary'!$B$18:$U$43,MATCH($C8,'S6-Summary'!$C$18:$C$43,0),MATCH(O$3,'S6-Summary'!$B$17:$U$17,0))</f>
        <v>0.17516959361661694</v>
      </c>
      <c r="P8" s="61">
        <f>INDEX('S6-Summary'!$B$18:$U$43,MATCH($C8,'S6-Summary'!$C$18:$C$43,0),MATCH(P$3,'S6-Summary'!$B$17:$U$17,0))</f>
        <v>19</v>
      </c>
      <c r="Q8" s="34"/>
    </row>
    <row r="9" spans="2:17" ht="26" x14ac:dyDescent="0.35">
      <c r="B9" s="160">
        <v>4</v>
      </c>
      <c r="C9" s="9" t="s">
        <v>81</v>
      </c>
      <c r="D9" s="11" t="s">
        <v>0</v>
      </c>
      <c r="E9" s="11" t="s">
        <v>26</v>
      </c>
      <c r="F9" s="11" t="s">
        <v>39</v>
      </c>
      <c r="G9" s="11" t="s">
        <v>20</v>
      </c>
      <c r="H9" s="11" t="s">
        <v>36</v>
      </c>
      <c r="I9" s="20">
        <v>0</v>
      </c>
      <c r="J9" s="20">
        <v>0.18</v>
      </c>
      <c r="K9" s="20">
        <v>0.22500000000000001</v>
      </c>
      <c r="L9" s="20">
        <v>0.27</v>
      </c>
      <c r="M9" s="32">
        <f t="shared" si="0"/>
        <v>0.67500000000000004</v>
      </c>
      <c r="N9" s="43">
        <f>INDEX('S6-Summary'!$B$18:$U$43,MATCH($C9,'S6-Summary'!$C$18:$C$43,0),MATCH(N$3,'S6-Summary'!$B$17:$U$17,0))</f>
        <v>22.472664936145215</v>
      </c>
      <c r="O9" s="62">
        <f>INDEX('S6-Summary'!$B$18:$U$43,MATCH($C9,'S6-Summary'!$C$18:$C$43,0),MATCH(O$3,'S6-Summary'!$B$17:$U$17,0))</f>
        <v>0.17595976874201763</v>
      </c>
      <c r="P9" s="61">
        <f>INDEX('S6-Summary'!$B$18:$U$43,MATCH($C9,'S6-Summary'!$C$18:$C$43,0),MATCH(P$3,'S6-Summary'!$B$17:$U$17,0))</f>
        <v>17</v>
      </c>
      <c r="Q9" s="34"/>
    </row>
    <row r="10" spans="2:17" x14ac:dyDescent="0.35">
      <c r="B10" s="160"/>
      <c r="C10" s="9" t="s">
        <v>79</v>
      </c>
      <c r="D10" s="11" t="s">
        <v>0</v>
      </c>
      <c r="E10" s="11" t="s">
        <v>26</v>
      </c>
      <c r="F10" s="11" t="s">
        <v>39</v>
      </c>
      <c r="G10" s="11" t="s">
        <v>20</v>
      </c>
      <c r="H10" s="11" t="s">
        <v>36</v>
      </c>
      <c r="I10" s="12">
        <v>0</v>
      </c>
      <c r="J10" s="12">
        <v>1.296</v>
      </c>
      <c r="K10" s="12">
        <v>1.62</v>
      </c>
      <c r="L10" s="12">
        <v>1.944</v>
      </c>
      <c r="M10" s="32">
        <f t="shared" si="0"/>
        <v>4.8600000000000003</v>
      </c>
      <c r="N10" s="43">
        <f>INDEX('S6-Summary'!$B$18:$U$43,MATCH($C10,'S6-Summary'!$C$18:$C$43,0),MATCH(N$3,'S6-Summary'!$B$17:$U$17,0))</f>
        <v>18.415985147405596</v>
      </c>
      <c r="O10" s="62">
        <f>INDEX('S6-Summary'!$B$18:$U$43,MATCH($C10,'S6-Summary'!$C$18:$C$43,0),MATCH(O$3,'S6-Summary'!$B$17:$U$17,0))</f>
        <v>0.21121505752351757</v>
      </c>
      <c r="P10" s="61">
        <f>INDEX('S6-Summary'!$B$18:$U$43,MATCH($C10,'S6-Summary'!$C$18:$C$43,0),MATCH(P$3,'S6-Summary'!$B$17:$U$17,0))</f>
        <v>16</v>
      </c>
      <c r="Q10" s="34"/>
    </row>
    <row r="11" spans="2:17" ht="31.5" x14ac:dyDescent="0.35">
      <c r="B11" s="45">
        <v>7</v>
      </c>
      <c r="C11" s="9" t="s">
        <v>71</v>
      </c>
      <c r="D11" s="45" t="s">
        <v>0</v>
      </c>
      <c r="E11" s="45" t="s">
        <v>18</v>
      </c>
      <c r="F11" s="45" t="s">
        <v>73</v>
      </c>
      <c r="G11" s="45" t="s">
        <v>20</v>
      </c>
      <c r="H11" s="45" t="s">
        <v>74</v>
      </c>
      <c r="I11" s="12">
        <v>0</v>
      </c>
      <c r="J11" s="12">
        <v>0.11066666666666668</v>
      </c>
      <c r="K11" s="12">
        <v>0.11066666666666668</v>
      </c>
      <c r="L11" s="12">
        <v>0.11066666666666668</v>
      </c>
      <c r="M11" s="12">
        <f>SUM(I11:L11)</f>
        <v>0.33200000000000002</v>
      </c>
      <c r="N11" s="43">
        <f>INDEX('S6-Summary'!$B$18:$U$43,MATCH($C11,'S6-Summary'!$C$18:$C$43,0),MATCH(N$3,'S6-Summary'!$B$17:$U$17,0))</f>
        <v>18.531135620948916</v>
      </c>
      <c r="O11" s="62">
        <f>INDEX('S6-Summary'!$B$18:$U$43,MATCH($C11,'S6-Summary'!$C$18:$C$43,0),MATCH(O$3,'S6-Summary'!$B$17:$U$17,0))</f>
        <v>0.16558823561576444</v>
      </c>
      <c r="P11" s="61">
        <f>INDEX('S6-Summary'!$B$18:$U$43,MATCH($C11,'S6-Summary'!$C$18:$C$43,0),MATCH(P$3,'S6-Summary'!$B$17:$U$17,0))</f>
        <v>16</v>
      </c>
      <c r="Q11" s="50" t="s">
        <v>120</v>
      </c>
    </row>
    <row r="12" spans="2:17" ht="31.5" x14ac:dyDescent="0.35">
      <c r="B12" s="45">
        <v>8</v>
      </c>
      <c r="C12" s="9" t="s">
        <v>75</v>
      </c>
      <c r="D12" s="45" t="s">
        <v>0</v>
      </c>
      <c r="E12" s="45" t="s">
        <v>18</v>
      </c>
      <c r="F12" s="45" t="s">
        <v>73</v>
      </c>
      <c r="G12" s="45" t="s">
        <v>20</v>
      </c>
      <c r="H12" s="45" t="s">
        <v>74</v>
      </c>
      <c r="I12" s="12">
        <v>0</v>
      </c>
      <c r="J12" s="12">
        <v>0.55333333333333334</v>
      </c>
      <c r="K12" s="12">
        <v>0.55333333333333334</v>
      </c>
      <c r="L12" s="12">
        <v>0.55333333333333334</v>
      </c>
      <c r="M12" s="12">
        <f>SUM(I12:L12)</f>
        <v>1.6600000000000001</v>
      </c>
      <c r="N12" s="43">
        <f>INDEX('S6-Summary'!$B$18:$U$43,MATCH($C12,'S6-Summary'!$C$18:$C$43,0),MATCH(N$3,'S6-Summary'!$B$17:$U$17,0))</f>
        <v>9.2076025756029747</v>
      </c>
      <c r="O12" s="62">
        <f>INDEX('S6-Summary'!$B$18:$U$43,MATCH($C12,'S6-Summary'!$C$18:$C$43,0),MATCH(O$3,'S6-Summary'!$B$17:$U$17,0))</f>
        <v>0.1173427519052541</v>
      </c>
      <c r="P12" s="61">
        <f>INDEX('S6-Summary'!$B$18:$U$43,MATCH($C12,'S6-Summary'!$C$18:$C$43,0),MATCH(P$3,'S6-Summary'!$B$17:$U$17,0))</f>
        <v>16</v>
      </c>
      <c r="Q12" s="50" t="s">
        <v>120</v>
      </c>
    </row>
    <row r="13" spans="2:17" ht="21" x14ac:dyDescent="0.35">
      <c r="B13" s="22">
        <v>9</v>
      </c>
      <c r="C13" s="23" t="s">
        <v>133</v>
      </c>
      <c r="D13" s="22" t="s">
        <v>0</v>
      </c>
      <c r="E13" s="22" t="s">
        <v>26</v>
      </c>
      <c r="F13" s="22" t="s">
        <v>39</v>
      </c>
      <c r="G13" s="22" t="s">
        <v>20</v>
      </c>
      <c r="H13" s="22" t="s">
        <v>36</v>
      </c>
      <c r="I13" s="15">
        <v>0</v>
      </c>
      <c r="J13" s="15">
        <v>0</v>
      </c>
      <c r="K13" s="15">
        <v>0</v>
      </c>
      <c r="L13" s="15">
        <v>5.2</v>
      </c>
      <c r="M13" s="15">
        <f>SUM(I13:L13)</f>
        <v>5.2</v>
      </c>
      <c r="N13" s="43">
        <f>INDEX('S6-Summary'!$B$18:$U$43,MATCH($C13,'S6-Summary'!$C$18:$C$43,0),MATCH(N$3,'S6-Summary'!$B$17:$U$17,0))</f>
        <v>3.08</v>
      </c>
      <c r="O13" s="62">
        <f>INDEX('S6-Summary'!$B$18:$U$43,MATCH($C13,'S6-Summary'!$C$18:$C$43,0),MATCH(O$3,'S6-Summary'!$B$17:$U$17,0))</f>
        <v>0.49127613822504879</v>
      </c>
      <c r="P13" s="61">
        <f>INDEX('S6-Summary'!$B$18:$U$43,MATCH($C13,'S6-Summary'!$C$18:$C$43,0),MATCH(P$3,'S6-Summary'!$B$17:$U$17,0))</f>
        <v>16</v>
      </c>
      <c r="Q13" s="67" t="s">
        <v>136</v>
      </c>
    </row>
    <row r="14" spans="2:17" x14ac:dyDescent="0.35">
      <c r="F14" s="159" t="s">
        <v>122</v>
      </c>
      <c r="G14" s="159"/>
      <c r="H14" s="159"/>
      <c r="I14" s="159"/>
      <c r="J14" s="159"/>
      <c r="K14" s="159"/>
      <c r="L14" s="159"/>
      <c r="M14" s="39">
        <f>SUM(M4:M13)</f>
        <v>78.926999999999978</v>
      </c>
      <c r="N14" s="39"/>
      <c r="O14" s="39"/>
      <c r="P14" s="39"/>
      <c r="Q14" s="40"/>
    </row>
    <row r="16" spans="2:17" x14ac:dyDescent="0.35">
      <c r="B16" s="65"/>
      <c r="C16" s="161" t="s">
        <v>95</v>
      </c>
      <c r="D16" s="162"/>
      <c r="E16" s="162"/>
      <c r="F16" s="162"/>
      <c r="G16" s="162"/>
      <c r="H16" s="162"/>
      <c r="I16" s="162"/>
      <c r="J16" s="162"/>
      <c r="K16" s="162"/>
      <c r="L16" s="162"/>
      <c r="M16" s="162"/>
      <c r="N16" s="162"/>
      <c r="O16" s="162"/>
      <c r="P16" s="163"/>
      <c r="Q16" s="65"/>
    </row>
    <row r="17" spans="2:17" ht="39" x14ac:dyDescent="0.35">
      <c r="B17" s="18" t="s">
        <v>97</v>
      </c>
      <c r="C17" s="18" t="s">
        <v>8</v>
      </c>
      <c r="D17" s="18" t="s">
        <v>9</v>
      </c>
      <c r="E17" s="18" t="s">
        <v>11</v>
      </c>
      <c r="F17" s="18" t="s">
        <v>12</v>
      </c>
      <c r="G17" s="18" t="s">
        <v>13</v>
      </c>
      <c r="H17" s="18" t="s">
        <v>14</v>
      </c>
      <c r="I17" s="18">
        <v>2022</v>
      </c>
      <c r="J17" s="18">
        <v>2023</v>
      </c>
      <c r="K17" s="18">
        <v>2024</v>
      </c>
      <c r="L17" s="18">
        <v>2025</v>
      </c>
      <c r="M17" s="18" t="s">
        <v>102</v>
      </c>
      <c r="N17" s="18" t="s">
        <v>104</v>
      </c>
      <c r="O17" s="18" t="s">
        <v>88</v>
      </c>
      <c r="P17" s="36" t="s">
        <v>140</v>
      </c>
      <c r="Q17" s="36" t="s">
        <v>96</v>
      </c>
    </row>
    <row r="18" spans="2:17" ht="26" x14ac:dyDescent="0.35">
      <c r="B18" s="11">
        <v>3</v>
      </c>
      <c r="C18" s="9" t="s">
        <v>77</v>
      </c>
      <c r="D18" s="11" t="s">
        <v>1</v>
      </c>
      <c r="E18" s="22" t="s">
        <v>18</v>
      </c>
      <c r="F18" s="22" t="s">
        <v>31</v>
      </c>
      <c r="G18" s="22" t="s">
        <v>20</v>
      </c>
      <c r="H18" s="22" t="s">
        <v>36</v>
      </c>
      <c r="I18" s="12"/>
      <c r="J18" s="81">
        <f>3.67666666666667-0.176</f>
        <v>3.5006666666666697</v>
      </c>
      <c r="K18" s="81">
        <f>4.22666666666667-0.226</f>
        <v>4.0006666666666701</v>
      </c>
      <c r="L18" s="81">
        <f>4.83166666666667+0.169</f>
        <v>5.0006666666666693</v>
      </c>
      <c r="M18" s="44">
        <f>SUM(I18:L18)</f>
        <v>12.50200000000001</v>
      </c>
      <c r="N18" s="43">
        <f>INDEX('S6-Summary'!$B$18:$U$43,MATCH($C18,'S6-Summary'!$C$18:$C$43,0),MATCH(N$3,'S6-Summary'!$B$17:$U$17,0))</f>
        <v>6.4572802308164361</v>
      </c>
      <c r="O18" s="62">
        <f>INDEX('S6-Summary'!$B$18:$U$43,MATCH($C18,'S6-Summary'!$C$18:$C$43,0),MATCH(O$3,'S6-Summary'!$B$17:$U$17,0))</f>
        <v>0.17516959361661694</v>
      </c>
      <c r="P18" s="61">
        <f>INDEX('S6-Summary'!$B$18:$U$43,MATCH($C18,'S6-Summary'!$C$18:$C$43,0),MATCH(P$3,'S6-Summary'!$B$17:$U$17,0))</f>
        <v>19</v>
      </c>
      <c r="Q18" s="34"/>
    </row>
    <row r="19" spans="2:17" ht="31.5" x14ac:dyDescent="0.35">
      <c r="B19" s="11">
        <v>5</v>
      </c>
      <c r="C19" s="9" t="s">
        <v>33</v>
      </c>
      <c r="D19" s="11" t="s">
        <v>1</v>
      </c>
      <c r="E19" s="11" t="s">
        <v>26</v>
      </c>
      <c r="F19" s="11" t="s">
        <v>35</v>
      </c>
      <c r="G19" s="11" t="s">
        <v>20</v>
      </c>
      <c r="H19" s="11" t="s">
        <v>36</v>
      </c>
      <c r="I19" s="41"/>
      <c r="J19" s="82">
        <v>0</v>
      </c>
      <c r="K19" s="82">
        <v>1.8</v>
      </c>
      <c r="L19" s="82">
        <v>7.2</v>
      </c>
      <c r="M19" s="44">
        <f>SUM(I19:L19)</f>
        <v>9</v>
      </c>
      <c r="N19" s="43">
        <f>INDEX('S6-Summary'!$B$18:$U$43,MATCH($C19,'S6-Summary'!$C$18:$C$43,0),MATCH(N$3,'S6-Summary'!$B$17:$U$17,0))</f>
        <v>26.334972555837133</v>
      </c>
      <c r="O19" s="62">
        <f>INDEX('S6-Summary'!$B$18:$U$43,MATCH($C19,'S6-Summary'!$C$18:$C$43,0),MATCH(O$3,'S6-Summary'!$B$17:$U$17,0))</f>
        <v>0.2011</v>
      </c>
      <c r="P19" s="61">
        <f>INDEX('S6-Summary'!$B$18:$U$43,MATCH($C19,'S6-Summary'!$C$18:$C$43,0),MATCH(P$3,'S6-Summary'!$B$17:$U$17,0))</f>
        <v>17</v>
      </c>
      <c r="Q19" s="48" t="s">
        <v>135</v>
      </c>
    </row>
    <row r="20" spans="2:17" ht="26" x14ac:dyDescent="0.35">
      <c r="B20" s="160">
        <v>6</v>
      </c>
      <c r="C20" s="9" t="s">
        <v>53</v>
      </c>
      <c r="D20" s="11" t="s">
        <v>1</v>
      </c>
      <c r="E20" s="11" t="s">
        <v>18</v>
      </c>
      <c r="F20" s="11" t="s">
        <v>35</v>
      </c>
      <c r="G20" s="11" t="s">
        <v>20</v>
      </c>
      <c r="H20" s="11" t="s">
        <v>36</v>
      </c>
      <c r="I20" s="12"/>
      <c r="J20" s="81">
        <f>0.146666666666667-0.046</f>
        <v>0.100666666666667</v>
      </c>
      <c r="K20" s="81">
        <f>0.146666666666667-0.046</f>
        <v>0.100666666666667</v>
      </c>
      <c r="L20" s="81">
        <f>0.146666666666667-0.046</f>
        <v>0.100666666666667</v>
      </c>
      <c r="M20" s="32">
        <f>SUM(I20:L20)</f>
        <v>0.30200000000000099</v>
      </c>
      <c r="N20" s="43">
        <f>INDEX('S6-Summary'!$B$18:$U$43,MATCH($C20,'S6-Summary'!$C$18:$C$43,0),MATCH(N$3,'S6-Summary'!$B$17:$U$17,0))</f>
        <v>16.132658183982102</v>
      </c>
      <c r="O20" s="62">
        <f>INDEX('S6-Summary'!$B$18:$U$43,MATCH($C20,'S6-Summary'!$C$18:$C$43,0),MATCH(O$3,'S6-Summary'!$B$17:$U$17,0))</f>
        <v>0.1946</v>
      </c>
      <c r="P20" s="61">
        <f>INDEX('S6-Summary'!$B$18:$U$43,MATCH($C20,'S6-Summary'!$C$18:$C$43,0),MATCH(P$3,'S6-Summary'!$B$17:$U$17,0))</f>
        <v>20</v>
      </c>
      <c r="Q20" s="34"/>
    </row>
    <row r="21" spans="2:17" ht="31.5" x14ac:dyDescent="0.35">
      <c r="B21" s="160"/>
      <c r="C21" s="9" t="s">
        <v>51</v>
      </c>
      <c r="D21" s="11" t="s">
        <v>1</v>
      </c>
      <c r="E21" s="11" t="s">
        <v>18</v>
      </c>
      <c r="F21" s="11" t="s">
        <v>35</v>
      </c>
      <c r="G21" s="11" t="s">
        <v>20</v>
      </c>
      <c r="H21" s="11" t="s">
        <v>36</v>
      </c>
      <c r="I21" s="12"/>
      <c r="J21" s="81">
        <f>1.145+0.055</f>
        <v>1.2</v>
      </c>
      <c r="K21" s="81">
        <f>1.165+0.135</f>
        <v>1.3</v>
      </c>
      <c r="L21" s="81">
        <f>1.185+0.115</f>
        <v>1.3</v>
      </c>
      <c r="M21" s="32">
        <f>SUM(I21:L21)</f>
        <v>3.8</v>
      </c>
      <c r="N21" s="43">
        <f>INDEX('S6-Summary'!$B$18:$U$43,MATCH($C21,'S6-Summary'!$C$18:$C$43,0),MATCH(N$3,'S6-Summary'!$B$17:$U$17,0))</f>
        <v>13.920828306662617</v>
      </c>
      <c r="O21" s="62">
        <f>INDEX('S6-Summary'!$B$18:$U$43,MATCH($C21,'S6-Summary'!$C$18:$C$43,0),MATCH(O$3,'S6-Summary'!$B$17:$U$17,0))</f>
        <v>0.17699999999999999</v>
      </c>
      <c r="P21" s="61">
        <f>INDEX('S6-Summary'!$B$18:$U$43,MATCH($C21,'S6-Summary'!$C$18:$C$43,0),MATCH(P$3,'S6-Summary'!$B$17:$U$17,0))</f>
        <v>19</v>
      </c>
      <c r="Q21" s="48" t="s">
        <v>134</v>
      </c>
    </row>
    <row r="22" spans="2:17" x14ac:dyDescent="0.35">
      <c r="F22" s="159" t="s">
        <v>122</v>
      </c>
      <c r="G22" s="159"/>
      <c r="H22" s="159"/>
      <c r="I22" s="159"/>
      <c r="J22" s="159"/>
      <c r="K22" s="159"/>
      <c r="L22" s="159"/>
      <c r="M22" s="39">
        <f>SUM(M18:M21)</f>
        <v>25.60400000000001</v>
      </c>
      <c r="N22" s="39"/>
      <c r="O22" s="39"/>
      <c r="P22" s="39"/>
      <c r="Q22" s="40"/>
    </row>
  </sheetData>
  <mergeCells count="6">
    <mergeCell ref="F22:L22"/>
    <mergeCell ref="B20:B21"/>
    <mergeCell ref="B9:B10"/>
    <mergeCell ref="C2:P2"/>
    <mergeCell ref="C16:P16"/>
    <mergeCell ref="F14:L14"/>
  </mergeCells>
  <pageMargins left="0.7" right="0.7" top="0.75" bottom="0.75" header="0.3" footer="0.3"/>
  <pageSetup scale="55" orientation="landscape" r:id="rId1"/>
  <headerFooter>
    <oddHeader>&amp;LAppendix D-2: DER Preferred Portfolio Selection&amp;RClean Energy Implementation Plan</oddHeader>
    <oddFooter>&amp;LDECEMBER 17, 2021&amp;C&amp;P of &amp;N&amp;RPuget Sound Energy</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P41"/>
  <sheetViews>
    <sheetView workbookViewId="0">
      <selection activeCell="C12" sqref="C12"/>
    </sheetView>
  </sheetViews>
  <sheetFormatPr defaultColWidth="10.7265625" defaultRowHeight="13" outlineLevelCol="1" x14ac:dyDescent="0.35"/>
  <cols>
    <col min="1" max="1" width="2.7265625" style="1" customWidth="1"/>
    <col min="2" max="2" width="8.7265625" style="1" customWidth="1"/>
    <col min="3" max="3" width="40.7265625" style="1" customWidth="1"/>
    <col min="4" max="4" width="15.7265625" style="1" customWidth="1"/>
    <col min="5" max="5" width="10.7265625" style="1"/>
    <col min="6" max="6" width="10.7265625" style="1" customWidth="1"/>
    <col min="7" max="7" width="10.7265625" style="1" hidden="1" customWidth="1" outlineLevel="1"/>
    <col min="8" max="8" width="2.7265625" style="1" customWidth="1" collapsed="1"/>
    <col min="9" max="12" width="10.7265625" style="1" customWidth="1"/>
    <col min="13" max="14" width="10.7265625" style="1" hidden="1" customWidth="1" outlineLevel="1"/>
    <col min="15" max="15" width="2.7265625" style="1" customWidth="1" collapsed="1"/>
    <col min="16" max="16" width="10.7265625" style="1" customWidth="1"/>
    <col min="17" max="17" width="2.7265625" style="1" customWidth="1"/>
    <col min="18" max="16384" width="10.7265625" style="1"/>
  </cols>
  <sheetData>
    <row r="1" spans="1:16" x14ac:dyDescent="0.35">
      <c r="B1" s="30" t="s">
        <v>143</v>
      </c>
      <c r="C1" s="72" t="s">
        <v>203</v>
      </c>
    </row>
    <row r="2" spans="1:16" x14ac:dyDescent="0.35">
      <c r="B2" s="17" t="s">
        <v>4</v>
      </c>
      <c r="C2" s="52" t="s">
        <v>150</v>
      </c>
    </row>
    <row r="3" spans="1:16" x14ac:dyDescent="0.35">
      <c r="B3" s="17" t="s">
        <v>146</v>
      </c>
      <c r="C3" s="52" t="s">
        <v>151</v>
      </c>
    </row>
    <row r="4" spans="1:16" x14ac:dyDescent="0.35">
      <c r="B4" s="17" t="s">
        <v>147</v>
      </c>
      <c r="C4" s="52" t="s">
        <v>152</v>
      </c>
    </row>
    <row r="5" spans="1:16" x14ac:dyDescent="0.35">
      <c r="B5" s="17" t="s">
        <v>149</v>
      </c>
      <c r="C5" s="52" t="s">
        <v>157</v>
      </c>
    </row>
    <row r="6" spans="1:16" x14ac:dyDescent="0.35">
      <c r="B6" s="17" t="s">
        <v>153</v>
      </c>
      <c r="C6" s="52" t="s">
        <v>154</v>
      </c>
    </row>
    <row r="7" spans="1:16" x14ac:dyDescent="0.35">
      <c r="B7" s="80" t="s">
        <v>182</v>
      </c>
      <c r="C7" s="52" t="s">
        <v>183</v>
      </c>
    </row>
    <row r="8" spans="1:16" x14ac:dyDescent="0.35">
      <c r="B8" s="79" t="s">
        <v>182</v>
      </c>
      <c r="C8" s="52" t="s">
        <v>165</v>
      </c>
    </row>
    <row r="9" spans="1:16" x14ac:dyDescent="0.35">
      <c r="B9" s="30"/>
      <c r="E9" s="17" t="s">
        <v>4</v>
      </c>
      <c r="F9" s="17" t="s">
        <v>146</v>
      </c>
      <c r="G9" s="17" t="s">
        <v>147</v>
      </c>
      <c r="I9" s="164" t="s">
        <v>163</v>
      </c>
      <c r="J9" s="164"/>
      <c r="K9" s="164"/>
      <c r="L9" s="164"/>
      <c r="M9" s="164"/>
      <c r="N9" s="164"/>
    </row>
    <row r="10" spans="1:16" ht="39" x14ac:dyDescent="0.35">
      <c r="B10" s="36" t="s">
        <v>137</v>
      </c>
      <c r="C10" s="36" t="s">
        <v>138</v>
      </c>
      <c r="D10" s="36" t="s">
        <v>139</v>
      </c>
      <c r="E10" s="36" t="s">
        <v>140</v>
      </c>
      <c r="F10" s="36" t="s">
        <v>141</v>
      </c>
      <c r="G10" s="36" t="s">
        <v>142</v>
      </c>
      <c r="I10" s="36" t="s">
        <v>158</v>
      </c>
      <c r="J10" s="36" t="s">
        <v>159</v>
      </c>
      <c r="K10" s="36" t="s">
        <v>160</v>
      </c>
      <c r="L10" s="36" t="s">
        <v>161</v>
      </c>
      <c r="M10" s="36" t="s">
        <v>164</v>
      </c>
      <c r="N10" s="36" t="s">
        <v>162</v>
      </c>
      <c r="P10" s="51" t="s">
        <v>148</v>
      </c>
    </row>
    <row r="11" spans="1:16" x14ac:dyDescent="0.35">
      <c r="B11" s="51">
        <v>11</v>
      </c>
      <c r="C11" s="2" t="s">
        <v>53</v>
      </c>
      <c r="D11" s="51" t="s">
        <v>1</v>
      </c>
      <c r="E11" s="66">
        <v>20</v>
      </c>
      <c r="F11" s="66">
        <v>31</v>
      </c>
      <c r="G11" s="66">
        <v>22</v>
      </c>
      <c r="I11" s="30" t="str">
        <f t="shared" ref="I11:I35" si="0">IF(E11&gt;=E$40,"X","")</f>
        <v>X</v>
      </c>
      <c r="J11" s="30" t="str">
        <f t="shared" ref="J11:J35" si="1">IF(E11&gt;=E$39,"X","")</f>
        <v>X</v>
      </c>
      <c r="K11" s="30" t="str">
        <f t="shared" ref="K11:K35" si="2">IF(F11&gt;=F$40,"X","")</f>
        <v>X</v>
      </c>
      <c r="L11" s="30" t="str">
        <f t="shared" ref="L11:L35" si="3">IF(F11&gt;=F$39,"X","")</f>
        <v>X</v>
      </c>
      <c r="M11" s="30" t="str">
        <f t="shared" ref="M11:M35" si="4">IF(G11&gt;=G$40,"X","")</f>
        <v>X</v>
      </c>
      <c r="N11" s="30" t="str">
        <f t="shared" ref="N11:N35" si="5">IF(G11&gt;=G$39,"X","")</f>
        <v>X</v>
      </c>
      <c r="P11" s="78" t="s">
        <v>182</v>
      </c>
    </row>
    <row r="12" spans="1:16" x14ac:dyDescent="0.35">
      <c r="B12" s="114" t="s">
        <v>86</v>
      </c>
      <c r="C12" s="2" t="s">
        <v>77</v>
      </c>
      <c r="D12" s="51" t="s">
        <v>2</v>
      </c>
      <c r="E12" s="66">
        <v>19</v>
      </c>
      <c r="F12" s="66">
        <v>30</v>
      </c>
      <c r="G12" s="66">
        <v>22</v>
      </c>
      <c r="I12" s="30" t="str">
        <f t="shared" si="0"/>
        <v>X</v>
      </c>
      <c r="J12" s="30" t="str">
        <f t="shared" si="1"/>
        <v>X</v>
      </c>
      <c r="K12" s="30" t="str">
        <f t="shared" si="2"/>
        <v>X</v>
      </c>
      <c r="L12" s="30" t="str">
        <f t="shared" si="3"/>
        <v>X</v>
      </c>
      <c r="M12" s="30" t="str">
        <f t="shared" si="4"/>
        <v>X</v>
      </c>
      <c r="N12" s="30" t="str">
        <f t="shared" si="5"/>
        <v>X</v>
      </c>
      <c r="P12" s="78" t="s">
        <v>182</v>
      </c>
    </row>
    <row r="13" spans="1:16" x14ac:dyDescent="0.35">
      <c r="A13" s="17" t="s">
        <v>149</v>
      </c>
      <c r="B13" s="114" t="s">
        <v>87</v>
      </c>
      <c r="C13" s="2" t="s">
        <v>77</v>
      </c>
      <c r="D13" s="51" t="s">
        <v>2</v>
      </c>
      <c r="E13" s="70">
        <v>19</v>
      </c>
      <c r="F13" s="70">
        <v>30</v>
      </c>
      <c r="G13" s="70">
        <v>22</v>
      </c>
      <c r="I13" s="30" t="str">
        <f t="shared" si="0"/>
        <v>X</v>
      </c>
      <c r="J13" s="30" t="str">
        <f t="shared" si="1"/>
        <v>X</v>
      </c>
      <c r="K13" s="30" t="str">
        <f t="shared" si="2"/>
        <v>X</v>
      </c>
      <c r="L13" s="30" t="str">
        <f t="shared" si="3"/>
        <v>X</v>
      </c>
      <c r="M13" s="30" t="str">
        <f t="shared" si="4"/>
        <v>X</v>
      </c>
      <c r="N13" s="30" t="str">
        <f t="shared" si="5"/>
        <v>X</v>
      </c>
      <c r="P13" s="78" t="s">
        <v>182</v>
      </c>
    </row>
    <row r="14" spans="1:16" x14ac:dyDescent="0.35">
      <c r="B14" s="51">
        <v>10</v>
      </c>
      <c r="C14" s="2" t="s">
        <v>51</v>
      </c>
      <c r="D14" s="51" t="s">
        <v>1</v>
      </c>
      <c r="E14" s="66">
        <v>19</v>
      </c>
      <c r="F14" s="66">
        <v>30</v>
      </c>
      <c r="G14" s="66">
        <v>22</v>
      </c>
      <c r="I14" s="30" t="str">
        <f t="shared" si="0"/>
        <v>X</v>
      </c>
      <c r="J14" s="30" t="str">
        <f t="shared" si="1"/>
        <v>X</v>
      </c>
      <c r="K14" s="30" t="str">
        <f t="shared" si="2"/>
        <v>X</v>
      </c>
      <c r="L14" s="30" t="str">
        <f t="shared" si="3"/>
        <v>X</v>
      </c>
      <c r="M14" s="30" t="str">
        <f t="shared" si="4"/>
        <v>X</v>
      </c>
      <c r="N14" s="30" t="str">
        <f t="shared" si="5"/>
        <v>X</v>
      </c>
      <c r="P14" s="78" t="s">
        <v>182</v>
      </c>
    </row>
    <row r="15" spans="1:16" x14ac:dyDescent="0.35">
      <c r="B15" s="51">
        <v>4</v>
      </c>
      <c r="C15" s="2" t="s">
        <v>33</v>
      </c>
      <c r="D15" s="51" t="s">
        <v>1</v>
      </c>
      <c r="E15" s="66">
        <v>17</v>
      </c>
      <c r="F15" s="66">
        <v>27</v>
      </c>
      <c r="G15" s="66">
        <v>20</v>
      </c>
      <c r="I15" s="30" t="str">
        <f t="shared" si="0"/>
        <v>X</v>
      </c>
      <c r="J15" s="30" t="str">
        <f t="shared" si="1"/>
        <v>X</v>
      </c>
      <c r="K15" s="30" t="str">
        <f t="shared" si="2"/>
        <v>X</v>
      </c>
      <c r="L15" s="30" t="str">
        <f t="shared" si="3"/>
        <v>X</v>
      </c>
      <c r="M15" s="30" t="str">
        <f t="shared" si="4"/>
        <v>X</v>
      </c>
      <c r="N15" s="30" t="str">
        <f t="shared" si="5"/>
        <v>X</v>
      </c>
      <c r="P15" s="78" t="s">
        <v>182</v>
      </c>
    </row>
    <row r="16" spans="1:16" x14ac:dyDescent="0.35">
      <c r="B16" s="51">
        <v>23</v>
      </c>
      <c r="C16" s="2" t="s">
        <v>81</v>
      </c>
      <c r="D16" s="51" t="s">
        <v>0</v>
      </c>
      <c r="E16" s="66">
        <v>17</v>
      </c>
      <c r="F16" s="66">
        <v>27</v>
      </c>
      <c r="G16" s="66">
        <v>20</v>
      </c>
      <c r="I16" s="30" t="str">
        <f t="shared" si="0"/>
        <v>X</v>
      </c>
      <c r="J16" s="30" t="str">
        <f t="shared" si="1"/>
        <v>X</v>
      </c>
      <c r="K16" s="30" t="str">
        <f t="shared" si="2"/>
        <v>X</v>
      </c>
      <c r="L16" s="30" t="str">
        <f t="shared" si="3"/>
        <v>X</v>
      </c>
      <c r="M16" s="30" t="str">
        <f t="shared" si="4"/>
        <v>X</v>
      </c>
      <c r="N16" s="30" t="str">
        <f t="shared" si="5"/>
        <v>X</v>
      </c>
      <c r="P16" s="78" t="s">
        <v>182</v>
      </c>
    </row>
    <row r="17" spans="2:16" x14ac:dyDescent="0.35">
      <c r="B17" s="51">
        <v>5</v>
      </c>
      <c r="C17" s="2" t="s">
        <v>37</v>
      </c>
      <c r="D17" s="51" t="s">
        <v>1</v>
      </c>
      <c r="E17" s="66">
        <v>17</v>
      </c>
      <c r="F17" s="66">
        <v>26</v>
      </c>
      <c r="G17" s="66">
        <v>18</v>
      </c>
      <c r="I17" s="30" t="str">
        <f t="shared" si="0"/>
        <v>X</v>
      </c>
      <c r="J17" s="30" t="str">
        <f t="shared" si="1"/>
        <v>X</v>
      </c>
      <c r="K17" s="30" t="str">
        <f t="shared" si="2"/>
        <v>X</v>
      </c>
      <c r="L17" s="30" t="str">
        <f t="shared" si="3"/>
        <v>X</v>
      </c>
      <c r="M17" s="30" t="str">
        <f t="shared" si="4"/>
        <v>X</v>
      </c>
      <c r="N17" s="30" t="str">
        <f t="shared" si="5"/>
        <v>X</v>
      </c>
      <c r="P17" s="78"/>
    </row>
    <row r="18" spans="2:16" x14ac:dyDescent="0.35">
      <c r="B18" s="51">
        <v>22</v>
      </c>
      <c r="C18" s="2" t="s">
        <v>79</v>
      </c>
      <c r="D18" s="51" t="s">
        <v>0</v>
      </c>
      <c r="E18" s="66">
        <v>16</v>
      </c>
      <c r="F18" s="66">
        <v>26</v>
      </c>
      <c r="G18" s="66">
        <v>20</v>
      </c>
      <c r="I18" s="30" t="str">
        <f t="shared" si="0"/>
        <v>X</v>
      </c>
      <c r="J18" s="30" t="str">
        <f t="shared" si="1"/>
        <v>X</v>
      </c>
      <c r="K18" s="30" t="str">
        <f t="shared" si="2"/>
        <v>X</v>
      </c>
      <c r="L18" s="30" t="str">
        <f t="shared" si="3"/>
        <v>X</v>
      </c>
      <c r="M18" s="30" t="str">
        <f t="shared" si="4"/>
        <v>X</v>
      </c>
      <c r="N18" s="30" t="str">
        <f t="shared" si="5"/>
        <v>X</v>
      </c>
      <c r="P18" s="78"/>
    </row>
    <row r="19" spans="2:16" x14ac:dyDescent="0.35">
      <c r="B19" s="51">
        <v>18</v>
      </c>
      <c r="C19" s="2" t="s">
        <v>69</v>
      </c>
      <c r="D19" s="51" t="s">
        <v>0</v>
      </c>
      <c r="E19" s="66">
        <v>16</v>
      </c>
      <c r="F19" s="66">
        <v>26</v>
      </c>
      <c r="G19" s="66">
        <v>20</v>
      </c>
      <c r="I19" s="30" t="str">
        <f t="shared" si="0"/>
        <v>X</v>
      </c>
      <c r="J19" s="30" t="str">
        <f t="shared" si="1"/>
        <v>X</v>
      </c>
      <c r="K19" s="30" t="str">
        <f t="shared" si="2"/>
        <v>X</v>
      </c>
      <c r="L19" s="30" t="str">
        <f t="shared" si="3"/>
        <v>X</v>
      </c>
      <c r="M19" s="30" t="str">
        <f t="shared" si="4"/>
        <v>X</v>
      </c>
      <c r="N19" s="30" t="str">
        <f t="shared" si="5"/>
        <v>X</v>
      </c>
      <c r="P19" s="78" t="s">
        <v>182</v>
      </c>
    </row>
    <row r="20" spans="2:16" x14ac:dyDescent="0.35">
      <c r="B20" s="51">
        <v>19</v>
      </c>
      <c r="C20" s="2" t="s">
        <v>71</v>
      </c>
      <c r="D20" s="51" t="s">
        <v>0</v>
      </c>
      <c r="E20" s="66">
        <v>16</v>
      </c>
      <c r="F20" s="66">
        <v>25</v>
      </c>
      <c r="G20" s="66">
        <v>18</v>
      </c>
      <c r="I20" s="30" t="str">
        <f t="shared" si="0"/>
        <v>X</v>
      </c>
      <c r="J20" s="30" t="str">
        <f t="shared" si="1"/>
        <v>X</v>
      </c>
      <c r="K20" s="30" t="str">
        <f t="shared" si="2"/>
        <v>X</v>
      </c>
      <c r="L20" s="30" t="str">
        <f t="shared" si="3"/>
        <v>X</v>
      </c>
      <c r="M20" s="30" t="str">
        <f t="shared" si="4"/>
        <v>X</v>
      </c>
      <c r="N20" s="30" t="str">
        <f t="shared" si="5"/>
        <v>X</v>
      </c>
      <c r="P20" s="79" t="s">
        <v>182</v>
      </c>
    </row>
    <row r="21" spans="2:16" x14ac:dyDescent="0.35">
      <c r="B21" s="51">
        <v>15</v>
      </c>
      <c r="C21" s="2" t="s">
        <v>62</v>
      </c>
      <c r="D21" s="51" t="s">
        <v>0</v>
      </c>
      <c r="E21" s="66">
        <v>16</v>
      </c>
      <c r="F21" s="66">
        <v>25</v>
      </c>
      <c r="G21" s="66">
        <v>18</v>
      </c>
      <c r="I21" s="30" t="str">
        <f t="shared" si="0"/>
        <v>X</v>
      </c>
      <c r="J21" s="30" t="str">
        <f t="shared" si="1"/>
        <v>X</v>
      </c>
      <c r="K21" s="30" t="str">
        <f t="shared" si="2"/>
        <v>X</v>
      </c>
      <c r="L21" s="30" t="str">
        <f t="shared" si="3"/>
        <v>X</v>
      </c>
      <c r="M21" s="30" t="str">
        <f t="shared" si="4"/>
        <v>X</v>
      </c>
      <c r="N21" s="30" t="str">
        <f t="shared" si="5"/>
        <v>X</v>
      </c>
      <c r="P21" s="78" t="s">
        <v>182</v>
      </c>
    </row>
    <row r="22" spans="2:16" x14ac:dyDescent="0.35">
      <c r="B22" s="51">
        <v>17</v>
      </c>
      <c r="C22" s="2" t="s">
        <v>67</v>
      </c>
      <c r="D22" s="51" t="s">
        <v>0</v>
      </c>
      <c r="E22" s="66">
        <v>16</v>
      </c>
      <c r="F22" s="66">
        <v>26</v>
      </c>
      <c r="G22" s="66">
        <v>20</v>
      </c>
      <c r="I22" s="30" t="str">
        <f t="shared" si="0"/>
        <v>X</v>
      </c>
      <c r="J22" s="30" t="str">
        <f t="shared" si="1"/>
        <v>X</v>
      </c>
      <c r="K22" s="30" t="str">
        <f t="shared" si="2"/>
        <v>X</v>
      </c>
      <c r="L22" s="30" t="str">
        <f t="shared" si="3"/>
        <v>X</v>
      </c>
      <c r="M22" s="30" t="str">
        <f t="shared" si="4"/>
        <v>X</v>
      </c>
      <c r="N22" s="30" t="str">
        <f t="shared" si="5"/>
        <v>X</v>
      </c>
      <c r="P22" s="78"/>
    </row>
    <row r="23" spans="2:16" x14ac:dyDescent="0.35">
      <c r="B23" s="51">
        <v>1</v>
      </c>
      <c r="C23" s="2" t="s">
        <v>16</v>
      </c>
      <c r="D23" s="51" t="s">
        <v>1</v>
      </c>
      <c r="E23" s="66">
        <v>16</v>
      </c>
      <c r="F23" s="66">
        <v>25</v>
      </c>
      <c r="G23" s="66">
        <v>18</v>
      </c>
      <c r="I23" s="30" t="str">
        <f t="shared" si="0"/>
        <v>X</v>
      </c>
      <c r="J23" s="30" t="str">
        <f t="shared" si="1"/>
        <v>X</v>
      </c>
      <c r="K23" s="30" t="str">
        <f t="shared" si="2"/>
        <v>X</v>
      </c>
      <c r="L23" s="30" t="str">
        <f t="shared" si="3"/>
        <v>X</v>
      </c>
      <c r="M23" s="30" t="str">
        <f t="shared" si="4"/>
        <v>X</v>
      </c>
      <c r="N23" s="30" t="str">
        <f t="shared" si="5"/>
        <v>X</v>
      </c>
      <c r="P23" s="78" t="s">
        <v>182</v>
      </c>
    </row>
    <row r="24" spans="2:16" x14ac:dyDescent="0.35">
      <c r="B24" s="51">
        <v>20</v>
      </c>
      <c r="C24" s="2" t="s">
        <v>75</v>
      </c>
      <c r="D24" s="51" t="s">
        <v>0</v>
      </c>
      <c r="E24" s="66">
        <v>16</v>
      </c>
      <c r="F24" s="66">
        <v>25</v>
      </c>
      <c r="G24" s="66">
        <v>18</v>
      </c>
      <c r="I24" s="30" t="str">
        <f t="shared" si="0"/>
        <v>X</v>
      </c>
      <c r="J24" s="30" t="str">
        <f t="shared" si="1"/>
        <v>X</v>
      </c>
      <c r="K24" s="30" t="str">
        <f t="shared" si="2"/>
        <v>X</v>
      </c>
      <c r="L24" s="30" t="str">
        <f t="shared" si="3"/>
        <v>X</v>
      </c>
      <c r="M24" s="30" t="str">
        <f t="shared" si="4"/>
        <v>X</v>
      </c>
      <c r="N24" s="30" t="str">
        <f t="shared" si="5"/>
        <v>X</v>
      </c>
      <c r="P24" s="78" t="s">
        <v>182</v>
      </c>
    </row>
    <row r="25" spans="2:16" x14ac:dyDescent="0.35">
      <c r="B25" s="51">
        <v>9</v>
      </c>
      <c r="C25" s="2" t="s">
        <v>49</v>
      </c>
      <c r="D25" s="51" t="s">
        <v>1</v>
      </c>
      <c r="E25" s="66">
        <v>15</v>
      </c>
      <c r="F25" s="66">
        <v>24</v>
      </c>
      <c r="G25" s="66">
        <v>18</v>
      </c>
      <c r="I25" s="30" t="str">
        <f t="shared" si="0"/>
        <v/>
      </c>
      <c r="J25" s="30" t="str">
        <f t="shared" si="1"/>
        <v>X</v>
      </c>
      <c r="K25" s="30" t="str">
        <f t="shared" si="2"/>
        <v/>
      </c>
      <c r="L25" s="30" t="str">
        <f t="shared" si="3"/>
        <v>X</v>
      </c>
      <c r="M25" s="30" t="str">
        <f t="shared" si="4"/>
        <v>X</v>
      </c>
      <c r="N25" s="30" t="str">
        <f t="shared" si="5"/>
        <v>X</v>
      </c>
      <c r="P25" s="78"/>
    </row>
    <row r="26" spans="2:16" x14ac:dyDescent="0.35">
      <c r="B26" s="51">
        <v>16</v>
      </c>
      <c r="C26" s="2" t="s">
        <v>65</v>
      </c>
      <c r="D26" s="51" t="s">
        <v>0</v>
      </c>
      <c r="E26" s="66">
        <v>15</v>
      </c>
      <c r="F26" s="66">
        <v>24</v>
      </c>
      <c r="G26" s="66">
        <v>18</v>
      </c>
      <c r="I26" s="30" t="str">
        <f t="shared" si="0"/>
        <v/>
      </c>
      <c r="J26" s="30" t="str">
        <f t="shared" si="1"/>
        <v>X</v>
      </c>
      <c r="K26" s="30" t="str">
        <f t="shared" si="2"/>
        <v/>
      </c>
      <c r="L26" s="30" t="str">
        <f t="shared" si="3"/>
        <v>X</v>
      </c>
      <c r="M26" s="30" t="str">
        <f t="shared" si="4"/>
        <v>X</v>
      </c>
      <c r="N26" s="30" t="str">
        <f t="shared" si="5"/>
        <v>X</v>
      </c>
      <c r="P26" s="78" t="s">
        <v>182</v>
      </c>
    </row>
    <row r="27" spans="2:16" x14ac:dyDescent="0.35">
      <c r="B27" s="51">
        <v>14</v>
      </c>
      <c r="C27" s="2" t="s">
        <v>60</v>
      </c>
      <c r="D27" s="51" t="s">
        <v>0</v>
      </c>
      <c r="E27" s="66">
        <v>14</v>
      </c>
      <c r="F27" s="66">
        <v>22</v>
      </c>
      <c r="G27" s="66">
        <v>16</v>
      </c>
      <c r="I27" s="30" t="str">
        <f t="shared" si="0"/>
        <v/>
      </c>
      <c r="J27" s="30" t="str">
        <f t="shared" si="1"/>
        <v/>
      </c>
      <c r="K27" s="30" t="str">
        <f t="shared" si="2"/>
        <v/>
      </c>
      <c r="L27" s="30" t="str">
        <f t="shared" si="3"/>
        <v/>
      </c>
      <c r="M27" s="30" t="str">
        <f t="shared" si="4"/>
        <v/>
      </c>
      <c r="N27" s="30" t="str">
        <f t="shared" si="5"/>
        <v/>
      </c>
      <c r="P27" s="79" t="s">
        <v>182</v>
      </c>
    </row>
    <row r="28" spans="2:16" x14ac:dyDescent="0.35">
      <c r="B28" s="51">
        <v>2</v>
      </c>
      <c r="C28" s="2" t="s">
        <v>24</v>
      </c>
      <c r="D28" s="51" t="s">
        <v>1</v>
      </c>
      <c r="E28" s="66">
        <v>14</v>
      </c>
      <c r="F28" s="66">
        <v>21</v>
      </c>
      <c r="G28" s="66">
        <v>14</v>
      </c>
      <c r="I28" s="30" t="str">
        <f t="shared" si="0"/>
        <v/>
      </c>
      <c r="J28" s="30" t="str">
        <f t="shared" si="1"/>
        <v/>
      </c>
      <c r="K28" s="30" t="str">
        <f t="shared" si="2"/>
        <v/>
      </c>
      <c r="L28" s="30" t="str">
        <f t="shared" si="3"/>
        <v/>
      </c>
      <c r="M28" s="30" t="str">
        <f t="shared" si="4"/>
        <v/>
      </c>
      <c r="N28" s="30" t="str">
        <f t="shared" si="5"/>
        <v/>
      </c>
      <c r="P28" s="78"/>
    </row>
    <row r="29" spans="2:16" x14ac:dyDescent="0.35">
      <c r="B29" s="51">
        <v>8</v>
      </c>
      <c r="C29" s="2" t="s">
        <v>47</v>
      </c>
      <c r="D29" s="51" t="s">
        <v>1</v>
      </c>
      <c r="E29" s="66">
        <v>14</v>
      </c>
      <c r="F29" s="66">
        <v>21</v>
      </c>
      <c r="G29" s="66">
        <v>14</v>
      </c>
      <c r="I29" s="30" t="str">
        <f t="shared" si="0"/>
        <v/>
      </c>
      <c r="J29" s="30" t="str">
        <f t="shared" si="1"/>
        <v/>
      </c>
      <c r="K29" s="30" t="str">
        <f t="shared" si="2"/>
        <v/>
      </c>
      <c r="L29" s="30" t="str">
        <f t="shared" si="3"/>
        <v/>
      </c>
      <c r="M29" s="30" t="str">
        <f t="shared" si="4"/>
        <v/>
      </c>
      <c r="N29" s="30" t="str">
        <f t="shared" si="5"/>
        <v/>
      </c>
      <c r="P29" s="78"/>
    </row>
    <row r="30" spans="2:16" x14ac:dyDescent="0.35">
      <c r="B30" s="51">
        <v>24</v>
      </c>
      <c r="C30" s="2" t="s">
        <v>83</v>
      </c>
      <c r="D30" s="51" t="s">
        <v>1</v>
      </c>
      <c r="E30" s="66">
        <v>13</v>
      </c>
      <c r="F30" s="66">
        <v>21</v>
      </c>
      <c r="G30" s="66">
        <v>16</v>
      </c>
      <c r="I30" s="30" t="str">
        <f t="shared" si="0"/>
        <v/>
      </c>
      <c r="J30" s="30" t="str">
        <f t="shared" si="1"/>
        <v/>
      </c>
      <c r="K30" s="30" t="str">
        <f t="shared" si="2"/>
        <v/>
      </c>
      <c r="L30" s="30" t="str">
        <f t="shared" si="3"/>
        <v/>
      </c>
      <c r="M30" s="30" t="str">
        <f t="shared" si="4"/>
        <v/>
      </c>
      <c r="N30" s="30" t="str">
        <f t="shared" si="5"/>
        <v/>
      </c>
      <c r="P30" s="78"/>
    </row>
    <row r="31" spans="2:16" x14ac:dyDescent="0.35">
      <c r="B31" s="51">
        <v>3</v>
      </c>
      <c r="C31" s="2" t="s">
        <v>29</v>
      </c>
      <c r="D31" s="51" t="s">
        <v>1</v>
      </c>
      <c r="E31" s="66">
        <v>13</v>
      </c>
      <c r="F31" s="66">
        <v>21</v>
      </c>
      <c r="G31" s="66">
        <v>16</v>
      </c>
      <c r="I31" s="30" t="str">
        <f t="shared" si="0"/>
        <v/>
      </c>
      <c r="J31" s="30" t="str">
        <f t="shared" si="1"/>
        <v/>
      </c>
      <c r="K31" s="30" t="str">
        <f t="shared" si="2"/>
        <v/>
      </c>
      <c r="L31" s="30" t="str">
        <f t="shared" si="3"/>
        <v/>
      </c>
      <c r="M31" s="30" t="str">
        <f t="shared" si="4"/>
        <v/>
      </c>
      <c r="N31" s="30" t="str">
        <f t="shared" si="5"/>
        <v/>
      </c>
      <c r="P31" s="78"/>
    </row>
    <row r="32" spans="2:16" x14ac:dyDescent="0.35">
      <c r="B32" s="51">
        <v>6</v>
      </c>
      <c r="C32" s="2" t="s">
        <v>41</v>
      </c>
      <c r="D32" s="51" t="s">
        <v>1</v>
      </c>
      <c r="E32" s="66">
        <v>12</v>
      </c>
      <c r="F32" s="66">
        <v>18</v>
      </c>
      <c r="G32" s="66">
        <v>12</v>
      </c>
      <c r="I32" s="30" t="str">
        <f t="shared" si="0"/>
        <v/>
      </c>
      <c r="J32" s="30" t="str">
        <f t="shared" si="1"/>
        <v/>
      </c>
      <c r="K32" s="30" t="str">
        <f t="shared" si="2"/>
        <v/>
      </c>
      <c r="L32" s="30" t="str">
        <f t="shared" si="3"/>
        <v/>
      </c>
      <c r="M32" s="30" t="str">
        <f t="shared" si="4"/>
        <v/>
      </c>
      <c r="N32" s="30" t="str">
        <f t="shared" si="5"/>
        <v/>
      </c>
      <c r="P32" s="78"/>
    </row>
    <row r="33" spans="1:16" x14ac:dyDescent="0.35">
      <c r="B33" s="51">
        <v>7</v>
      </c>
      <c r="C33" s="2" t="s">
        <v>44</v>
      </c>
      <c r="D33" s="51" t="s">
        <v>1</v>
      </c>
      <c r="E33" s="66">
        <v>12</v>
      </c>
      <c r="F33" s="66">
        <v>18</v>
      </c>
      <c r="G33" s="66">
        <v>12</v>
      </c>
      <c r="I33" s="30" t="str">
        <f t="shared" si="0"/>
        <v/>
      </c>
      <c r="J33" s="30" t="str">
        <f t="shared" si="1"/>
        <v/>
      </c>
      <c r="K33" s="30" t="str">
        <f t="shared" si="2"/>
        <v/>
      </c>
      <c r="L33" s="30" t="str">
        <f t="shared" si="3"/>
        <v/>
      </c>
      <c r="M33" s="30" t="str">
        <f t="shared" si="4"/>
        <v/>
      </c>
      <c r="N33" s="30" t="str">
        <f t="shared" si="5"/>
        <v/>
      </c>
      <c r="P33" s="78"/>
    </row>
    <row r="34" spans="1:16" x14ac:dyDescent="0.35">
      <c r="B34" s="51">
        <v>12</v>
      </c>
      <c r="C34" s="2" t="s">
        <v>55</v>
      </c>
      <c r="D34" s="51" t="s">
        <v>0</v>
      </c>
      <c r="E34" s="66">
        <v>0</v>
      </c>
      <c r="F34" s="66">
        <v>0</v>
      </c>
      <c r="G34" s="66">
        <v>0</v>
      </c>
      <c r="I34" s="30" t="str">
        <f t="shared" si="0"/>
        <v/>
      </c>
      <c r="J34" s="30" t="str">
        <f t="shared" si="1"/>
        <v/>
      </c>
      <c r="K34" s="30" t="str">
        <f t="shared" si="2"/>
        <v/>
      </c>
      <c r="L34" s="30" t="str">
        <f t="shared" si="3"/>
        <v/>
      </c>
      <c r="M34" s="30" t="str">
        <f t="shared" si="4"/>
        <v/>
      </c>
      <c r="N34" s="30" t="str">
        <f t="shared" si="5"/>
        <v/>
      </c>
      <c r="P34" s="79" t="s">
        <v>182</v>
      </c>
    </row>
    <row r="35" spans="1:16" x14ac:dyDescent="0.35">
      <c r="B35" s="51">
        <v>13</v>
      </c>
      <c r="C35" s="2" t="s">
        <v>58</v>
      </c>
      <c r="D35" s="51" t="s">
        <v>0</v>
      </c>
      <c r="E35" s="66">
        <v>0</v>
      </c>
      <c r="F35" s="66">
        <v>0</v>
      </c>
      <c r="G35" s="66">
        <v>0</v>
      </c>
      <c r="I35" s="30" t="str">
        <f t="shared" si="0"/>
        <v/>
      </c>
      <c r="J35" s="30" t="str">
        <f t="shared" si="1"/>
        <v/>
      </c>
      <c r="K35" s="30" t="str">
        <f t="shared" si="2"/>
        <v/>
      </c>
      <c r="L35" s="30" t="str">
        <f t="shared" si="3"/>
        <v/>
      </c>
      <c r="M35" s="30" t="str">
        <f t="shared" si="4"/>
        <v/>
      </c>
      <c r="N35" s="30" t="str">
        <f t="shared" si="5"/>
        <v/>
      </c>
      <c r="P35" s="79" t="s">
        <v>182</v>
      </c>
    </row>
    <row r="37" spans="1:16" x14ac:dyDescent="0.35">
      <c r="D37" s="29" t="s">
        <v>166</v>
      </c>
      <c r="E37" s="1">
        <f>COUNT(E11:E35)</f>
        <v>25</v>
      </c>
      <c r="F37" s="1">
        <f>COUNT(F11:F35)</f>
        <v>25</v>
      </c>
      <c r="G37" s="1">
        <f>COUNT(G11:G35)</f>
        <v>25</v>
      </c>
    </row>
    <row r="38" spans="1:16" x14ac:dyDescent="0.35">
      <c r="A38" s="17" t="s">
        <v>153</v>
      </c>
      <c r="D38" s="29" t="s">
        <v>145</v>
      </c>
      <c r="E38" s="68">
        <f>AVERAGE(E11:E12,E14:E33)</f>
        <v>15.590909090909092</v>
      </c>
      <c r="F38" s="68">
        <f t="shared" ref="F38:G38" si="6">AVERAGE(F11:F12,F14:F33)</f>
        <v>24.5</v>
      </c>
      <c r="G38" s="68">
        <f t="shared" si="6"/>
        <v>17.818181818181817</v>
      </c>
    </row>
    <row r="39" spans="1:16" x14ac:dyDescent="0.35">
      <c r="A39" s="69"/>
      <c r="D39" s="29" t="s">
        <v>180</v>
      </c>
      <c r="E39" s="68">
        <f>ROUNDDOWN(E$38,0)</f>
        <v>15</v>
      </c>
      <c r="F39" s="68">
        <f t="shared" ref="F39:G39" si="7">ROUNDDOWN(F$38,0)</f>
        <v>24</v>
      </c>
      <c r="G39" s="68">
        <f t="shared" si="7"/>
        <v>17</v>
      </c>
    </row>
    <row r="40" spans="1:16" x14ac:dyDescent="0.35">
      <c r="D40" s="29" t="s">
        <v>90</v>
      </c>
      <c r="E40" s="68">
        <f>MEDIAN(E11:E12,E14:E33)</f>
        <v>16</v>
      </c>
      <c r="F40" s="68">
        <f t="shared" ref="F40:G40" si="8">MEDIAN(F11:F12,F14:F33)</f>
        <v>25</v>
      </c>
      <c r="G40" s="68">
        <f t="shared" si="8"/>
        <v>18</v>
      </c>
    </row>
    <row r="41" spans="1:16" x14ac:dyDescent="0.35">
      <c r="D41" s="29" t="s">
        <v>181</v>
      </c>
      <c r="E41" s="1">
        <f>COUNT(E11:E33)</f>
        <v>23</v>
      </c>
      <c r="F41" s="1">
        <f>COUNT(F11:F33)</f>
        <v>23</v>
      </c>
      <c r="G41" s="1">
        <f>COUNT(G11:G33)</f>
        <v>23</v>
      </c>
      <c r="I41" s="1">
        <f t="shared" ref="I41:N41" si="9">COUNTIF(I$11:I$35,"X")</f>
        <v>14</v>
      </c>
      <c r="J41" s="1">
        <f t="shared" si="9"/>
        <v>16</v>
      </c>
      <c r="K41" s="1">
        <f t="shared" si="9"/>
        <v>14</v>
      </c>
      <c r="L41" s="1">
        <f t="shared" si="9"/>
        <v>16</v>
      </c>
      <c r="M41" s="1">
        <f t="shared" si="9"/>
        <v>16</v>
      </c>
      <c r="N41" s="1">
        <f t="shared" si="9"/>
        <v>16</v>
      </c>
    </row>
  </sheetData>
  <autoFilter ref="B10:P35">
    <sortState ref="B11:Q35">
      <sortCondition descending="1" ref="E10:E35"/>
    </sortState>
  </autoFilter>
  <mergeCells count="1">
    <mergeCell ref="I9:N9"/>
  </mergeCells>
  <hyperlinks>
    <hyperlink ref="C1" r:id="rId1"/>
  </hyperlinks>
  <pageMargins left="0.7" right="0.7" top="0.75" bottom="0.75" header="0.3" footer="0.3"/>
  <pageSetup scale="80" orientation="landscape" horizontalDpi="90" verticalDpi="90" r:id="rId2"/>
  <headerFooter>
    <oddHeader>&amp;LAppendix D-2: DER Preferred Portfolio Selection&amp;RClean Energy Implementation Plan</oddHeader>
    <oddFooter>&amp;LDECEMBER 17, 2021&amp;C&amp;P of &amp;N&amp;RPuget Sound Energy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1:AF28"/>
  <sheetViews>
    <sheetView workbookViewId="0">
      <pane xSplit="4" ySplit="6" topLeftCell="J7" activePane="bottomRight" state="frozen"/>
      <selection pane="topRight" activeCell="E1" sqref="E1"/>
      <selection pane="bottomLeft" activeCell="A7" sqref="A7"/>
      <selection pane="bottomRight" activeCell="E8" sqref="E8:S8"/>
    </sheetView>
  </sheetViews>
  <sheetFormatPr defaultRowHeight="14.5" x14ac:dyDescent="0.35"/>
  <cols>
    <col min="1" max="1" width="3.81640625" customWidth="1"/>
    <col min="2" max="2" width="12.7265625" customWidth="1"/>
    <col min="3" max="3" width="9" customWidth="1"/>
    <col min="4" max="4" width="44.6328125" bestFit="1" customWidth="1"/>
    <col min="5" max="5" width="14.36328125" customWidth="1"/>
    <col min="6" max="6" width="11.90625" customWidth="1"/>
    <col min="7" max="7" width="18.1796875" customWidth="1"/>
    <col min="8" max="8" width="12.453125" customWidth="1"/>
    <col min="9" max="9" width="39.26953125" customWidth="1"/>
    <col min="10" max="18" width="6.81640625" customWidth="1"/>
    <col min="19" max="19" width="22.7265625" customWidth="1"/>
    <col min="20" max="20" width="21.1796875" customWidth="1"/>
    <col min="21" max="21" width="16.7265625" customWidth="1"/>
    <col min="22" max="22" width="11.26953125" customWidth="1"/>
    <col min="23" max="23" width="10.36328125" customWidth="1"/>
    <col min="24" max="24" width="17.6328125" customWidth="1"/>
    <col min="25" max="25" width="11.08984375" customWidth="1"/>
    <col min="26" max="26" width="10.1796875" customWidth="1"/>
    <col min="27" max="27" width="14.81640625" customWidth="1"/>
    <col min="28" max="28" width="19.26953125" customWidth="1"/>
    <col min="30" max="30" width="22.54296875" customWidth="1"/>
    <col min="31" max="31" width="9.1796875" customWidth="1"/>
  </cols>
  <sheetData>
    <row r="1" spans="2:32" s="142" customFormat="1" x14ac:dyDescent="0.35"/>
    <row r="2" spans="2:32" s="142" customFormat="1" ht="46" x14ac:dyDescent="1">
      <c r="B2" s="144" t="s">
        <v>286</v>
      </c>
    </row>
    <row r="3" spans="2:32" s="142" customFormat="1" ht="29.5" customHeight="1" x14ac:dyDescent="0.35">
      <c r="B3" s="152" t="s">
        <v>289</v>
      </c>
      <c r="C3" s="152"/>
      <c r="D3" s="152"/>
      <c r="E3" s="152"/>
      <c r="F3" s="152"/>
      <c r="G3" s="152"/>
      <c r="H3" s="152"/>
      <c r="I3" s="152"/>
      <c r="J3" s="152"/>
      <c r="K3" s="152"/>
      <c r="L3" s="152"/>
      <c r="M3" s="152"/>
      <c r="N3" s="152"/>
      <c r="O3" s="152"/>
      <c r="P3" s="152"/>
      <c r="Q3" s="152"/>
      <c r="R3" s="152"/>
      <c r="S3" s="152"/>
      <c r="T3" s="152"/>
    </row>
    <row r="4" spans="2:32" s="142" customFormat="1" x14ac:dyDescent="0.35"/>
    <row r="6" spans="2:32" ht="51.5" customHeight="1" x14ac:dyDescent="0.35">
      <c r="B6" s="120" t="s">
        <v>257</v>
      </c>
      <c r="C6" s="121" t="s">
        <v>7</v>
      </c>
      <c r="D6" s="121" t="s">
        <v>8</v>
      </c>
      <c r="E6" s="121" t="s">
        <v>9</v>
      </c>
      <c r="F6" s="121" t="s">
        <v>11</v>
      </c>
      <c r="G6" s="121" t="s">
        <v>12</v>
      </c>
      <c r="H6" s="121" t="s">
        <v>13</v>
      </c>
      <c r="I6" s="121" t="s">
        <v>14</v>
      </c>
      <c r="J6" s="121" t="s">
        <v>15</v>
      </c>
      <c r="K6" s="121">
        <v>2022</v>
      </c>
      <c r="L6" s="121">
        <v>2023</v>
      </c>
      <c r="M6" s="121">
        <v>2024</v>
      </c>
      <c r="N6" s="121">
        <v>2025</v>
      </c>
      <c r="O6" s="121">
        <v>2026</v>
      </c>
      <c r="P6" s="121">
        <v>2027</v>
      </c>
      <c r="Q6" s="121">
        <v>2028</v>
      </c>
      <c r="R6" s="121">
        <v>2029</v>
      </c>
      <c r="S6" s="121">
        <v>2030</v>
      </c>
      <c r="T6" s="122" t="s">
        <v>207</v>
      </c>
      <c r="U6" s="122" t="s">
        <v>208</v>
      </c>
      <c r="V6" s="122" t="s">
        <v>209</v>
      </c>
      <c r="W6" s="122" t="s">
        <v>246</v>
      </c>
      <c r="X6" s="122" t="s">
        <v>247</v>
      </c>
      <c r="Y6" s="122" t="s">
        <v>248</v>
      </c>
      <c r="Z6" s="122" t="s">
        <v>249</v>
      </c>
      <c r="AA6" s="122" t="s">
        <v>250</v>
      </c>
      <c r="AB6" s="122" t="s">
        <v>251</v>
      </c>
      <c r="AC6" s="123" t="s">
        <v>104</v>
      </c>
      <c r="AD6" s="123" t="s">
        <v>88</v>
      </c>
      <c r="AE6" s="123" t="s">
        <v>140</v>
      </c>
      <c r="AF6" s="124" t="s">
        <v>128</v>
      </c>
    </row>
    <row r="7" spans="2:32" x14ac:dyDescent="0.35">
      <c r="B7" s="125">
        <v>1</v>
      </c>
      <c r="C7" s="126">
        <v>1</v>
      </c>
      <c r="D7" s="126" t="str">
        <f>INDEX('DER Concepts'!$B$6:$V$31,MATCH($C7,'DER Concepts'!$B$6:$B$31,0),MATCH(D$6,'DER Concepts'!$B$6:$V$6,0))</f>
        <v>3rd Party Customer-Sited Distributed Battery PPA</v>
      </c>
      <c r="E7" s="126" t="str">
        <f>INDEX('DER Concepts'!$B$6:$V$31,MATCH($C7,'DER Concepts'!$B$6:$B$31,0),MATCH(E$6,'DER Concepts'!$B$6:$V$6,0))</f>
        <v>Battery</v>
      </c>
      <c r="F7" s="126" t="str">
        <f>INDEX('DER Concepts'!$B$6:$V$31,MATCH($C7,'DER Concepts'!$B$6:$B$31,0),MATCH(F$6,'DER Concepts'!$B$6:$V$6,0))</f>
        <v>BTM</v>
      </c>
      <c r="G7" s="126" t="str">
        <f>INDEX('DER Concepts'!$B$6:$V$31,MATCH($C7,'DER Concepts'!$B$6:$B$31,0),MATCH(G$6,'DER Concepts'!$B$6:$V$6,0))</f>
        <v>3rd Party</v>
      </c>
      <c r="H7" s="126" t="str">
        <f>INDEX('DER Concepts'!$B$6:$V$31,MATCH($C7,'DER Concepts'!$B$6:$B$31,0),MATCH(H$6,'DER Concepts'!$B$6:$V$6,0))</f>
        <v>Yes</v>
      </c>
      <c r="I7" s="126" t="str">
        <f>INDEX('DER Concepts'!$B$6:$V$31,MATCH($C7,'DER Concepts'!$B$6:$B$31,0),MATCH(I$6,'DER Concepts'!$B$6:$V$6,0))</f>
        <v>3rd Party Offering</v>
      </c>
      <c r="J7" s="126" t="str">
        <f>INDEX('DER Concepts'!$B$6:$V$31,MATCH($C7,'DER Concepts'!$B$6:$B$31,0),MATCH(J$6,'DER Concepts'!$B$6:$V$6,0))</f>
        <v>New</v>
      </c>
      <c r="K7" s="131">
        <f>INDEX('DER Concepts'!$B$6:$V$31,MATCH($C7,'DER Concepts'!$B$6:$B$31,0),MATCH(K$6,'DER Concepts'!$B$6:$V$6,0))</f>
        <v>6.8</v>
      </c>
      <c r="L7" s="131">
        <f>INDEX('DER Concepts'!$B$6:$V$31,MATCH($C7,'DER Concepts'!$B$6:$B$31,0),MATCH(L$6,'DER Concepts'!$B$6:$V$6,0))</f>
        <v>7</v>
      </c>
      <c r="M7" s="131">
        <f>INDEX('DER Concepts'!$B$6:$V$31,MATCH($C7,'DER Concepts'!$B$6:$B$31,0),MATCH(M$6,'DER Concepts'!$B$6:$V$6,0))</f>
        <v>7.2</v>
      </c>
      <c r="N7" s="131">
        <f>INDEX('DER Concepts'!$B$6:$V$31,MATCH($C7,'DER Concepts'!$B$6:$B$31,0),MATCH(N$6,'DER Concepts'!$B$6:$V$6,0))</f>
        <v>7.4</v>
      </c>
      <c r="O7" s="131">
        <f>INDEX('DER Concepts'!$B$6:$V$31,MATCH($C7,'DER Concepts'!$B$6:$B$31,0),MATCH(O$6,'DER Concepts'!$B$6:$V$6,0))</f>
        <v>7.4</v>
      </c>
      <c r="P7" s="131">
        <f>INDEX('DER Concepts'!$B$6:$V$31,MATCH($C7,'DER Concepts'!$B$6:$B$31,0),MATCH(P$6,'DER Concepts'!$B$6:$V$6,0))</f>
        <v>7.6</v>
      </c>
      <c r="Q7" s="131">
        <f>INDEX('DER Concepts'!$B$6:$V$31,MATCH($C7,'DER Concepts'!$B$6:$B$31,0),MATCH(Q$6,'DER Concepts'!$B$6:$V$6,0))</f>
        <v>7.6</v>
      </c>
      <c r="R7" s="131">
        <f>INDEX('DER Concepts'!$B$6:$V$31,MATCH($C7,'DER Concepts'!$B$6:$B$31,0),MATCH(R$6,'DER Concepts'!$B$6:$V$6,0))</f>
        <v>7.8</v>
      </c>
      <c r="S7" s="131">
        <f>INDEX('DER Concepts'!$B$6:$V$31,MATCH($C7,'DER Concepts'!$B$6:$B$31,0),MATCH(S$6,'DER Concepts'!$B$6:$V$6,0))</f>
        <v>7.8</v>
      </c>
      <c r="T7" s="126">
        <f>INDEX('Cost per Site'!$C$7:$N$33,MATCH($C7,'Cost per Site'!$C$7:$C$33,0),MATCH('Summary Table (Remove Excluded)'!T$6,'Cost per Site'!$C$7:$N$7,0))</f>
        <v>200</v>
      </c>
      <c r="U7" s="126">
        <f>INDEX('Cost per Site'!$C$7:$N$33,MATCH($C7,'Cost per Site'!$C$7:$C$33,0),MATCH('Summary Table (Remove Excluded)'!U$6,'Cost per Site'!$C$7:$N$7,0))</f>
        <v>2</v>
      </c>
      <c r="V7" s="126">
        <f>INDEX('Cost per Site'!$C$7:$N$33,MATCH($C7,'Cost per Site'!$C$7:$C$33,0),MATCH('Summary Table (Remove Excluded)'!V$6,'Cost per Site'!$C$7:$N$7,0))</f>
        <v>10</v>
      </c>
      <c r="W7" s="135">
        <f>INDEX('Cost per Site'!$C$7:$N$33,MATCH($C7,'Cost per Site'!$C$7:$C$33,0),MATCH('Summary Table (Remove Excluded)'!W$6,'Cost per Site'!$C$7:$N$7,0))</f>
        <v>0</v>
      </c>
      <c r="X7" s="135">
        <f>INDEX('Cost per Site'!$C$7:$N$33,MATCH($C7,'Cost per Site'!$C$7:$C$33,0),MATCH('Summary Table (Remove Excluded)'!X$6,'Cost per Site'!$C$7:$N$7,0))</f>
        <v>0</v>
      </c>
      <c r="Y7" s="135">
        <f>INDEX('Cost per Site'!$C$7:$N$33,MATCH($C7,'Cost per Site'!$C$7:$C$33,0),MATCH('Summary Table (Remove Excluded)'!Y$6,'Cost per Site'!$C$7:$N$7,0))</f>
        <v>5</v>
      </c>
      <c r="Z7" s="135">
        <f>INDEX('Cost per Site'!$C$7:$N$33,MATCH($C7,'Cost per Site'!$C$7:$C$33,0),MATCH('Summary Table (Remove Excluded)'!Z$6,'Cost per Site'!$C$7:$N$7,0))</f>
        <v>3072</v>
      </c>
      <c r="AA7" s="135">
        <f>INDEX('Cost per Site'!$C$7:$N$33,MATCH($C7,'Cost per Site'!$C$7:$C$33,0),MATCH('Summary Table (Remove Excluded)'!AA$6,'Cost per Site'!$C$7:$N$7,0))</f>
        <v>265</v>
      </c>
      <c r="AB7" s="126" t="str">
        <f>INDEX('Cost per Site'!$C$7:$N$33,MATCH($C7,'Cost per Site'!$C$7:$C$33,0),MATCH('Summary Table (Remove Excluded)'!AB$6,'Cost per Site'!$C$7:$N$7,0))</f>
        <v>Third Party</v>
      </c>
      <c r="AC7" s="126">
        <f>INDEX('S6-Summary'!$B$17:$W$43,MATCH($B7,'S6-Summary'!$B$17:$B$43,0),MATCH('Summary Table (Remove Excluded)'!AC$6,'S6-Summary'!$B$17:$W$17,0))</f>
        <v>13.101785311970335</v>
      </c>
      <c r="AD7" s="126">
        <f>INDEX('S6-Summary'!$B$17:$W$43,MATCH($B7,'S6-Summary'!$B$17:$B$43,0),MATCH('Summary Table (Remove Excluded)'!AD$6,'S6-Summary'!$B$17:$W$17,0))</f>
        <v>0.28160000000000002</v>
      </c>
      <c r="AE7" s="128">
        <f>INDEX(CBI!$B$10:$H$35,MATCH($C7,CBI!$B$10:$B$35,0),MATCH(AE$6,CBI!$B$10:$H$10,0))</f>
        <v>16</v>
      </c>
      <c r="AF7" s="129" t="s">
        <v>256</v>
      </c>
    </row>
    <row r="8" spans="2:32" x14ac:dyDescent="0.35">
      <c r="B8" s="130">
        <v>2</v>
      </c>
      <c r="C8" s="131">
        <v>2</v>
      </c>
      <c r="D8" s="131" t="str">
        <f>INDEX('DER Concepts'!$B$6:$V$31,MATCH($C8,'DER Concepts'!$B$6:$B$31,0),MATCH(D$6,'DER Concepts'!$B$6:$V$6,0))</f>
        <v>3rd Party Utility-scale Distributed Battery PPA</v>
      </c>
      <c r="E8" s="131" t="str">
        <f>INDEX('DER Concepts'!$B$6:$V$31,MATCH($C8,'DER Concepts'!$B$6:$B$31,0),MATCH(E$6,'DER Concepts'!$B$6:$V$6,0))</f>
        <v>Battery</v>
      </c>
      <c r="F8" s="131" t="str">
        <f>INDEX('DER Concepts'!$B$6:$V$31,MATCH($C8,'DER Concepts'!$B$6:$B$31,0),MATCH(F$6,'DER Concepts'!$B$6:$V$6,0))</f>
        <v>FOTM</v>
      </c>
      <c r="G8" s="131" t="str">
        <f>INDEX('DER Concepts'!$B$6:$V$31,MATCH($C8,'DER Concepts'!$B$6:$B$31,0),MATCH(G$6,'DER Concepts'!$B$6:$V$6,0))</f>
        <v>3rd Party</v>
      </c>
      <c r="H8" s="131" t="str">
        <f>INDEX('DER Concepts'!$B$6:$V$31,MATCH($C8,'DER Concepts'!$B$6:$B$31,0),MATCH(H$6,'DER Concepts'!$B$6:$V$6,0))</f>
        <v>No</v>
      </c>
      <c r="I8" s="131" t="str">
        <f>INDEX('DER Concepts'!$B$6:$V$31,MATCH($C8,'DER Concepts'!$B$6:$B$31,0),MATCH(I$6,'DER Concepts'!$B$6:$V$6,0))</f>
        <v>Portfolio Resource</v>
      </c>
      <c r="J8" s="131" t="str">
        <f>INDEX('DER Concepts'!$B$6:$V$31,MATCH($C8,'DER Concepts'!$B$6:$B$31,0),MATCH(J$6,'DER Concepts'!$B$6:$V$6,0))</f>
        <v>New</v>
      </c>
      <c r="K8" s="131">
        <f>INDEX('DER Concepts'!$B$6:$V$31,MATCH($C8,'DER Concepts'!$B$6:$B$31,0),MATCH(K$6,'DER Concepts'!$B$6:$V$6,0))</f>
        <v>0</v>
      </c>
      <c r="L8" s="131">
        <f>INDEX('DER Concepts'!$B$6:$V$31,MATCH($C8,'DER Concepts'!$B$6:$B$31,0),MATCH(L$6,'DER Concepts'!$B$6:$V$6,0))</f>
        <v>0</v>
      </c>
      <c r="M8" s="131">
        <f>INDEX('DER Concepts'!$B$6:$V$31,MATCH($C8,'DER Concepts'!$B$6:$B$31,0),MATCH(M$6,'DER Concepts'!$B$6:$V$6,0))</f>
        <v>0</v>
      </c>
      <c r="N8" s="131">
        <f>INDEX('DER Concepts'!$B$6:$V$31,MATCH($C8,'DER Concepts'!$B$6:$B$31,0),MATCH(N$6,'DER Concepts'!$B$6:$V$6,0))</f>
        <v>0</v>
      </c>
      <c r="O8" s="131">
        <f>INDEX('DER Concepts'!$B$6:$V$31,MATCH($C8,'DER Concepts'!$B$6:$B$31,0),MATCH(O$6,'DER Concepts'!$B$6:$V$6,0))</f>
        <v>0</v>
      </c>
      <c r="P8" s="131">
        <f>INDEX('DER Concepts'!$B$6:$V$31,MATCH($C8,'DER Concepts'!$B$6:$B$31,0),MATCH(P$6,'DER Concepts'!$B$6:$V$6,0))</f>
        <v>0</v>
      </c>
      <c r="Q8" s="131">
        <f>INDEX('DER Concepts'!$B$6:$V$31,MATCH($C8,'DER Concepts'!$B$6:$B$31,0),MATCH(Q$6,'DER Concepts'!$B$6:$V$6,0))</f>
        <v>5</v>
      </c>
      <c r="R8" s="131">
        <f>INDEX('DER Concepts'!$B$6:$V$31,MATCH($C8,'DER Concepts'!$B$6:$B$31,0),MATCH(R$6,'DER Concepts'!$B$6:$V$6,0))</f>
        <v>5</v>
      </c>
      <c r="S8" s="131">
        <f>INDEX('DER Concepts'!$B$6:$V$31,MATCH($C8,'DER Concepts'!$B$6:$B$31,0),MATCH(S$6,'DER Concepts'!$B$6:$V$6,0))</f>
        <v>5</v>
      </c>
      <c r="T8" s="126">
        <f>INDEX('Cost per Site'!$C$7:$N$33,MATCH($C8,'Cost per Site'!$C$7:$C$33,0),MATCH('Summary Table (Remove Excluded)'!T$6,'Cost per Site'!$C$7:$N$7,0))</f>
        <v>5000</v>
      </c>
      <c r="U8" s="126">
        <f>INDEX('Cost per Site'!$C$7:$N$33,MATCH($C8,'Cost per Site'!$C$7:$C$33,0),MATCH('Summary Table (Remove Excluded)'!U$6,'Cost per Site'!$C$7:$N$7,0))</f>
        <v>4</v>
      </c>
      <c r="V8" s="126">
        <f>INDEX('Cost per Site'!$C$7:$N$33,MATCH($C8,'Cost per Site'!$C$7:$C$33,0),MATCH('Summary Table (Remove Excluded)'!V$6,'Cost per Site'!$C$7:$N$7,0))</f>
        <v>10</v>
      </c>
      <c r="W8" s="135">
        <f>INDEX('Cost per Site'!$C$7:$N$33,MATCH($C8,'Cost per Site'!$C$7:$C$33,0),MATCH('Summary Table (Remove Excluded)'!W$6,'Cost per Site'!$C$7:$N$7,0))</f>
        <v>0</v>
      </c>
      <c r="X8" s="135">
        <f>INDEX('Cost per Site'!$C$7:$N$33,MATCH($C8,'Cost per Site'!$C$7:$C$33,0),MATCH('Summary Table (Remove Excluded)'!X$6,'Cost per Site'!$C$7:$N$7,0))</f>
        <v>0</v>
      </c>
      <c r="Y8" s="135">
        <f>INDEX('Cost per Site'!$C$7:$N$33,MATCH($C8,'Cost per Site'!$C$7:$C$33,0),MATCH('Summary Table (Remove Excluded)'!Y$6,'Cost per Site'!$C$7:$N$7,0))</f>
        <v>5</v>
      </c>
      <c r="Z8" s="135">
        <f>INDEX('Cost per Site'!$C$7:$N$33,MATCH($C8,'Cost per Site'!$C$7:$C$33,0),MATCH('Summary Table (Remove Excluded)'!Z$6,'Cost per Site'!$C$7:$N$7,0))</f>
        <v>2292</v>
      </c>
      <c r="AA8" s="135">
        <f>INDEX('Cost per Site'!$C$7:$N$33,MATCH($C8,'Cost per Site'!$C$7:$C$33,0),MATCH('Summary Table (Remove Excluded)'!AA$6,'Cost per Site'!$C$7:$N$7,0))</f>
        <v>67</v>
      </c>
      <c r="AB8" s="126" t="str">
        <f>INDEX('Cost per Site'!$C$7:$N$33,MATCH($C8,'Cost per Site'!$C$7:$C$33,0),MATCH('Summary Table (Remove Excluded)'!AB$6,'Cost per Site'!$C$7:$N$7,0))</f>
        <v>Third Party</v>
      </c>
      <c r="AC8" s="126">
        <f>INDEX('S6-Summary'!$B$17:$W$43,MATCH($B8,'S6-Summary'!$B$17:$B$43,0),MATCH('Summary Table (Remove Excluded)'!AC$6,'S6-Summary'!$B$17:$W$17,0))</f>
        <v>0</v>
      </c>
      <c r="AD8" s="126">
        <f>INDEX('S6-Summary'!$B$17:$W$43,MATCH($B8,'S6-Summary'!$B$17:$B$43,0),MATCH('Summary Table (Remove Excluded)'!AD$6,'S6-Summary'!$B$17:$W$17,0))</f>
        <v>0</v>
      </c>
      <c r="AE8" s="132">
        <f>INDEX(CBI!$B$10:$H$35,MATCH($C8,CBI!$B$10:$B$35,0),MATCH(AE$6,CBI!$B$10:$H$10,0))</f>
        <v>14</v>
      </c>
      <c r="AF8" s="133" t="s">
        <v>256</v>
      </c>
    </row>
    <row r="9" spans="2:32" x14ac:dyDescent="0.35">
      <c r="B9" s="125">
        <v>3</v>
      </c>
      <c r="C9" s="126">
        <v>3</v>
      </c>
      <c r="D9" s="126" t="str">
        <f>INDEX('DER Concepts'!$B$6:$V$31,MATCH($C9,'DER Concepts'!$B$6:$B$31,0),MATCH(D$6,'DER Concepts'!$B$6:$V$6,0))</f>
        <v>C&amp;I Battery Install Incentive</v>
      </c>
      <c r="E9" s="126" t="str">
        <f>INDEX('DER Concepts'!$B$6:$V$31,MATCH($C9,'DER Concepts'!$B$6:$B$31,0),MATCH(E$6,'DER Concepts'!$B$6:$V$6,0))</f>
        <v>Battery</v>
      </c>
      <c r="F9" s="126" t="str">
        <f>INDEX('DER Concepts'!$B$6:$V$31,MATCH($C9,'DER Concepts'!$B$6:$B$31,0),MATCH(F$6,'DER Concepts'!$B$6:$V$6,0))</f>
        <v>BTM</v>
      </c>
      <c r="G9" s="126" t="str">
        <f>INDEX('DER Concepts'!$B$6:$V$31,MATCH($C9,'DER Concepts'!$B$6:$B$31,0),MATCH(G$6,'DER Concepts'!$B$6:$V$6,0))</f>
        <v>Customer(s)</v>
      </c>
      <c r="H9" s="126" t="str">
        <f>INDEX('DER Concepts'!$B$6:$V$31,MATCH($C9,'DER Concepts'!$B$6:$B$31,0),MATCH(H$6,'DER Concepts'!$B$6:$V$6,0))</f>
        <v>Yes</v>
      </c>
      <c r="I9" s="126" t="str">
        <f>INDEX('DER Concepts'!$B$6:$V$31,MATCH($C9,'DER Concepts'!$B$6:$B$31,0),MATCH(I$6,'DER Concepts'!$B$6:$V$6,0))</f>
        <v>PSE Incentive</v>
      </c>
      <c r="J9" s="126" t="str">
        <f>INDEX('DER Concepts'!$B$6:$V$31,MATCH($C9,'DER Concepts'!$B$6:$B$31,0),MATCH(J$6,'DER Concepts'!$B$6:$V$6,0))</f>
        <v>New</v>
      </c>
      <c r="K9" s="131">
        <f>INDEX('DER Concepts'!$B$6:$V$31,MATCH($C9,'DER Concepts'!$B$6:$B$31,0),MATCH(K$6,'DER Concepts'!$B$6:$V$6,0))</f>
        <v>0.4</v>
      </c>
      <c r="L9" s="131">
        <f>INDEX('DER Concepts'!$B$6:$V$31,MATCH($C9,'DER Concepts'!$B$6:$B$31,0),MATCH(L$6,'DER Concepts'!$B$6:$V$6,0))</f>
        <v>0.6</v>
      </c>
      <c r="M9" s="131">
        <f>INDEX('DER Concepts'!$B$6:$V$31,MATCH($C9,'DER Concepts'!$B$6:$B$31,0),MATCH(M$6,'DER Concepts'!$B$6:$V$6,0))</f>
        <v>0.8</v>
      </c>
      <c r="N9" s="131">
        <f>INDEX('DER Concepts'!$B$6:$V$31,MATCH($C9,'DER Concepts'!$B$6:$B$31,0),MATCH(N$6,'DER Concepts'!$B$6:$V$6,0))</f>
        <v>1.2</v>
      </c>
      <c r="O9" s="131">
        <f>INDEX('DER Concepts'!$B$6:$V$31,MATCH($C9,'DER Concepts'!$B$6:$B$31,0),MATCH(O$6,'DER Concepts'!$B$6:$V$6,0))</f>
        <v>1.6</v>
      </c>
      <c r="P9" s="131">
        <f>INDEX('DER Concepts'!$B$6:$V$31,MATCH($C9,'DER Concepts'!$B$6:$B$31,0),MATCH(P$6,'DER Concepts'!$B$6:$V$6,0))</f>
        <v>2</v>
      </c>
      <c r="Q9" s="131">
        <f>INDEX('DER Concepts'!$B$6:$V$31,MATCH($C9,'DER Concepts'!$B$6:$B$31,0),MATCH(Q$6,'DER Concepts'!$B$6:$V$6,0))</f>
        <v>2.4</v>
      </c>
      <c r="R9" s="131">
        <f>INDEX('DER Concepts'!$B$6:$V$31,MATCH($C9,'DER Concepts'!$B$6:$B$31,0),MATCH(R$6,'DER Concepts'!$B$6:$V$6,0))</f>
        <v>2.8</v>
      </c>
      <c r="S9" s="131">
        <f>INDEX('DER Concepts'!$B$6:$V$31,MATCH($C9,'DER Concepts'!$B$6:$B$31,0),MATCH(S$6,'DER Concepts'!$B$6:$V$6,0))</f>
        <v>3.4</v>
      </c>
      <c r="T9" s="126">
        <f>INDEX('Cost per Site'!$C$7:$N$33,MATCH($C9,'Cost per Site'!$C$7:$C$33,0),MATCH('Summary Table (Remove Excluded)'!T$6,'Cost per Site'!$C$7:$N$7,0))</f>
        <v>200</v>
      </c>
      <c r="U9" s="126">
        <f>INDEX('Cost per Site'!$C$7:$N$33,MATCH($C9,'Cost per Site'!$C$7:$C$33,0),MATCH('Summary Table (Remove Excluded)'!U$6,'Cost per Site'!$C$7:$N$7,0))</f>
        <v>2</v>
      </c>
      <c r="V9" s="126">
        <f>INDEX('Cost per Site'!$C$7:$N$33,MATCH($C9,'Cost per Site'!$C$7:$C$33,0),MATCH('Summary Table (Remove Excluded)'!V$6,'Cost per Site'!$C$7:$N$7,0))</f>
        <v>10</v>
      </c>
      <c r="W9" s="135">
        <f>INDEX('Cost per Site'!$C$7:$N$33,MATCH($C9,'Cost per Site'!$C$7:$C$33,0),MATCH('Summary Table (Remove Excluded)'!W$6,'Cost per Site'!$C$7:$N$7,0))</f>
        <v>0</v>
      </c>
      <c r="X9" s="135">
        <f>INDEX('Cost per Site'!$C$7:$N$33,MATCH($C9,'Cost per Site'!$C$7:$C$33,0),MATCH('Summary Table (Remove Excluded)'!X$6,'Cost per Site'!$C$7:$N$7,0))</f>
        <v>0</v>
      </c>
      <c r="Y9" s="135">
        <f>INDEX('Cost per Site'!$C$7:$N$33,MATCH($C9,'Cost per Site'!$C$7:$C$33,0),MATCH('Summary Table (Remove Excluded)'!Y$6,'Cost per Site'!$C$7:$N$7,0))</f>
        <v>63</v>
      </c>
      <c r="Z9" s="135">
        <f>INDEX('Cost per Site'!$C$7:$N$33,MATCH($C9,'Cost per Site'!$C$7:$C$33,0),MATCH('Summary Table (Remove Excluded)'!Z$6,'Cost per Site'!$C$7:$N$7,0))</f>
        <v>3072</v>
      </c>
      <c r="AA9" s="135">
        <f>INDEX('Cost per Site'!$C$7:$N$33,MATCH($C9,'Cost per Site'!$C$7:$C$33,0),MATCH('Summary Table (Remove Excluded)'!AA$6,'Cost per Site'!$C$7:$N$7,0))</f>
        <v>23</v>
      </c>
      <c r="AB9" s="126" t="str">
        <f>INDEX('Cost per Site'!$C$7:$N$33,MATCH($C9,'Cost per Site'!$C$7:$C$33,0),MATCH('Summary Table (Remove Excluded)'!AB$6,'Cost per Site'!$C$7:$N$7,0))</f>
        <v>Customer</v>
      </c>
      <c r="AC9" s="126">
        <f>INDEX('S6-Summary'!$B$17:$W$43,MATCH($B9,'S6-Summary'!$B$17:$B$43,0),MATCH('Summary Table (Remove Excluded)'!AC$6,'S6-Summary'!$B$17:$W$17,0))</f>
        <v>5.2236608394434931</v>
      </c>
      <c r="AD9" s="126">
        <f>INDEX('S6-Summary'!$B$17:$W$43,MATCH($B9,'S6-Summary'!$B$17:$B$43,0),MATCH('Summary Table (Remove Excluded)'!AD$6,'S6-Summary'!$B$17:$W$17,0))</f>
        <v>0.17005155150118925</v>
      </c>
      <c r="AE9" s="128">
        <f>INDEX(CBI!$B$10:$H$35,MATCH($C9,CBI!$B$10:$B$35,0),MATCH(AE$6,CBI!$B$10:$H$10,0))</f>
        <v>13</v>
      </c>
      <c r="AF9" s="129" t="s">
        <v>256</v>
      </c>
    </row>
    <row r="10" spans="2:32" x14ac:dyDescent="0.35">
      <c r="B10" s="130">
        <v>4</v>
      </c>
      <c r="C10" s="131">
        <v>4</v>
      </c>
      <c r="D10" s="131" t="str">
        <f>INDEX('DER Concepts'!$B$6:$V$31,MATCH($C10,'DER Concepts'!$B$6:$B$31,0),MATCH(D$6,'DER Concepts'!$B$6:$V$6,0))</f>
        <v>C&amp;I Space Leasing for Batteries</v>
      </c>
      <c r="E10" s="131" t="str">
        <f>INDEX('DER Concepts'!$B$6:$V$31,MATCH($C10,'DER Concepts'!$B$6:$B$31,0),MATCH(E$6,'DER Concepts'!$B$6:$V$6,0))</f>
        <v>Battery</v>
      </c>
      <c r="F10" s="131" t="str">
        <f>INDEX('DER Concepts'!$B$6:$V$31,MATCH($C10,'DER Concepts'!$B$6:$B$31,0),MATCH(F$6,'DER Concepts'!$B$6:$V$6,0))</f>
        <v>FOTM</v>
      </c>
      <c r="G10" s="131" t="str">
        <f>INDEX('DER Concepts'!$B$6:$V$31,MATCH($C10,'DER Concepts'!$B$6:$B$31,0),MATCH(G$6,'DER Concepts'!$B$6:$V$6,0))</f>
        <v>PSE</v>
      </c>
      <c r="H10" s="131" t="str">
        <f>INDEX('DER Concepts'!$B$6:$V$31,MATCH($C10,'DER Concepts'!$B$6:$B$31,0),MATCH(H$6,'DER Concepts'!$B$6:$V$6,0))</f>
        <v>Yes</v>
      </c>
      <c r="I10" s="131" t="str">
        <f>INDEX('DER Concepts'!$B$6:$V$31,MATCH($C10,'DER Concepts'!$B$6:$B$31,0),MATCH(I$6,'DER Concepts'!$B$6:$V$6,0))</f>
        <v>PSE Program</v>
      </c>
      <c r="J10" s="131" t="str">
        <f>INDEX('DER Concepts'!$B$6:$V$31,MATCH($C10,'DER Concepts'!$B$6:$B$31,0),MATCH(J$6,'DER Concepts'!$B$6:$V$6,0))</f>
        <v>New</v>
      </c>
      <c r="K10" s="131">
        <f>INDEX('DER Concepts'!$B$6:$V$31,MATCH($C10,'DER Concepts'!$B$6:$B$31,0),MATCH(K$6,'DER Concepts'!$B$6:$V$6,0))</f>
        <v>3.6</v>
      </c>
      <c r="L10" s="131">
        <f>INDEX('DER Concepts'!$B$6:$V$31,MATCH($C10,'DER Concepts'!$B$6:$B$31,0),MATCH(L$6,'DER Concepts'!$B$6:$V$6,0))</f>
        <v>7.2</v>
      </c>
      <c r="M10" s="131">
        <f>INDEX('DER Concepts'!$B$6:$V$31,MATCH($C10,'DER Concepts'!$B$6:$B$31,0),MATCH(M$6,'DER Concepts'!$B$6:$V$6,0))</f>
        <v>7.2</v>
      </c>
      <c r="N10" s="131">
        <f>INDEX('DER Concepts'!$B$6:$V$31,MATCH($C10,'DER Concepts'!$B$6:$B$31,0),MATCH(N$6,'DER Concepts'!$B$6:$V$6,0))</f>
        <v>7.2</v>
      </c>
      <c r="O10" s="131">
        <f>INDEX('DER Concepts'!$B$6:$V$31,MATCH($C10,'DER Concepts'!$B$6:$B$31,0),MATCH(O$6,'DER Concepts'!$B$6:$V$6,0))</f>
        <v>14.4</v>
      </c>
      <c r="P10" s="131">
        <f>INDEX('DER Concepts'!$B$6:$V$31,MATCH($C10,'DER Concepts'!$B$6:$B$31,0),MATCH(P$6,'DER Concepts'!$B$6:$V$6,0))</f>
        <v>14.4</v>
      </c>
      <c r="Q10" s="131">
        <f>INDEX('DER Concepts'!$B$6:$V$31,MATCH($C10,'DER Concepts'!$B$6:$B$31,0),MATCH(Q$6,'DER Concepts'!$B$6:$V$6,0))</f>
        <v>28.8</v>
      </c>
      <c r="R10" s="131">
        <f>INDEX('DER Concepts'!$B$6:$V$31,MATCH($C10,'DER Concepts'!$B$6:$B$31,0),MATCH(R$6,'DER Concepts'!$B$6:$V$6,0))</f>
        <v>36</v>
      </c>
      <c r="S10" s="131">
        <f>INDEX('DER Concepts'!$B$6:$V$31,MATCH($C10,'DER Concepts'!$B$6:$B$31,0),MATCH(S$6,'DER Concepts'!$B$6:$V$6,0))</f>
        <v>36</v>
      </c>
      <c r="T10" s="126">
        <f>INDEX('Cost per Site'!$C$7:$N$33,MATCH($C10,'Cost per Site'!$C$7:$C$33,0),MATCH('Summary Table (Remove Excluded)'!T$6,'Cost per Site'!$C$7:$N$7,0))</f>
        <v>200</v>
      </c>
      <c r="U10" s="126">
        <f>INDEX('Cost per Site'!$C$7:$N$33,MATCH($C10,'Cost per Site'!$C$7:$C$33,0),MATCH('Summary Table (Remove Excluded)'!U$6,'Cost per Site'!$C$7:$N$7,0))</f>
        <v>4</v>
      </c>
      <c r="V10" s="126">
        <f>INDEX('Cost per Site'!$C$7:$N$33,MATCH($C10,'Cost per Site'!$C$7:$C$33,0),MATCH('Summary Table (Remove Excluded)'!V$6,'Cost per Site'!$C$7:$N$7,0))</f>
        <v>10</v>
      </c>
      <c r="W10" s="135">
        <f>INDEX('Cost per Site'!$C$7:$N$33,MATCH($C10,'Cost per Site'!$C$7:$C$33,0),MATCH('Summary Table (Remove Excluded)'!W$6,'Cost per Site'!$C$7:$N$7,0))</f>
        <v>4802</v>
      </c>
      <c r="X10" s="135">
        <f>INDEX('Cost per Site'!$C$7:$N$33,MATCH($C10,'Cost per Site'!$C$7:$C$33,0),MATCH('Summary Table (Remove Excluded)'!X$6,'Cost per Site'!$C$7:$N$7,0))</f>
        <v>217</v>
      </c>
      <c r="Y10" s="135">
        <f>INDEX('Cost per Site'!$C$7:$N$33,MATCH($C10,'Cost per Site'!$C$7:$C$33,0),MATCH('Summary Table (Remove Excluded)'!Y$6,'Cost per Site'!$C$7:$N$7,0))</f>
        <v>77</v>
      </c>
      <c r="Z10" s="135">
        <f>INDEX('Cost per Site'!$C$7:$N$33,MATCH($C10,'Cost per Site'!$C$7:$C$33,0),MATCH('Summary Table (Remove Excluded)'!Z$6,'Cost per Site'!$C$7:$N$7,0))</f>
        <v>0</v>
      </c>
      <c r="AA10" s="135">
        <f>INDEX('Cost per Site'!$C$7:$N$33,MATCH($C10,'Cost per Site'!$C$7:$C$33,0),MATCH('Summary Table (Remove Excluded)'!AA$6,'Cost per Site'!$C$7:$N$7,0))</f>
        <v>0</v>
      </c>
      <c r="AB10" s="126" t="str">
        <f>INDEX('Cost per Site'!$C$7:$N$33,MATCH($C10,'Cost per Site'!$C$7:$C$33,0),MATCH('Summary Table (Remove Excluded)'!AB$6,'Cost per Site'!$C$7:$N$7,0))</f>
        <v>-</v>
      </c>
      <c r="AC10" s="126">
        <f>INDEX('S6-Summary'!$B$17:$W$43,MATCH($B10,'S6-Summary'!$B$17:$B$43,0),MATCH('Summary Table (Remove Excluded)'!AC$6,'S6-Summary'!$B$17:$W$17,0))</f>
        <v>26.334972555837133</v>
      </c>
      <c r="AD10" s="126">
        <f>INDEX('S6-Summary'!$B$17:$W$43,MATCH($B10,'S6-Summary'!$B$17:$B$43,0),MATCH('Summary Table (Remove Excluded)'!AD$6,'S6-Summary'!$B$17:$W$17,0))</f>
        <v>0.2011</v>
      </c>
      <c r="AE10" s="132">
        <f>INDEX(CBI!$B$10:$H$35,MATCH($C10,CBI!$B$10:$B$35,0),MATCH(AE$6,CBI!$B$10:$H$10,0))</f>
        <v>17</v>
      </c>
      <c r="AF10" s="133" t="s">
        <v>128</v>
      </c>
    </row>
    <row r="11" spans="2:32" x14ac:dyDescent="0.35">
      <c r="B11" s="125">
        <v>5</v>
      </c>
      <c r="C11" s="126">
        <v>5</v>
      </c>
      <c r="D11" s="126" t="str">
        <f>INDEX('DER Concepts'!$B$6:$V$31,MATCH($C11,'DER Concepts'!$B$6:$B$31,0),MATCH(D$6,'DER Concepts'!$B$6:$V$6,0))</f>
        <v>Multi-Family Unit Battery Program</v>
      </c>
      <c r="E11" s="126" t="str">
        <f>INDEX('DER Concepts'!$B$6:$V$31,MATCH($C11,'DER Concepts'!$B$6:$B$31,0),MATCH(E$6,'DER Concepts'!$B$6:$V$6,0))</f>
        <v>Battery</v>
      </c>
      <c r="F11" s="126" t="str">
        <f>INDEX('DER Concepts'!$B$6:$V$31,MATCH($C11,'DER Concepts'!$B$6:$B$31,0),MATCH(F$6,'DER Concepts'!$B$6:$V$6,0))</f>
        <v>BTM</v>
      </c>
      <c r="G11" s="126" t="str">
        <f>INDEX('DER Concepts'!$B$6:$V$31,MATCH($C11,'DER Concepts'!$B$6:$B$31,0),MATCH(G$6,'DER Concepts'!$B$6:$V$6,0))</f>
        <v>PSE or PPA</v>
      </c>
      <c r="H11" s="126" t="str">
        <f>INDEX('DER Concepts'!$B$6:$V$31,MATCH($C11,'DER Concepts'!$B$6:$B$31,0),MATCH(H$6,'DER Concepts'!$B$6:$V$6,0))</f>
        <v>No</v>
      </c>
      <c r="I11" s="126" t="str">
        <f>INDEX('DER Concepts'!$B$6:$V$31,MATCH($C11,'DER Concepts'!$B$6:$B$31,0),MATCH(I$6,'DER Concepts'!$B$6:$V$6,0))</f>
        <v>PSE Program / 3rd Party Offering</v>
      </c>
      <c r="J11" s="126" t="str">
        <f>INDEX('DER Concepts'!$B$6:$V$31,MATCH($C11,'DER Concepts'!$B$6:$B$31,0),MATCH(J$6,'DER Concepts'!$B$6:$V$6,0))</f>
        <v>New</v>
      </c>
      <c r="K11" s="131">
        <f>INDEX('DER Concepts'!$B$6:$V$31,MATCH($C11,'DER Concepts'!$B$6:$B$31,0),MATCH(K$6,'DER Concepts'!$B$6:$V$6,0))</f>
        <v>0.5</v>
      </c>
      <c r="L11" s="131">
        <f>INDEX('DER Concepts'!$B$6:$V$31,MATCH($C11,'DER Concepts'!$B$6:$B$31,0),MATCH(L$6,'DER Concepts'!$B$6:$V$6,0))</f>
        <v>0.75</v>
      </c>
      <c r="M11" s="131">
        <f>INDEX('DER Concepts'!$B$6:$V$31,MATCH($C11,'DER Concepts'!$B$6:$B$31,0),MATCH(M$6,'DER Concepts'!$B$6:$V$6,0))</f>
        <v>0.75</v>
      </c>
      <c r="N11" s="131">
        <f>INDEX('DER Concepts'!$B$6:$V$31,MATCH($C11,'DER Concepts'!$B$6:$B$31,0),MATCH(N$6,'DER Concepts'!$B$6:$V$6,0))</f>
        <v>0.75</v>
      </c>
      <c r="O11" s="131">
        <f>INDEX('DER Concepts'!$B$6:$V$31,MATCH($C11,'DER Concepts'!$B$6:$B$31,0),MATCH(O$6,'DER Concepts'!$B$6:$V$6,0))</f>
        <v>1.75</v>
      </c>
      <c r="P11" s="131">
        <f>INDEX('DER Concepts'!$B$6:$V$31,MATCH($C11,'DER Concepts'!$B$6:$B$31,0),MATCH(P$6,'DER Concepts'!$B$6:$V$6,0))</f>
        <v>1.75</v>
      </c>
      <c r="Q11" s="131">
        <f>INDEX('DER Concepts'!$B$6:$V$31,MATCH($C11,'DER Concepts'!$B$6:$B$31,0),MATCH(Q$6,'DER Concepts'!$B$6:$V$6,0))</f>
        <v>3.25</v>
      </c>
      <c r="R11" s="131">
        <f>INDEX('DER Concepts'!$B$6:$V$31,MATCH($C11,'DER Concepts'!$B$6:$B$31,0),MATCH(R$6,'DER Concepts'!$B$6:$V$6,0))</f>
        <v>4.25</v>
      </c>
      <c r="S11" s="131">
        <f>INDEX('DER Concepts'!$B$6:$V$31,MATCH($C11,'DER Concepts'!$B$6:$B$31,0),MATCH(S$6,'DER Concepts'!$B$6:$V$6,0))</f>
        <v>4.25</v>
      </c>
      <c r="T11" s="126">
        <f>INDEX('Cost per Site'!$C$7:$N$33,MATCH($C11,'Cost per Site'!$C$7:$C$33,0),MATCH('Summary Table (Remove Excluded)'!T$6,'Cost per Site'!$C$7:$N$7,0))</f>
        <v>250</v>
      </c>
      <c r="U11" s="126">
        <f>INDEX('Cost per Site'!$C$7:$N$33,MATCH($C11,'Cost per Site'!$C$7:$C$33,0),MATCH('Summary Table (Remove Excluded)'!U$6,'Cost per Site'!$C$7:$N$7,0))</f>
        <v>3</v>
      </c>
      <c r="V11" s="126">
        <f>INDEX('Cost per Site'!$C$7:$N$33,MATCH($C11,'Cost per Site'!$C$7:$C$33,0),MATCH('Summary Table (Remove Excluded)'!V$6,'Cost per Site'!$C$7:$N$7,0))</f>
        <v>10</v>
      </c>
      <c r="W11" s="135">
        <f>INDEX('Cost per Site'!$C$7:$N$33,MATCH($C11,'Cost per Site'!$C$7:$C$33,0),MATCH('Summary Table (Remove Excluded)'!W$6,'Cost per Site'!$C$7:$N$7,0))</f>
        <v>3782</v>
      </c>
      <c r="X11" s="135">
        <f>INDEX('Cost per Site'!$C$7:$N$33,MATCH($C11,'Cost per Site'!$C$7:$C$33,0),MATCH('Summary Table (Remove Excluded)'!X$6,'Cost per Site'!$C$7:$N$7,0))</f>
        <v>11</v>
      </c>
      <c r="Y11" s="135">
        <f>INDEX('Cost per Site'!$C$7:$N$33,MATCH($C11,'Cost per Site'!$C$7:$C$33,0),MATCH('Summary Table (Remove Excluded)'!Y$6,'Cost per Site'!$C$7:$N$7,0))</f>
        <v>61</v>
      </c>
      <c r="Z11" s="135">
        <f>INDEX('Cost per Site'!$C$7:$N$33,MATCH($C11,'Cost per Site'!$C$7:$C$33,0),MATCH('Summary Table (Remove Excluded)'!Z$6,'Cost per Site'!$C$7:$N$7,0))</f>
        <v>0</v>
      </c>
      <c r="AA11" s="135">
        <f>INDEX('Cost per Site'!$C$7:$N$33,MATCH($C11,'Cost per Site'!$C$7:$C$33,0),MATCH('Summary Table (Remove Excluded)'!AA$6,'Cost per Site'!$C$7:$N$7,0))</f>
        <v>0</v>
      </c>
      <c r="AB11" s="126" t="str">
        <f>INDEX('Cost per Site'!$C$7:$N$33,MATCH($C11,'Cost per Site'!$C$7:$C$33,0),MATCH('Summary Table (Remove Excluded)'!AB$6,'Cost per Site'!$C$7:$N$7,0))</f>
        <v>Customer</v>
      </c>
      <c r="AC11" s="126">
        <f>INDEX('S6-Summary'!$B$17:$W$43,MATCH($B11,'S6-Summary'!$B$17:$B$43,0),MATCH('Summary Table (Remove Excluded)'!AC$6,'S6-Summary'!$B$17:$W$17,0))</f>
        <v>14.188653289794923</v>
      </c>
      <c r="AD11" s="126">
        <f>INDEX('S6-Summary'!$B$17:$W$43,MATCH($B11,'S6-Summary'!$B$17:$B$43,0),MATCH('Summary Table (Remove Excluded)'!AD$6,'S6-Summary'!$B$17:$W$17,0))</f>
        <v>0.1842</v>
      </c>
      <c r="AE11" s="128">
        <f>INDEX(CBI!$B$10:$H$35,MATCH($C11,CBI!$B$10:$B$35,0),MATCH(AE$6,CBI!$B$10:$H$10,0))</f>
        <v>17</v>
      </c>
      <c r="AF11" s="129" t="s">
        <v>256</v>
      </c>
    </row>
    <row r="12" spans="2:32" x14ac:dyDescent="0.35">
      <c r="B12" s="130">
        <v>6</v>
      </c>
      <c r="C12" s="131">
        <v>6</v>
      </c>
      <c r="D12" s="131" t="str">
        <f>INDEX('DER Concepts'!$B$6:$V$31,MATCH($C12,'DER Concepts'!$B$6:$B$31,0),MATCH(D$6,'DER Concepts'!$B$6:$V$6,0))</f>
        <v>PSE Mobile Batteries</v>
      </c>
      <c r="E12" s="131" t="str">
        <f>INDEX('DER Concepts'!$B$6:$V$31,MATCH($C12,'DER Concepts'!$B$6:$B$31,0),MATCH(E$6,'DER Concepts'!$B$6:$V$6,0))</f>
        <v>Battery</v>
      </c>
      <c r="F12" s="131" t="str">
        <f>INDEX('DER Concepts'!$B$6:$V$31,MATCH($C12,'DER Concepts'!$B$6:$B$31,0),MATCH(F$6,'DER Concepts'!$B$6:$V$6,0))</f>
        <v>FOTM</v>
      </c>
      <c r="G12" s="131" t="str">
        <f>INDEX('DER Concepts'!$B$6:$V$31,MATCH($C12,'DER Concepts'!$B$6:$B$31,0),MATCH(G$6,'DER Concepts'!$B$6:$V$6,0))</f>
        <v>PSE</v>
      </c>
      <c r="H12" s="131" t="str">
        <f>INDEX('DER Concepts'!$B$6:$V$31,MATCH($C12,'DER Concepts'!$B$6:$B$31,0),MATCH(H$6,'DER Concepts'!$B$6:$V$6,0))</f>
        <v>No</v>
      </c>
      <c r="I12" s="131" t="str">
        <f>INDEX('DER Concepts'!$B$6:$V$31,MATCH($C12,'DER Concepts'!$B$6:$B$31,0),MATCH(I$6,'DER Concepts'!$B$6:$V$6,0))</f>
        <v>PSE Program</v>
      </c>
      <c r="J12" s="131" t="str">
        <f>INDEX('DER Concepts'!$B$6:$V$31,MATCH($C12,'DER Concepts'!$B$6:$B$31,0),MATCH(J$6,'DER Concepts'!$B$6:$V$6,0))</f>
        <v>Under Development</v>
      </c>
      <c r="K12" s="131">
        <f>INDEX('DER Concepts'!$B$6:$V$31,MATCH($C12,'DER Concepts'!$B$6:$B$31,0),MATCH(K$6,'DER Concepts'!$B$6:$V$6,0))</f>
        <v>0</v>
      </c>
      <c r="L12" s="131">
        <f>INDEX('DER Concepts'!$B$6:$V$31,MATCH($C12,'DER Concepts'!$B$6:$B$31,0),MATCH(L$6,'DER Concepts'!$B$6:$V$6,0))</f>
        <v>0</v>
      </c>
      <c r="M12" s="131">
        <f>INDEX('DER Concepts'!$B$6:$V$31,MATCH($C12,'DER Concepts'!$B$6:$B$31,0),MATCH(M$6,'DER Concepts'!$B$6:$V$6,0))</f>
        <v>0</v>
      </c>
      <c r="N12" s="131">
        <f>INDEX('DER Concepts'!$B$6:$V$31,MATCH($C12,'DER Concepts'!$B$6:$B$31,0),MATCH(N$6,'DER Concepts'!$B$6:$V$6,0))</f>
        <v>0</v>
      </c>
      <c r="O12" s="131">
        <f>INDEX('DER Concepts'!$B$6:$V$31,MATCH($C12,'DER Concepts'!$B$6:$B$31,0),MATCH(O$6,'DER Concepts'!$B$6:$V$6,0))</f>
        <v>0</v>
      </c>
      <c r="P12" s="131">
        <f>INDEX('DER Concepts'!$B$6:$V$31,MATCH($C12,'DER Concepts'!$B$6:$B$31,0),MATCH(P$6,'DER Concepts'!$B$6:$V$6,0))</f>
        <v>0</v>
      </c>
      <c r="Q12" s="131">
        <f>INDEX('DER Concepts'!$B$6:$V$31,MATCH($C12,'DER Concepts'!$B$6:$B$31,0),MATCH(Q$6,'DER Concepts'!$B$6:$V$6,0))</f>
        <v>0</v>
      </c>
      <c r="R12" s="131">
        <f>INDEX('DER Concepts'!$B$6:$V$31,MATCH($C12,'DER Concepts'!$B$6:$B$31,0),MATCH(R$6,'DER Concepts'!$B$6:$V$6,0))</f>
        <v>0</v>
      </c>
      <c r="S12" s="131">
        <f>INDEX('DER Concepts'!$B$6:$V$31,MATCH($C12,'DER Concepts'!$B$6:$B$31,0),MATCH(S$6,'DER Concepts'!$B$6:$V$6,0))</f>
        <v>0</v>
      </c>
      <c r="T12" s="126">
        <f>INDEX('Cost per Site'!$C$7:$N$33,MATCH($C12,'Cost per Site'!$C$7:$C$33,0),MATCH('Summary Table (Remove Excluded)'!T$6,'Cost per Site'!$C$7:$N$7,0))</f>
        <v>500</v>
      </c>
      <c r="U12" s="126">
        <f>INDEX('Cost per Site'!$C$7:$N$33,MATCH($C12,'Cost per Site'!$C$7:$C$33,0),MATCH('Summary Table (Remove Excluded)'!U$6,'Cost per Site'!$C$7:$N$7,0))</f>
        <v>2</v>
      </c>
      <c r="V12" s="126">
        <f>INDEX('Cost per Site'!$C$7:$N$33,MATCH($C12,'Cost per Site'!$C$7:$C$33,0),MATCH('Summary Table (Remove Excluded)'!V$6,'Cost per Site'!$C$7:$N$7,0))</f>
        <v>10</v>
      </c>
      <c r="W12" s="135">
        <f>INDEX('Cost per Site'!$C$7:$N$33,MATCH($C12,'Cost per Site'!$C$7:$C$33,0),MATCH('Summary Table (Remove Excluded)'!W$6,'Cost per Site'!$C$7:$N$7,0))</f>
        <v>1784</v>
      </c>
      <c r="X12" s="135">
        <f>INDEX('Cost per Site'!$C$7:$N$33,MATCH($C12,'Cost per Site'!$C$7:$C$33,0),MATCH('Summary Table (Remove Excluded)'!X$6,'Cost per Site'!$C$7:$N$7,0))</f>
        <v>19</v>
      </c>
      <c r="Y12" s="135">
        <f>INDEX('Cost per Site'!$C$7:$N$33,MATCH($C12,'Cost per Site'!$C$7:$C$33,0),MATCH('Summary Table (Remove Excluded)'!Y$6,'Cost per Site'!$C$7:$N$7,0))</f>
        <v>28</v>
      </c>
      <c r="Z12" s="135">
        <f>INDEX('Cost per Site'!$C$7:$N$33,MATCH($C12,'Cost per Site'!$C$7:$C$33,0),MATCH('Summary Table (Remove Excluded)'!Z$6,'Cost per Site'!$C$7:$N$7,0))</f>
        <v>0</v>
      </c>
      <c r="AA12" s="135">
        <f>INDEX('Cost per Site'!$C$7:$N$33,MATCH($C12,'Cost per Site'!$C$7:$C$33,0),MATCH('Summary Table (Remove Excluded)'!AA$6,'Cost per Site'!$C$7:$N$7,0))</f>
        <v>0</v>
      </c>
      <c r="AB12" s="126" t="str">
        <f>INDEX('Cost per Site'!$C$7:$N$33,MATCH($C12,'Cost per Site'!$C$7:$C$33,0),MATCH('Summary Table (Remove Excluded)'!AB$6,'Cost per Site'!$C$7:$N$7,0))</f>
        <v>-</v>
      </c>
      <c r="AC12" s="126">
        <f>INDEX('S6-Summary'!$B$17:$W$43,MATCH($B12,'S6-Summary'!$B$17:$B$43,0),MATCH('Summary Table (Remove Excluded)'!AC$6,'S6-Summary'!$B$17:$W$17,0))</f>
        <v>6.3874646759033205</v>
      </c>
      <c r="AD12" s="126">
        <f>INDEX('S6-Summary'!$B$17:$W$43,MATCH($B12,'S6-Summary'!$B$17:$B$43,0),MATCH('Summary Table (Remove Excluded)'!AD$6,'S6-Summary'!$B$17:$W$17,0))</f>
        <v>0.4123</v>
      </c>
      <c r="AE12" s="132">
        <f>INDEX(CBI!$B$10:$H$35,MATCH($C12,CBI!$B$10:$B$35,0),MATCH(AE$6,CBI!$B$10:$H$10,0))</f>
        <v>12</v>
      </c>
      <c r="AF12" s="133" t="s">
        <v>256</v>
      </c>
    </row>
    <row r="13" spans="2:32" x14ac:dyDescent="0.35">
      <c r="B13" s="125">
        <v>7</v>
      </c>
      <c r="C13" s="126">
        <v>7</v>
      </c>
      <c r="D13" s="126" t="str">
        <f>INDEX('DER Concepts'!$B$6:$V$31,MATCH($C13,'DER Concepts'!$B$6:$B$31,0),MATCH(D$6,'DER Concepts'!$B$6:$V$6,0))</f>
        <v>PSE Substation Batteries</v>
      </c>
      <c r="E13" s="126" t="str">
        <f>INDEX('DER Concepts'!$B$6:$V$31,MATCH($C13,'DER Concepts'!$B$6:$B$31,0),MATCH(E$6,'DER Concepts'!$B$6:$V$6,0))</f>
        <v>Battery</v>
      </c>
      <c r="F13" s="126" t="str">
        <f>INDEX('DER Concepts'!$B$6:$V$31,MATCH($C13,'DER Concepts'!$B$6:$B$31,0),MATCH(F$6,'DER Concepts'!$B$6:$V$6,0))</f>
        <v>FOTM</v>
      </c>
      <c r="G13" s="126" t="str">
        <f>INDEX('DER Concepts'!$B$6:$V$31,MATCH($C13,'DER Concepts'!$B$6:$B$31,0),MATCH(G$6,'DER Concepts'!$B$6:$V$6,0))</f>
        <v>PSE</v>
      </c>
      <c r="H13" s="126" t="str">
        <f>INDEX('DER Concepts'!$B$6:$V$31,MATCH($C13,'DER Concepts'!$B$6:$B$31,0),MATCH(H$6,'DER Concepts'!$B$6:$V$6,0))</f>
        <v>No</v>
      </c>
      <c r="I13" s="126" t="str">
        <f>INDEX('DER Concepts'!$B$6:$V$31,MATCH($C13,'DER Concepts'!$B$6:$B$31,0),MATCH(I$6,'DER Concepts'!$B$6:$V$6,0))</f>
        <v>Portfolio Resource</v>
      </c>
      <c r="J13" s="126" t="str">
        <f>INDEX('DER Concepts'!$B$6:$V$31,MATCH($C13,'DER Concepts'!$B$6:$B$31,0),MATCH(J$6,'DER Concepts'!$B$6:$V$6,0))</f>
        <v>Under Development (in progress on Bainbridge)</v>
      </c>
      <c r="K13" s="131">
        <f>INDEX('DER Concepts'!$B$6:$V$31,MATCH($C13,'DER Concepts'!$B$6:$B$31,0),MATCH(K$6,'DER Concepts'!$B$6:$V$6,0))</f>
        <v>0</v>
      </c>
      <c r="L13" s="131">
        <f>INDEX('DER Concepts'!$B$6:$V$31,MATCH($C13,'DER Concepts'!$B$6:$B$31,0),MATCH(L$6,'DER Concepts'!$B$6:$V$6,0))</f>
        <v>0</v>
      </c>
      <c r="M13" s="131">
        <f>INDEX('DER Concepts'!$B$6:$V$31,MATCH($C13,'DER Concepts'!$B$6:$B$31,0),MATCH(M$6,'DER Concepts'!$B$6:$V$6,0))</f>
        <v>0</v>
      </c>
      <c r="N13" s="131">
        <f>INDEX('DER Concepts'!$B$6:$V$31,MATCH($C13,'DER Concepts'!$B$6:$B$31,0),MATCH(N$6,'DER Concepts'!$B$6:$V$6,0))</f>
        <v>0</v>
      </c>
      <c r="O13" s="131">
        <f>INDEX('DER Concepts'!$B$6:$V$31,MATCH($C13,'DER Concepts'!$B$6:$B$31,0),MATCH(O$6,'DER Concepts'!$B$6:$V$6,0))</f>
        <v>0</v>
      </c>
      <c r="P13" s="131">
        <f>INDEX('DER Concepts'!$B$6:$V$31,MATCH($C13,'DER Concepts'!$B$6:$B$31,0),MATCH(P$6,'DER Concepts'!$B$6:$V$6,0))</f>
        <v>0</v>
      </c>
      <c r="Q13" s="131">
        <f>INDEX('DER Concepts'!$B$6:$V$31,MATCH($C13,'DER Concepts'!$B$6:$B$31,0),MATCH(Q$6,'DER Concepts'!$B$6:$V$6,0))</f>
        <v>0</v>
      </c>
      <c r="R13" s="131">
        <f>INDEX('DER Concepts'!$B$6:$V$31,MATCH($C13,'DER Concepts'!$B$6:$B$31,0),MATCH(R$6,'DER Concepts'!$B$6:$V$6,0))</f>
        <v>0</v>
      </c>
      <c r="S13" s="131">
        <f>INDEX('DER Concepts'!$B$6:$V$31,MATCH($C13,'DER Concepts'!$B$6:$B$31,0),MATCH(S$6,'DER Concepts'!$B$6:$V$6,0))</f>
        <v>0</v>
      </c>
      <c r="T13" s="126">
        <f>INDEX('Cost per Site'!$C$7:$N$33,MATCH($C13,'Cost per Site'!$C$7:$C$33,0),MATCH('Summary Table (Remove Excluded)'!T$6,'Cost per Site'!$C$7:$N$7,0))</f>
        <v>3300</v>
      </c>
      <c r="U13" s="126">
        <f>INDEX('Cost per Site'!$C$7:$N$33,MATCH($C13,'Cost per Site'!$C$7:$C$33,0),MATCH('Summary Table (Remove Excluded)'!U$6,'Cost per Site'!$C$7:$N$7,0))</f>
        <v>2</v>
      </c>
      <c r="V13" s="126">
        <f>INDEX('Cost per Site'!$C$7:$N$33,MATCH($C13,'Cost per Site'!$C$7:$C$33,0),MATCH('Summary Table (Remove Excluded)'!V$6,'Cost per Site'!$C$7:$N$7,0))</f>
        <v>10</v>
      </c>
      <c r="W13" s="135">
        <f>INDEX('Cost per Site'!$C$7:$N$33,MATCH($C13,'Cost per Site'!$C$7:$C$33,0),MATCH('Summary Table (Remove Excluded)'!W$6,'Cost per Site'!$C$7:$N$7,0))</f>
        <v>1339</v>
      </c>
      <c r="X13" s="135">
        <f>INDEX('Cost per Site'!$C$7:$N$33,MATCH($C13,'Cost per Site'!$C$7:$C$33,0),MATCH('Summary Table (Remove Excluded)'!X$6,'Cost per Site'!$C$7:$N$7,0))</f>
        <v>20</v>
      </c>
      <c r="Y13" s="135">
        <f>INDEX('Cost per Site'!$C$7:$N$33,MATCH($C13,'Cost per Site'!$C$7:$C$33,0),MATCH('Summary Table (Remove Excluded)'!Y$6,'Cost per Site'!$C$7:$N$7,0))</f>
        <v>18</v>
      </c>
      <c r="Z13" s="135">
        <f>INDEX('Cost per Site'!$C$7:$N$33,MATCH($C13,'Cost per Site'!$C$7:$C$33,0),MATCH('Summary Table (Remove Excluded)'!Z$6,'Cost per Site'!$C$7:$N$7,0))</f>
        <v>0</v>
      </c>
      <c r="AA13" s="135">
        <f>INDEX('Cost per Site'!$C$7:$N$33,MATCH($C13,'Cost per Site'!$C$7:$C$33,0),MATCH('Summary Table (Remove Excluded)'!AA$6,'Cost per Site'!$C$7:$N$7,0))</f>
        <v>0</v>
      </c>
      <c r="AB13" s="126" t="str">
        <f>INDEX('Cost per Site'!$C$7:$N$33,MATCH($C13,'Cost per Site'!$C$7:$C$33,0),MATCH('Summary Table (Remove Excluded)'!AB$6,'Cost per Site'!$C$7:$N$7,0))</f>
        <v>-</v>
      </c>
      <c r="AC13" s="126">
        <f>INDEX('S6-Summary'!$B$17:$W$43,MATCH($B13,'S6-Summary'!$B$17:$B$43,0),MATCH('Summary Table (Remove Excluded)'!AC$6,'S6-Summary'!$B$17:$W$17,0))</f>
        <v>4.712471923828125</v>
      </c>
      <c r="AD13" s="126">
        <f>INDEX('S6-Summary'!$B$17:$W$43,MATCH($B13,'S6-Summary'!$B$17:$B$43,0),MATCH('Summary Table (Remove Excluded)'!AD$6,'S6-Summary'!$B$17:$W$17,0))</f>
        <v>0.46</v>
      </c>
      <c r="AE13" s="128">
        <f>INDEX(CBI!$B$10:$H$35,MATCH($C13,CBI!$B$10:$B$35,0),MATCH(AE$6,CBI!$B$10:$H$10,0))</f>
        <v>12</v>
      </c>
      <c r="AF13" s="129" t="s">
        <v>256</v>
      </c>
    </row>
    <row r="14" spans="2:32" x14ac:dyDescent="0.35">
      <c r="B14" s="130">
        <v>8</v>
      </c>
      <c r="C14" s="131">
        <v>8</v>
      </c>
      <c r="D14" s="131" t="str">
        <f>INDEX('DER Concepts'!$B$6:$V$31,MATCH($C14,'DER Concepts'!$B$6:$B$31,0),MATCH(D$6,'DER Concepts'!$B$6:$V$6,0))</f>
        <v>PSE Utility-Scale Distributed Battery Stations</v>
      </c>
      <c r="E14" s="131" t="str">
        <f>INDEX('DER Concepts'!$B$6:$V$31,MATCH($C14,'DER Concepts'!$B$6:$B$31,0),MATCH(E$6,'DER Concepts'!$B$6:$V$6,0))</f>
        <v>Battery</v>
      </c>
      <c r="F14" s="131" t="str">
        <f>INDEX('DER Concepts'!$B$6:$V$31,MATCH($C14,'DER Concepts'!$B$6:$B$31,0),MATCH(F$6,'DER Concepts'!$B$6:$V$6,0))</f>
        <v>FOTM</v>
      </c>
      <c r="G14" s="131" t="str">
        <f>INDEX('DER Concepts'!$B$6:$V$31,MATCH($C14,'DER Concepts'!$B$6:$B$31,0),MATCH(G$6,'DER Concepts'!$B$6:$V$6,0))</f>
        <v>PSE</v>
      </c>
      <c r="H14" s="131" t="str">
        <f>INDEX('DER Concepts'!$B$6:$V$31,MATCH($C14,'DER Concepts'!$B$6:$B$31,0),MATCH(H$6,'DER Concepts'!$B$6:$V$6,0))</f>
        <v>No</v>
      </c>
      <c r="I14" s="131" t="str">
        <f>INDEX('DER Concepts'!$B$6:$V$31,MATCH($C14,'DER Concepts'!$B$6:$B$31,0),MATCH(I$6,'DER Concepts'!$B$6:$V$6,0))</f>
        <v>Portfolio Resource</v>
      </c>
      <c r="J14" s="131" t="str">
        <f>INDEX('DER Concepts'!$B$6:$V$31,MATCH($C14,'DER Concepts'!$B$6:$B$31,0),MATCH(J$6,'DER Concepts'!$B$6:$V$6,0))</f>
        <v>Under Development</v>
      </c>
      <c r="K14" s="131">
        <f>INDEX('DER Concepts'!$B$6:$V$31,MATCH($C14,'DER Concepts'!$B$6:$B$31,0),MATCH(K$6,'DER Concepts'!$B$6:$V$6,0))</f>
        <v>0</v>
      </c>
      <c r="L14" s="131">
        <f>INDEX('DER Concepts'!$B$6:$V$31,MATCH($C14,'DER Concepts'!$B$6:$B$31,0),MATCH(L$6,'DER Concepts'!$B$6:$V$6,0))</f>
        <v>0</v>
      </c>
      <c r="M14" s="131">
        <f>INDEX('DER Concepts'!$B$6:$V$31,MATCH($C14,'DER Concepts'!$B$6:$B$31,0),MATCH(M$6,'DER Concepts'!$B$6:$V$6,0))</f>
        <v>0</v>
      </c>
      <c r="N14" s="131">
        <f>INDEX('DER Concepts'!$B$6:$V$31,MATCH($C14,'DER Concepts'!$B$6:$B$31,0),MATCH(N$6,'DER Concepts'!$B$6:$V$6,0))</f>
        <v>0</v>
      </c>
      <c r="O14" s="131">
        <f>INDEX('DER Concepts'!$B$6:$V$31,MATCH($C14,'DER Concepts'!$B$6:$B$31,0),MATCH(O$6,'DER Concepts'!$B$6:$V$6,0))</f>
        <v>0</v>
      </c>
      <c r="P14" s="131">
        <f>INDEX('DER Concepts'!$B$6:$V$31,MATCH($C14,'DER Concepts'!$B$6:$B$31,0),MATCH(P$6,'DER Concepts'!$B$6:$V$6,0))</f>
        <v>0</v>
      </c>
      <c r="Q14" s="131">
        <f>INDEX('DER Concepts'!$B$6:$V$31,MATCH($C14,'DER Concepts'!$B$6:$B$31,0),MATCH(Q$6,'DER Concepts'!$B$6:$V$6,0))</f>
        <v>0</v>
      </c>
      <c r="R14" s="131">
        <f>INDEX('DER Concepts'!$B$6:$V$31,MATCH($C14,'DER Concepts'!$B$6:$B$31,0),MATCH(R$6,'DER Concepts'!$B$6:$V$6,0))</f>
        <v>0</v>
      </c>
      <c r="S14" s="131">
        <f>INDEX('DER Concepts'!$B$6:$V$31,MATCH($C14,'DER Concepts'!$B$6:$B$31,0),MATCH(S$6,'DER Concepts'!$B$6:$V$6,0))</f>
        <v>0</v>
      </c>
      <c r="T14" s="126">
        <f>INDEX('Cost per Site'!$C$7:$N$33,MATCH($C14,'Cost per Site'!$C$7:$C$33,0),MATCH('Summary Table (Remove Excluded)'!T$6,'Cost per Site'!$C$7:$N$7,0))</f>
        <v>1000</v>
      </c>
      <c r="U14" s="126">
        <f>INDEX('Cost per Site'!$C$7:$N$33,MATCH($C14,'Cost per Site'!$C$7:$C$33,0),MATCH('Summary Table (Remove Excluded)'!U$6,'Cost per Site'!$C$7:$N$7,0))</f>
        <v>2</v>
      </c>
      <c r="V14" s="126">
        <f>INDEX('Cost per Site'!$C$7:$N$33,MATCH($C14,'Cost per Site'!$C$7:$C$33,0),MATCH('Summary Table (Remove Excluded)'!V$6,'Cost per Site'!$C$7:$N$7,0))</f>
        <v>10</v>
      </c>
      <c r="W14" s="135">
        <f>INDEX('Cost per Site'!$C$7:$N$33,MATCH($C14,'Cost per Site'!$C$7:$C$33,0),MATCH('Summary Table (Remove Excluded)'!W$6,'Cost per Site'!$C$7:$N$7,0))</f>
        <v>1365</v>
      </c>
      <c r="X14" s="135">
        <f>INDEX('Cost per Site'!$C$7:$N$33,MATCH($C14,'Cost per Site'!$C$7:$C$33,0),MATCH('Summary Table (Remove Excluded)'!X$6,'Cost per Site'!$C$7:$N$7,0))</f>
        <v>92</v>
      </c>
      <c r="Y14" s="135">
        <f>INDEX('Cost per Site'!$C$7:$N$33,MATCH($C14,'Cost per Site'!$C$7:$C$33,0),MATCH('Summary Table (Remove Excluded)'!Y$6,'Cost per Site'!$C$7:$N$7,0))</f>
        <v>26</v>
      </c>
      <c r="Z14" s="135">
        <f>INDEX('Cost per Site'!$C$7:$N$33,MATCH($C14,'Cost per Site'!$C$7:$C$33,0),MATCH('Summary Table (Remove Excluded)'!Z$6,'Cost per Site'!$C$7:$N$7,0))</f>
        <v>0</v>
      </c>
      <c r="AA14" s="135">
        <f>INDEX('Cost per Site'!$C$7:$N$33,MATCH($C14,'Cost per Site'!$C$7:$C$33,0),MATCH('Summary Table (Remove Excluded)'!AA$6,'Cost per Site'!$C$7:$N$7,0))</f>
        <v>0</v>
      </c>
      <c r="AB14" s="126" t="str">
        <f>INDEX('Cost per Site'!$C$7:$N$33,MATCH($C14,'Cost per Site'!$C$7:$C$33,0),MATCH('Summary Table (Remove Excluded)'!AB$6,'Cost per Site'!$C$7:$N$7,0))</f>
        <v>-</v>
      </c>
      <c r="AC14" s="126">
        <f>INDEX('S6-Summary'!$B$17:$W$43,MATCH($B14,'S6-Summary'!$B$17:$B$43,0),MATCH('Summary Table (Remove Excluded)'!AC$6,'S6-Summary'!$B$17:$W$17,0))</f>
        <v>8.8681755371093693</v>
      </c>
      <c r="AD14" s="126">
        <f>INDEX('S6-Summary'!$B$17:$W$43,MATCH($B14,'S6-Summary'!$B$17:$B$43,0),MATCH('Summary Table (Remove Excluded)'!AD$6,'S6-Summary'!$B$17:$W$17,0))</f>
        <v>0.31419999999999998</v>
      </c>
      <c r="AE14" s="132">
        <f>INDEX(CBI!$B$10:$H$35,MATCH($C14,CBI!$B$10:$B$35,0),MATCH(AE$6,CBI!$B$10:$H$10,0))</f>
        <v>14</v>
      </c>
      <c r="AF14" s="133" t="s">
        <v>256</v>
      </c>
    </row>
    <row r="15" spans="2:32" x14ac:dyDescent="0.35">
      <c r="B15" s="125">
        <v>9</v>
      </c>
      <c r="C15" s="126">
        <v>9</v>
      </c>
      <c r="D15" s="126" t="str">
        <f>INDEX('DER Concepts'!$B$6:$V$31,MATCH($C15,'DER Concepts'!$B$6:$B$31,0),MATCH(D$6,'DER Concepts'!$B$6:$V$6,0))</f>
        <v>Residential Battery Install Incentive</v>
      </c>
      <c r="E15" s="126" t="str">
        <f>INDEX('DER Concepts'!$B$6:$V$31,MATCH($C15,'DER Concepts'!$B$6:$B$31,0),MATCH(E$6,'DER Concepts'!$B$6:$V$6,0))</f>
        <v>Battery</v>
      </c>
      <c r="F15" s="126" t="str">
        <f>INDEX('DER Concepts'!$B$6:$V$31,MATCH($C15,'DER Concepts'!$B$6:$B$31,0),MATCH(F$6,'DER Concepts'!$B$6:$V$6,0))</f>
        <v>BTM</v>
      </c>
      <c r="G15" s="126" t="str">
        <f>INDEX('DER Concepts'!$B$6:$V$31,MATCH($C15,'DER Concepts'!$B$6:$B$31,0),MATCH(G$6,'DER Concepts'!$B$6:$V$6,0))</f>
        <v>Customer(s)</v>
      </c>
      <c r="H15" s="126" t="str">
        <f>INDEX('DER Concepts'!$B$6:$V$31,MATCH($C15,'DER Concepts'!$B$6:$B$31,0),MATCH(H$6,'DER Concepts'!$B$6:$V$6,0))</f>
        <v>Yes</v>
      </c>
      <c r="I15" s="126" t="str">
        <f>INDEX('DER Concepts'!$B$6:$V$31,MATCH($C15,'DER Concepts'!$B$6:$B$31,0),MATCH(I$6,'DER Concepts'!$B$6:$V$6,0))</f>
        <v>PSE Incentive</v>
      </c>
      <c r="J15" s="126" t="str">
        <f>INDEX('DER Concepts'!$B$6:$V$31,MATCH($C15,'DER Concepts'!$B$6:$B$31,0),MATCH(J$6,'DER Concepts'!$B$6:$V$6,0))</f>
        <v>New</v>
      </c>
      <c r="K15" s="131">
        <f>INDEX('DER Concepts'!$B$6:$V$31,MATCH($C15,'DER Concepts'!$B$6:$B$31,0),MATCH(K$6,'DER Concepts'!$B$6:$V$6,0))</f>
        <v>0.26500000000000001</v>
      </c>
      <c r="L15" s="131">
        <f>INDEX('DER Concepts'!$B$6:$V$31,MATCH($C15,'DER Concepts'!$B$6:$B$31,0),MATCH(L$6,'DER Concepts'!$B$6:$V$6,0))</f>
        <v>0.315</v>
      </c>
      <c r="M15" s="131">
        <f>INDEX('DER Concepts'!$B$6:$V$31,MATCH($C15,'DER Concepts'!$B$6:$B$31,0),MATCH(M$6,'DER Concepts'!$B$6:$V$6,0))</f>
        <v>0.37</v>
      </c>
      <c r="N15" s="131">
        <f>INDEX('DER Concepts'!$B$6:$V$31,MATCH($C15,'DER Concepts'!$B$6:$B$31,0),MATCH(N$6,'DER Concepts'!$B$6:$V$6,0))</f>
        <v>0.43</v>
      </c>
      <c r="O15" s="131">
        <f>INDEX('DER Concepts'!$B$6:$V$31,MATCH($C15,'DER Concepts'!$B$6:$B$31,0),MATCH(O$6,'DER Concepts'!$B$6:$V$6,0))</f>
        <v>0.495</v>
      </c>
      <c r="P15" s="131">
        <f>INDEX('DER Concepts'!$B$6:$V$31,MATCH($C15,'DER Concepts'!$B$6:$B$31,0),MATCH(P$6,'DER Concepts'!$B$6:$V$6,0))</f>
        <v>0.56000000000000005</v>
      </c>
      <c r="Q15" s="131">
        <f>INDEX('DER Concepts'!$B$6:$V$31,MATCH($C15,'DER Concepts'!$B$6:$B$31,0),MATCH(Q$6,'DER Concepts'!$B$6:$V$6,0))</f>
        <v>0.63</v>
      </c>
      <c r="R15" s="131">
        <f>INDEX('DER Concepts'!$B$6:$V$31,MATCH($C15,'DER Concepts'!$B$6:$B$31,0),MATCH(R$6,'DER Concepts'!$B$6:$V$6,0))</f>
        <v>0.69499999999999995</v>
      </c>
      <c r="S15" s="131">
        <f>INDEX('DER Concepts'!$B$6:$V$31,MATCH($C15,'DER Concepts'!$B$6:$B$31,0),MATCH(S$6,'DER Concepts'!$B$6:$V$6,0))</f>
        <v>0.76500000000000001</v>
      </c>
      <c r="T15" s="126">
        <f>INDEX('Cost per Site'!$C$7:$N$33,MATCH($C15,'Cost per Site'!$C$7:$C$33,0),MATCH('Summary Table (Remove Excluded)'!T$6,'Cost per Site'!$C$7:$N$7,0))</f>
        <v>5</v>
      </c>
      <c r="U15" s="126">
        <f>INDEX('Cost per Site'!$C$7:$N$33,MATCH($C15,'Cost per Site'!$C$7:$C$33,0),MATCH('Summary Table (Remove Excluded)'!U$6,'Cost per Site'!$C$7:$N$7,0))</f>
        <v>3</v>
      </c>
      <c r="V15" s="126">
        <f>INDEX('Cost per Site'!$C$7:$N$33,MATCH($C15,'Cost per Site'!$C$7:$C$33,0),MATCH('Summary Table (Remove Excluded)'!V$6,'Cost per Site'!$C$7:$N$7,0))</f>
        <v>10</v>
      </c>
      <c r="W15" s="135">
        <f>INDEX('Cost per Site'!$C$7:$N$33,MATCH($C15,'Cost per Site'!$C$7:$C$33,0),MATCH('Summary Table (Remove Excluded)'!W$6,'Cost per Site'!$C$7:$N$7,0))</f>
        <v>0</v>
      </c>
      <c r="X15" s="135">
        <f>INDEX('Cost per Site'!$C$7:$N$33,MATCH($C15,'Cost per Site'!$C$7:$C$33,0),MATCH('Summary Table (Remove Excluded)'!X$6,'Cost per Site'!$C$7:$N$7,0))</f>
        <v>0</v>
      </c>
      <c r="Y15" s="135">
        <f>INDEX('Cost per Site'!$C$7:$N$33,MATCH($C15,'Cost per Site'!$C$7:$C$33,0),MATCH('Summary Table (Remove Excluded)'!Y$6,'Cost per Site'!$C$7:$N$7,0))</f>
        <v>70</v>
      </c>
      <c r="Z15" s="135">
        <f>INDEX('Cost per Site'!$C$7:$N$33,MATCH($C15,'Cost per Site'!$C$7:$C$33,0),MATCH('Summary Table (Remove Excluded)'!Z$6,'Cost per Site'!$C$7:$N$7,0))</f>
        <v>3782</v>
      </c>
      <c r="AA15" s="135">
        <f>INDEX('Cost per Site'!$C$7:$N$33,MATCH($C15,'Cost per Site'!$C$7:$C$33,0),MATCH('Summary Table (Remove Excluded)'!AA$6,'Cost per Site'!$C$7:$N$7,0))</f>
        <v>42</v>
      </c>
      <c r="AB15" s="126" t="str">
        <f>INDEX('Cost per Site'!$C$7:$N$33,MATCH($C15,'Cost per Site'!$C$7:$C$33,0),MATCH('Summary Table (Remove Excluded)'!AB$6,'Cost per Site'!$C$7:$N$7,0))</f>
        <v>Customer</v>
      </c>
      <c r="AC15" s="126">
        <f>INDEX('S6-Summary'!$B$17:$W$43,MATCH($B15,'S6-Summary'!$B$17:$B$43,0),MATCH('Summary Table (Remove Excluded)'!AC$6,'S6-Summary'!$B$17:$W$17,0))</f>
        <v>6.3576728588689448</v>
      </c>
      <c r="AD15" s="126">
        <f>INDEX('S6-Summary'!$B$17:$W$43,MATCH($B15,'S6-Summary'!$B$17:$B$43,0),MATCH('Summary Table (Remove Excluded)'!AD$6,'S6-Summary'!$B$17:$W$17,0))</f>
        <v>0.18697381815723682</v>
      </c>
      <c r="AE15" s="128">
        <f>INDEX(CBI!$B$10:$H$35,MATCH($C15,CBI!$B$10:$B$35,0),MATCH(AE$6,CBI!$B$10:$H$10,0))</f>
        <v>15</v>
      </c>
      <c r="AF15" s="129" t="s">
        <v>256</v>
      </c>
    </row>
    <row r="16" spans="2:32" x14ac:dyDescent="0.35">
      <c r="B16" s="130">
        <v>10</v>
      </c>
      <c r="C16" s="131">
        <v>10</v>
      </c>
      <c r="D16" s="131" t="str">
        <f>INDEX('DER Concepts'!$B$6:$V$31,MATCH($C16,'DER Concepts'!$B$6:$B$31,0),MATCH(D$6,'DER Concepts'!$B$6:$V$6,0))</f>
        <v>Residential PSE Battery Leasing</v>
      </c>
      <c r="E16" s="131" t="str">
        <f>INDEX('DER Concepts'!$B$6:$V$31,MATCH($C16,'DER Concepts'!$B$6:$B$31,0),MATCH(E$6,'DER Concepts'!$B$6:$V$6,0))</f>
        <v>Battery</v>
      </c>
      <c r="F16" s="131" t="str">
        <f>INDEX('DER Concepts'!$B$6:$V$31,MATCH($C16,'DER Concepts'!$B$6:$B$31,0),MATCH(F$6,'DER Concepts'!$B$6:$V$6,0))</f>
        <v>BTM</v>
      </c>
      <c r="G16" s="131" t="str">
        <f>INDEX('DER Concepts'!$B$6:$V$31,MATCH($C16,'DER Concepts'!$B$6:$B$31,0),MATCH(G$6,'DER Concepts'!$B$6:$V$6,0))</f>
        <v>PSE</v>
      </c>
      <c r="H16" s="131" t="str">
        <f>INDEX('DER Concepts'!$B$6:$V$31,MATCH($C16,'DER Concepts'!$B$6:$B$31,0),MATCH(H$6,'DER Concepts'!$B$6:$V$6,0))</f>
        <v>Yes</v>
      </c>
      <c r="I16" s="131" t="str">
        <f>INDEX('DER Concepts'!$B$6:$V$31,MATCH($C16,'DER Concepts'!$B$6:$B$31,0),MATCH(I$6,'DER Concepts'!$B$6:$V$6,0))</f>
        <v>PSE Program</v>
      </c>
      <c r="J16" s="131" t="str">
        <f>INDEX('DER Concepts'!$B$6:$V$31,MATCH($C16,'DER Concepts'!$B$6:$B$31,0),MATCH(J$6,'DER Concepts'!$B$6:$V$6,0))</f>
        <v>New</v>
      </c>
      <c r="K16" s="131">
        <f>INDEX('DER Concepts'!$B$6:$V$31,MATCH($C16,'DER Concepts'!$B$6:$B$31,0),MATCH(K$6,'DER Concepts'!$B$6:$V$6,0))</f>
        <v>1.1200000000000001</v>
      </c>
      <c r="L16" s="131">
        <f>INDEX('DER Concepts'!$B$6:$V$31,MATCH($C16,'DER Concepts'!$B$6:$B$31,0),MATCH(L$6,'DER Concepts'!$B$6:$V$6,0))</f>
        <v>1.145</v>
      </c>
      <c r="M16" s="131">
        <f>INDEX('DER Concepts'!$B$6:$V$31,MATCH($C16,'DER Concepts'!$B$6:$B$31,0),MATCH(M$6,'DER Concepts'!$B$6:$V$6,0))</f>
        <v>1.165</v>
      </c>
      <c r="N16" s="131">
        <f>INDEX('DER Concepts'!$B$6:$V$31,MATCH($C16,'DER Concepts'!$B$6:$B$31,0),MATCH(N$6,'DER Concepts'!$B$6:$V$6,0))</f>
        <v>1.1850000000000001</v>
      </c>
      <c r="O16" s="131">
        <f>INDEX('DER Concepts'!$B$6:$V$31,MATCH($C16,'DER Concepts'!$B$6:$B$31,0),MATCH(O$6,'DER Concepts'!$B$6:$V$6,0))</f>
        <v>1.2</v>
      </c>
      <c r="P16" s="131">
        <f>INDEX('DER Concepts'!$B$6:$V$31,MATCH($C16,'DER Concepts'!$B$6:$B$31,0),MATCH(P$6,'DER Concepts'!$B$6:$V$6,0))</f>
        <v>1.2150000000000001</v>
      </c>
      <c r="Q16" s="131">
        <f>INDEX('DER Concepts'!$B$6:$V$31,MATCH($C16,'DER Concepts'!$B$6:$B$31,0),MATCH(Q$6,'DER Concepts'!$B$6:$V$6,0))</f>
        <v>1.23</v>
      </c>
      <c r="R16" s="131">
        <f>INDEX('DER Concepts'!$B$6:$V$31,MATCH($C16,'DER Concepts'!$B$6:$B$31,0),MATCH(R$6,'DER Concepts'!$B$6:$V$6,0))</f>
        <v>1.2450000000000001</v>
      </c>
      <c r="S16" s="131">
        <f>INDEX('DER Concepts'!$B$6:$V$31,MATCH($C16,'DER Concepts'!$B$6:$B$31,0),MATCH(S$6,'DER Concepts'!$B$6:$V$6,0))</f>
        <v>1.26</v>
      </c>
      <c r="T16" s="126">
        <f>INDEX('Cost per Site'!$C$7:$N$33,MATCH($C16,'Cost per Site'!$C$7:$C$33,0),MATCH('Summary Table (Remove Excluded)'!T$6,'Cost per Site'!$C$7:$N$7,0))</f>
        <v>5</v>
      </c>
      <c r="U16" s="126">
        <f>INDEX('Cost per Site'!$C$7:$N$33,MATCH($C16,'Cost per Site'!$C$7:$C$33,0),MATCH('Summary Table (Remove Excluded)'!U$6,'Cost per Site'!$C$7:$N$7,0))</f>
        <v>3</v>
      </c>
      <c r="V16" s="126">
        <f>INDEX('Cost per Site'!$C$7:$N$33,MATCH($C16,'Cost per Site'!$C$7:$C$33,0),MATCH('Summary Table (Remove Excluded)'!V$6,'Cost per Site'!$C$7:$N$7,0))</f>
        <v>10</v>
      </c>
      <c r="W16" s="135">
        <f>INDEX('Cost per Site'!$C$7:$N$33,MATCH($C16,'Cost per Site'!$C$7:$C$33,0),MATCH('Summary Table (Remove Excluded)'!W$6,'Cost per Site'!$C$7:$N$7,0))</f>
        <v>3782</v>
      </c>
      <c r="X16" s="135">
        <f>INDEX('Cost per Site'!$C$7:$N$33,MATCH($C16,'Cost per Site'!$C$7:$C$33,0),MATCH('Summary Table (Remove Excluded)'!X$6,'Cost per Site'!$C$7:$N$7,0))</f>
        <v>42</v>
      </c>
      <c r="Y16" s="135">
        <f>INDEX('Cost per Site'!$C$7:$N$33,MATCH($C16,'Cost per Site'!$C$7:$C$33,0),MATCH('Summary Table (Remove Excluded)'!Y$6,'Cost per Site'!$C$7:$N$7,0))</f>
        <v>96</v>
      </c>
      <c r="Z16" s="135">
        <f>INDEX('Cost per Site'!$C$7:$N$33,MATCH($C16,'Cost per Site'!$C$7:$C$33,0),MATCH('Summary Table (Remove Excluded)'!Z$6,'Cost per Site'!$C$7:$N$7,0))</f>
        <v>0</v>
      </c>
      <c r="AA16" s="135">
        <f>INDEX('Cost per Site'!$C$7:$N$33,MATCH($C16,'Cost per Site'!$C$7:$C$33,0),MATCH('Summary Table (Remove Excluded)'!AA$6,'Cost per Site'!$C$7:$N$7,0))</f>
        <v>60</v>
      </c>
      <c r="AB16" s="126" t="str">
        <f>INDEX('Cost per Site'!$C$7:$N$33,MATCH($C16,'Cost per Site'!$C$7:$C$33,0),MATCH('Summary Table (Remove Excluded)'!AB$6,'Cost per Site'!$C$7:$N$7,0))</f>
        <v>Customer</v>
      </c>
      <c r="AC16" s="126">
        <f>INDEX('S6-Summary'!$B$17:$W$43,MATCH($B16,'S6-Summary'!$B$17:$B$43,0),MATCH('Summary Table (Remove Excluded)'!AC$6,'S6-Summary'!$B$17:$W$17,0))</f>
        <v>13.920828306662617</v>
      </c>
      <c r="AD16" s="126">
        <f>INDEX('S6-Summary'!$B$17:$W$43,MATCH($B16,'S6-Summary'!$B$17:$B$43,0),MATCH('Summary Table (Remove Excluded)'!AD$6,'S6-Summary'!$B$17:$W$17,0))</f>
        <v>0.17699999999999999</v>
      </c>
      <c r="AE16" s="132">
        <f>INDEX(CBI!$B$10:$H$35,MATCH($C16,CBI!$B$10:$B$35,0),MATCH(AE$6,CBI!$B$10:$H$10,0))</f>
        <v>19</v>
      </c>
      <c r="AF16" s="133" t="s">
        <v>128</v>
      </c>
    </row>
    <row r="17" spans="2:32" x14ac:dyDescent="0.35">
      <c r="B17" s="125">
        <v>11</v>
      </c>
      <c r="C17" s="126">
        <v>11</v>
      </c>
      <c r="D17" s="126" t="str">
        <f>INDEX('DER Concepts'!$B$6:$V$31,MATCH($C17,'DER Concepts'!$B$6:$B$31,0),MATCH(D$6,'DER Concepts'!$B$6:$V$6,0))</f>
        <v>Residential PSE Battery Leasing - Low Income</v>
      </c>
      <c r="E17" s="126" t="str">
        <f>INDEX('DER Concepts'!$B$6:$V$31,MATCH($C17,'DER Concepts'!$B$6:$B$31,0),MATCH(E$6,'DER Concepts'!$B$6:$V$6,0))</f>
        <v>Battery</v>
      </c>
      <c r="F17" s="126" t="str">
        <f>INDEX('DER Concepts'!$B$6:$V$31,MATCH($C17,'DER Concepts'!$B$6:$B$31,0),MATCH(F$6,'DER Concepts'!$B$6:$V$6,0))</f>
        <v>BTM</v>
      </c>
      <c r="G17" s="126" t="str">
        <f>INDEX('DER Concepts'!$B$6:$V$31,MATCH($C17,'DER Concepts'!$B$6:$B$31,0),MATCH(G$6,'DER Concepts'!$B$6:$V$6,0))</f>
        <v>PSE</v>
      </c>
      <c r="H17" s="126" t="str">
        <f>INDEX('DER Concepts'!$B$6:$V$31,MATCH($C17,'DER Concepts'!$B$6:$B$31,0),MATCH(H$6,'DER Concepts'!$B$6:$V$6,0))</f>
        <v>Yes</v>
      </c>
      <c r="I17" s="126" t="str">
        <f>INDEX('DER Concepts'!$B$6:$V$31,MATCH($C17,'DER Concepts'!$B$6:$B$31,0),MATCH(I$6,'DER Concepts'!$B$6:$V$6,0))</f>
        <v>PSE Program</v>
      </c>
      <c r="J17" s="126" t="str">
        <f>INDEX('DER Concepts'!$B$6:$V$31,MATCH($C17,'DER Concepts'!$B$6:$B$31,0),MATCH(J$6,'DER Concepts'!$B$6:$V$6,0))</f>
        <v>New</v>
      </c>
      <c r="K17" s="131">
        <f>INDEX('DER Concepts'!$B$6:$V$31,MATCH($C17,'DER Concepts'!$B$6:$B$31,0),MATCH(K$6,'DER Concepts'!$B$6:$V$6,0))</f>
        <v>0.11</v>
      </c>
      <c r="L17" s="131">
        <f>INDEX('DER Concepts'!$B$6:$V$31,MATCH($C17,'DER Concepts'!$B$6:$B$31,0),MATCH(L$6,'DER Concepts'!$B$6:$V$6,0))</f>
        <v>0.11</v>
      </c>
      <c r="M17" s="131">
        <f>INDEX('DER Concepts'!$B$6:$V$31,MATCH($C17,'DER Concepts'!$B$6:$B$31,0),MATCH(M$6,'DER Concepts'!$B$6:$V$6,0))</f>
        <v>0.11</v>
      </c>
      <c r="N17" s="131">
        <f>INDEX('DER Concepts'!$B$6:$V$31,MATCH($C17,'DER Concepts'!$B$6:$B$31,0),MATCH(N$6,'DER Concepts'!$B$6:$V$6,0))</f>
        <v>0.11</v>
      </c>
      <c r="O17" s="131">
        <f>INDEX('DER Concepts'!$B$6:$V$31,MATCH($C17,'DER Concepts'!$B$6:$B$31,0),MATCH(O$6,'DER Concepts'!$B$6:$V$6,0))</f>
        <v>0.11</v>
      </c>
      <c r="P17" s="131">
        <f>INDEX('DER Concepts'!$B$6:$V$31,MATCH($C17,'DER Concepts'!$B$6:$B$31,0),MATCH(P$6,'DER Concepts'!$B$6:$V$6,0))</f>
        <v>0.11</v>
      </c>
      <c r="Q17" s="131">
        <f>INDEX('DER Concepts'!$B$6:$V$31,MATCH($C17,'DER Concepts'!$B$6:$B$31,0),MATCH(Q$6,'DER Concepts'!$B$6:$V$6,0))</f>
        <v>0.11</v>
      </c>
      <c r="R17" s="131">
        <f>INDEX('DER Concepts'!$B$6:$V$31,MATCH($C17,'DER Concepts'!$B$6:$B$31,0),MATCH(R$6,'DER Concepts'!$B$6:$V$6,0))</f>
        <v>0.11</v>
      </c>
      <c r="S17" s="131">
        <f>INDEX('DER Concepts'!$B$6:$V$31,MATCH($C17,'DER Concepts'!$B$6:$B$31,0),MATCH(S$6,'DER Concepts'!$B$6:$V$6,0))</f>
        <v>0.11</v>
      </c>
      <c r="T17" s="126">
        <f>INDEX('Cost per Site'!$C$7:$N$33,MATCH($C17,'Cost per Site'!$C$7:$C$33,0),MATCH('Summary Table (Remove Excluded)'!T$6,'Cost per Site'!$C$7:$N$7,0))</f>
        <v>5</v>
      </c>
      <c r="U17" s="126">
        <f>INDEX('Cost per Site'!$C$7:$N$33,MATCH($C17,'Cost per Site'!$C$7:$C$33,0),MATCH('Summary Table (Remove Excluded)'!U$6,'Cost per Site'!$C$7:$N$7,0))</f>
        <v>3</v>
      </c>
      <c r="V17" s="126">
        <f>INDEX('Cost per Site'!$C$7:$N$33,MATCH($C17,'Cost per Site'!$C$7:$C$33,0),MATCH('Summary Table (Remove Excluded)'!V$6,'Cost per Site'!$C$7:$N$7,0))</f>
        <v>10</v>
      </c>
      <c r="W17" s="135">
        <f>INDEX('Cost per Site'!$C$7:$N$33,MATCH($C17,'Cost per Site'!$C$7:$C$33,0),MATCH('Summary Table (Remove Excluded)'!W$6,'Cost per Site'!$C$7:$N$7,0))</f>
        <v>3782</v>
      </c>
      <c r="X17" s="135">
        <f>INDEX('Cost per Site'!$C$7:$N$33,MATCH($C17,'Cost per Site'!$C$7:$C$33,0),MATCH('Summary Table (Remove Excluded)'!X$6,'Cost per Site'!$C$7:$N$7,0))</f>
        <v>42</v>
      </c>
      <c r="Y17" s="135">
        <f>INDEX('Cost per Site'!$C$7:$N$33,MATCH($C17,'Cost per Site'!$C$7:$C$33,0),MATCH('Summary Table (Remove Excluded)'!Y$6,'Cost per Site'!$C$7:$N$7,0))</f>
        <v>96</v>
      </c>
      <c r="Z17" s="135">
        <f>INDEX('Cost per Site'!$C$7:$N$33,MATCH($C17,'Cost per Site'!$C$7:$C$33,0),MATCH('Summary Table (Remove Excluded)'!Z$6,'Cost per Site'!$C$7:$N$7,0))</f>
        <v>0</v>
      </c>
      <c r="AA17" s="135">
        <f>INDEX('Cost per Site'!$C$7:$N$33,MATCH($C17,'Cost per Site'!$C$7:$C$33,0),MATCH('Summary Table (Remove Excluded)'!AA$6,'Cost per Site'!$C$7:$N$7,0))</f>
        <v>10</v>
      </c>
      <c r="AB17" s="126" t="str">
        <f>INDEX('Cost per Site'!$C$7:$N$33,MATCH($C17,'Cost per Site'!$C$7:$C$33,0),MATCH('Summary Table (Remove Excluded)'!AB$6,'Cost per Site'!$C$7:$N$7,0))</f>
        <v>Customer</v>
      </c>
      <c r="AC17" s="126">
        <f>INDEX('S6-Summary'!$B$17:$W$43,MATCH($B17,'S6-Summary'!$B$17:$B$43,0),MATCH('Summary Table (Remove Excluded)'!AC$6,'S6-Summary'!$B$17:$W$17,0))</f>
        <v>16.132658183982102</v>
      </c>
      <c r="AD17" s="126">
        <f>INDEX('S6-Summary'!$B$17:$W$43,MATCH($B17,'S6-Summary'!$B$17:$B$43,0),MATCH('Summary Table (Remove Excluded)'!AD$6,'S6-Summary'!$B$17:$W$17,0))</f>
        <v>0.1946</v>
      </c>
      <c r="AE17" s="128">
        <f>INDEX(CBI!$B$10:$H$35,MATCH($C17,CBI!$B$10:$B$35,0),MATCH(AE$6,CBI!$B$10:$H$10,0))</f>
        <v>20</v>
      </c>
      <c r="AF17" s="129" t="s">
        <v>128</v>
      </c>
    </row>
    <row r="18" spans="2:32" x14ac:dyDescent="0.35">
      <c r="B18" s="130">
        <v>16</v>
      </c>
      <c r="C18" s="131">
        <v>16</v>
      </c>
      <c r="D18" s="131" t="str">
        <f>INDEX('DER Concepts'!$B$6:$V$31,MATCH($C18,'DER Concepts'!$B$6:$B$31,0),MATCH(D$6,'DER Concepts'!$B$6:$V$6,0))</f>
        <v>3rd Party Distributed Solar PPA (or Solar Lease)</v>
      </c>
      <c r="E18" s="131" t="str">
        <f>INDEX('DER Concepts'!$B$6:$V$31,MATCH($C18,'DER Concepts'!$B$6:$B$31,0),MATCH(E$6,'DER Concepts'!$B$6:$V$6,0))</f>
        <v>Solar</v>
      </c>
      <c r="F18" s="131" t="str">
        <f>INDEX('DER Concepts'!$B$6:$V$31,MATCH($C18,'DER Concepts'!$B$6:$B$31,0),MATCH(F$6,'DER Concepts'!$B$6:$V$6,0))</f>
        <v>FOTM</v>
      </c>
      <c r="G18" s="131" t="str">
        <f>INDEX('DER Concepts'!$B$6:$V$31,MATCH($C18,'DER Concepts'!$B$6:$B$31,0),MATCH(G$6,'DER Concepts'!$B$6:$V$6,0))</f>
        <v>3rd Party</v>
      </c>
      <c r="H18" s="131" t="str">
        <f>INDEX('DER Concepts'!$B$6:$V$31,MATCH($C18,'DER Concepts'!$B$6:$B$31,0),MATCH(H$6,'DER Concepts'!$B$6:$V$6,0))</f>
        <v>Yes</v>
      </c>
      <c r="I18" s="131" t="str">
        <f>INDEX('DER Concepts'!$B$6:$V$31,MATCH($C18,'DER Concepts'!$B$6:$B$31,0),MATCH(I$6,'DER Concepts'!$B$6:$V$6,0))</f>
        <v>3rd Party Offering</v>
      </c>
      <c r="J18" s="131" t="str">
        <f>INDEX('DER Concepts'!$B$6:$V$31,MATCH($C18,'DER Concepts'!$B$6:$B$31,0),MATCH(J$6,'DER Concepts'!$B$6:$V$6,0))</f>
        <v>New</v>
      </c>
      <c r="K18" s="131">
        <f>INDEX('DER Concepts'!$B$6:$V$31,MATCH($C18,'DER Concepts'!$B$6:$B$31,0),MATCH(K$6,'DER Concepts'!$B$6:$V$6,0))</f>
        <v>2.8</v>
      </c>
      <c r="L18" s="131">
        <f>INDEX('DER Concepts'!$B$6:$V$31,MATCH($C18,'DER Concepts'!$B$6:$B$31,0),MATCH(L$6,'DER Concepts'!$B$6:$V$6,0))</f>
        <v>2.8</v>
      </c>
      <c r="M18" s="131">
        <f>INDEX('DER Concepts'!$B$6:$V$31,MATCH($C18,'DER Concepts'!$B$6:$B$31,0),MATCH(M$6,'DER Concepts'!$B$6:$V$6,0))</f>
        <v>2.8</v>
      </c>
      <c r="N18" s="131">
        <f>INDEX('DER Concepts'!$B$6:$V$31,MATCH($C18,'DER Concepts'!$B$6:$B$31,0),MATCH(N$6,'DER Concepts'!$B$6:$V$6,0))</f>
        <v>2.8</v>
      </c>
      <c r="O18" s="131">
        <f>INDEX('DER Concepts'!$B$6:$V$31,MATCH($C18,'DER Concepts'!$B$6:$B$31,0),MATCH(O$6,'DER Concepts'!$B$6:$V$6,0))</f>
        <v>4.8</v>
      </c>
      <c r="P18" s="131">
        <f>INDEX('DER Concepts'!$B$6:$V$31,MATCH($C18,'DER Concepts'!$B$6:$B$31,0),MATCH(P$6,'DER Concepts'!$B$6:$V$6,0))</f>
        <v>6.8</v>
      </c>
      <c r="Q18" s="131">
        <f>INDEX('DER Concepts'!$B$6:$V$31,MATCH($C18,'DER Concepts'!$B$6:$B$31,0),MATCH(Q$6,'DER Concepts'!$B$6:$V$6,0))</f>
        <v>8.8000000000000007</v>
      </c>
      <c r="R18" s="131">
        <f>INDEX('DER Concepts'!$B$6:$V$31,MATCH($C18,'DER Concepts'!$B$6:$B$31,0),MATCH(R$6,'DER Concepts'!$B$6:$V$6,0))</f>
        <v>11.2</v>
      </c>
      <c r="S18" s="131">
        <f>INDEX('DER Concepts'!$B$6:$V$31,MATCH($C18,'DER Concepts'!$B$6:$B$31,0),MATCH(S$6,'DER Concepts'!$B$6:$V$6,0))</f>
        <v>13.2</v>
      </c>
      <c r="T18" s="126">
        <f>INDEX('Cost per Site'!$C$7:$N$33,MATCH($C18,'Cost per Site'!$C$7:$C$33,0),MATCH('Summary Table (Remove Excluded)'!T$6,'Cost per Site'!$C$7:$N$7,0))</f>
        <v>308</v>
      </c>
      <c r="U18" s="126" t="str">
        <f>INDEX('Cost per Site'!$C$7:$N$33,MATCH($C18,'Cost per Site'!$C$7:$C$33,0),MATCH('Summary Table (Remove Excluded)'!U$6,'Cost per Site'!$C$7:$N$7,0))</f>
        <v>-</v>
      </c>
      <c r="V18" s="126">
        <f>INDEX('Cost per Site'!$C$7:$N$33,MATCH($C18,'Cost per Site'!$C$7:$C$33,0),MATCH('Summary Table (Remove Excluded)'!V$6,'Cost per Site'!$C$7:$N$7,0))</f>
        <v>30</v>
      </c>
      <c r="W18" s="135">
        <f>INDEX('Cost per Site'!$C$7:$N$33,MATCH($C18,'Cost per Site'!$C$7:$C$33,0),MATCH('Summary Table (Remove Excluded)'!W$6,'Cost per Site'!$C$7:$N$7,0))</f>
        <v>0</v>
      </c>
      <c r="X18" s="135">
        <f>INDEX('Cost per Site'!$C$7:$N$33,MATCH($C18,'Cost per Site'!$C$7:$C$33,0),MATCH('Summary Table (Remove Excluded)'!X$6,'Cost per Site'!$C$7:$N$7,0))</f>
        <v>0</v>
      </c>
      <c r="Y18" s="135">
        <f>INDEX('Cost per Site'!$C$7:$N$33,MATCH($C18,'Cost per Site'!$C$7:$C$33,0),MATCH('Summary Table (Remove Excluded)'!Y$6,'Cost per Site'!$C$7:$N$7,0))</f>
        <v>6</v>
      </c>
      <c r="Z18" s="135">
        <f>INDEX('Cost per Site'!$C$7:$N$33,MATCH($C18,'Cost per Site'!$C$7:$C$33,0),MATCH('Summary Table (Remove Excluded)'!Z$6,'Cost per Site'!$C$7:$N$7,0))</f>
        <v>2165</v>
      </c>
      <c r="AA18" s="135">
        <f>INDEX('Cost per Site'!$C$7:$N$33,MATCH($C18,'Cost per Site'!$C$7:$C$33,0),MATCH('Summary Table (Remove Excluded)'!AA$6,'Cost per Site'!$C$7:$N$7,0))</f>
        <v>87</v>
      </c>
      <c r="AB18" s="126" t="str">
        <f>INDEX('Cost per Site'!$C$7:$N$33,MATCH($C18,'Cost per Site'!$C$7:$C$33,0),MATCH('Summary Table (Remove Excluded)'!AB$6,'Cost per Site'!$C$7:$N$7,0))</f>
        <v>Third Party</v>
      </c>
      <c r="AC18" s="126">
        <f>INDEX('S6-Summary'!$B$17:$W$43,MATCH($B18,'S6-Summary'!$B$17:$B$43,0),MATCH('Summary Table (Remove Excluded)'!AC$6,'S6-Summary'!$B$17:$W$17,0))</f>
        <v>4.6354712939937226</v>
      </c>
      <c r="AD18" s="126">
        <f>INDEX('S6-Summary'!$B$17:$W$43,MATCH($B18,'S6-Summary'!$B$17:$B$43,0),MATCH('Summary Table (Remove Excluded)'!AD$6,'S6-Summary'!$B$17:$W$17,0))</f>
        <v>0.65399230103020356</v>
      </c>
      <c r="AE18" s="132">
        <f>INDEX(CBI!$B$10:$H$35,MATCH($C18,CBI!$B$10:$B$35,0),MATCH(AE$6,CBI!$B$10:$H$10,0))</f>
        <v>15</v>
      </c>
      <c r="AF18" s="133" t="s">
        <v>128</v>
      </c>
    </row>
    <row r="19" spans="2:32" x14ac:dyDescent="0.35">
      <c r="B19" s="125">
        <v>17</v>
      </c>
      <c r="C19" s="126">
        <v>17</v>
      </c>
      <c r="D19" s="126" t="str">
        <f>INDEX('DER Concepts'!$B$6:$V$31,MATCH($C19,'DER Concepts'!$B$6:$B$31,0),MATCH(D$6,'DER Concepts'!$B$6:$V$6,0))</f>
        <v>C&amp;I Roof-top Solar Incentive</v>
      </c>
      <c r="E19" s="126" t="str">
        <f>INDEX('DER Concepts'!$B$6:$V$31,MATCH($C19,'DER Concepts'!$B$6:$B$31,0),MATCH(E$6,'DER Concepts'!$B$6:$V$6,0))</f>
        <v>Solar</v>
      </c>
      <c r="F19" s="126" t="str">
        <f>INDEX('DER Concepts'!$B$6:$V$31,MATCH($C19,'DER Concepts'!$B$6:$B$31,0),MATCH(F$6,'DER Concepts'!$B$6:$V$6,0))</f>
        <v>BTM</v>
      </c>
      <c r="G19" s="126" t="str">
        <f>INDEX('DER Concepts'!$B$6:$V$31,MATCH($C19,'DER Concepts'!$B$6:$B$31,0),MATCH(G$6,'DER Concepts'!$B$6:$V$6,0))</f>
        <v>Customer(s)</v>
      </c>
      <c r="H19" s="126" t="str">
        <f>INDEX('DER Concepts'!$B$6:$V$31,MATCH($C19,'DER Concepts'!$B$6:$B$31,0),MATCH(H$6,'DER Concepts'!$B$6:$V$6,0))</f>
        <v>Yes</v>
      </c>
      <c r="I19" s="126" t="str">
        <f>INDEX('DER Concepts'!$B$6:$V$31,MATCH($C19,'DER Concepts'!$B$6:$B$31,0),MATCH(I$6,'DER Concepts'!$B$6:$V$6,0))</f>
        <v>PSE Incentive</v>
      </c>
      <c r="J19" s="126" t="str">
        <f>INDEX('DER Concepts'!$B$6:$V$31,MATCH($C19,'DER Concepts'!$B$6:$B$31,0),MATCH(J$6,'DER Concepts'!$B$6:$V$6,0))</f>
        <v>New</v>
      </c>
      <c r="K19" s="131">
        <f>INDEX('DER Concepts'!$B$6:$V$31,MATCH($C19,'DER Concepts'!$B$6:$B$31,0),MATCH(K$6,'DER Concepts'!$B$6:$V$6,0))</f>
        <v>5.2190000000000003</v>
      </c>
      <c r="L19" s="131">
        <f>INDEX('DER Concepts'!$B$6:$V$31,MATCH($C19,'DER Concepts'!$B$6:$B$31,0),MATCH(L$6,'DER Concepts'!$B$6:$V$6,0))</f>
        <v>5.2190000000000003</v>
      </c>
      <c r="M19" s="131">
        <f>INDEX('DER Concepts'!$B$6:$V$31,MATCH($C19,'DER Concepts'!$B$6:$B$31,0),MATCH(M$6,'DER Concepts'!$B$6:$V$6,0))</f>
        <v>5.2190000000000003</v>
      </c>
      <c r="N19" s="131">
        <f>INDEX('DER Concepts'!$B$6:$V$31,MATCH($C19,'DER Concepts'!$B$6:$B$31,0),MATCH(N$6,'DER Concepts'!$B$6:$V$6,0))</f>
        <v>5.2190000000000003</v>
      </c>
      <c r="O19" s="131">
        <f>INDEX('DER Concepts'!$B$6:$V$31,MATCH($C19,'DER Concepts'!$B$6:$B$31,0),MATCH(O$6,'DER Concepts'!$B$6:$V$6,0))</f>
        <v>7.0609999999999999</v>
      </c>
      <c r="P19" s="131">
        <f>INDEX('DER Concepts'!$B$6:$V$31,MATCH($C19,'DER Concepts'!$B$6:$B$31,0),MATCH(P$6,'DER Concepts'!$B$6:$V$6,0))</f>
        <v>8.5960000000000001</v>
      </c>
      <c r="Q19" s="131">
        <f>INDEX('DER Concepts'!$B$6:$V$31,MATCH($C19,'DER Concepts'!$B$6:$B$31,0),MATCH(Q$6,'DER Concepts'!$B$6:$V$6,0))</f>
        <v>10.131</v>
      </c>
      <c r="R19" s="131">
        <f>INDEX('DER Concepts'!$B$6:$V$31,MATCH($C19,'DER Concepts'!$B$6:$B$31,0),MATCH(R$6,'DER Concepts'!$B$6:$V$6,0))</f>
        <v>11.666</v>
      </c>
      <c r="S19" s="131">
        <f>INDEX('DER Concepts'!$B$6:$V$31,MATCH($C19,'DER Concepts'!$B$6:$B$31,0),MATCH(S$6,'DER Concepts'!$B$6:$V$6,0))</f>
        <v>13.201000000000001</v>
      </c>
      <c r="T19" s="126">
        <f>INDEX('Cost per Site'!$C$7:$N$33,MATCH($C19,'Cost per Site'!$C$7:$C$33,0),MATCH('Summary Table (Remove Excluded)'!T$6,'Cost per Site'!$C$7:$N$7,0))</f>
        <v>308</v>
      </c>
      <c r="U19" s="126" t="str">
        <f>INDEX('Cost per Site'!$C$7:$N$33,MATCH($C19,'Cost per Site'!$C$7:$C$33,0),MATCH('Summary Table (Remove Excluded)'!U$6,'Cost per Site'!$C$7:$N$7,0))</f>
        <v>-</v>
      </c>
      <c r="V19" s="126">
        <f>INDEX('Cost per Site'!$C$7:$N$33,MATCH($C19,'Cost per Site'!$C$7:$C$33,0),MATCH('Summary Table (Remove Excluded)'!V$6,'Cost per Site'!$C$7:$N$7,0))</f>
        <v>30</v>
      </c>
      <c r="W19" s="135">
        <f>INDEX('Cost per Site'!$C$7:$N$33,MATCH($C19,'Cost per Site'!$C$7:$C$33,0),MATCH('Summary Table (Remove Excluded)'!W$6,'Cost per Site'!$C$7:$N$7,0))</f>
        <v>0</v>
      </c>
      <c r="X19" s="135">
        <f>INDEX('Cost per Site'!$C$7:$N$33,MATCH($C19,'Cost per Site'!$C$7:$C$33,0),MATCH('Summary Table (Remove Excluded)'!X$6,'Cost per Site'!$C$7:$N$7,0))</f>
        <v>0</v>
      </c>
      <c r="Y19" s="135">
        <f>INDEX('Cost per Site'!$C$7:$N$33,MATCH($C19,'Cost per Site'!$C$7:$C$33,0),MATCH('Summary Table (Remove Excluded)'!Y$6,'Cost per Site'!$C$7:$N$7,0))</f>
        <v>8</v>
      </c>
      <c r="Z19" s="135">
        <f>INDEX('Cost per Site'!$C$7:$N$33,MATCH($C19,'Cost per Site'!$C$7:$C$33,0),MATCH('Summary Table (Remove Excluded)'!Z$6,'Cost per Site'!$C$7:$N$7,0))</f>
        <v>2165</v>
      </c>
      <c r="AA19" s="135">
        <f>INDEX('Cost per Site'!$C$7:$N$33,MATCH($C19,'Cost per Site'!$C$7:$C$33,0),MATCH('Summary Table (Remove Excluded)'!AA$6,'Cost per Site'!$C$7:$N$7,0))</f>
        <v>32</v>
      </c>
      <c r="AB19" s="126" t="str">
        <f>INDEX('Cost per Site'!$C$7:$N$33,MATCH($C19,'Cost per Site'!$C$7:$C$33,0),MATCH('Summary Table (Remove Excluded)'!AB$6,'Cost per Site'!$C$7:$N$7,0))</f>
        <v>Customer</v>
      </c>
      <c r="AC19" s="126">
        <f>INDEX('S6-Summary'!$B$17:$W$43,MATCH($B19,'S6-Summary'!$B$17:$B$43,0),MATCH('Summary Table (Remove Excluded)'!AC$6,'S6-Summary'!$B$17:$W$17,0))</f>
        <v>0.45340382079178365</v>
      </c>
      <c r="AD19" s="126">
        <f>INDEX('S6-Summary'!$B$17:$W$43,MATCH($B19,'S6-Summary'!$B$17:$B$43,0),MATCH('Summary Table (Remove Excluded)'!AD$6,'S6-Summary'!$B$17:$W$17,0))</f>
        <v>0.49574268401292115</v>
      </c>
      <c r="AE19" s="128">
        <f>INDEX(CBI!$B$10:$H$35,MATCH($C19,CBI!$B$10:$B$35,0),MATCH(AE$6,CBI!$B$10:$H$10,0))</f>
        <v>16</v>
      </c>
      <c r="AF19" s="129" t="s">
        <v>128</v>
      </c>
    </row>
    <row r="20" spans="2:32" x14ac:dyDescent="0.35">
      <c r="B20" s="130">
        <v>18</v>
      </c>
      <c r="C20" s="131">
        <v>18</v>
      </c>
      <c r="D20" s="131" t="str">
        <f>INDEX('DER Concepts'!$B$6:$V$31,MATCH($C20,'DER Concepts'!$B$6:$B$31,0),MATCH(D$6,'DER Concepts'!$B$6:$V$6,0))</f>
        <v>C&amp;I Roof-top Solar Leasing</v>
      </c>
      <c r="E20" s="131" t="str">
        <f>INDEX('DER Concepts'!$B$6:$V$31,MATCH($C20,'DER Concepts'!$B$6:$B$31,0),MATCH(E$6,'DER Concepts'!$B$6:$V$6,0))</f>
        <v>Solar</v>
      </c>
      <c r="F20" s="131" t="str">
        <f>INDEX('DER Concepts'!$B$6:$V$31,MATCH($C20,'DER Concepts'!$B$6:$B$31,0),MATCH(F$6,'DER Concepts'!$B$6:$V$6,0))</f>
        <v>FOTM</v>
      </c>
      <c r="G20" s="131" t="str">
        <f>INDEX('DER Concepts'!$B$6:$V$31,MATCH($C20,'DER Concepts'!$B$6:$B$31,0),MATCH(G$6,'DER Concepts'!$B$6:$V$6,0))</f>
        <v>PSE or PPA</v>
      </c>
      <c r="H20" s="131" t="str">
        <f>INDEX('DER Concepts'!$B$6:$V$31,MATCH($C20,'DER Concepts'!$B$6:$B$31,0),MATCH(H$6,'DER Concepts'!$B$6:$V$6,0))</f>
        <v>Yes</v>
      </c>
      <c r="I20" s="131" t="str">
        <f>INDEX('DER Concepts'!$B$6:$V$31,MATCH($C20,'DER Concepts'!$B$6:$B$31,0),MATCH(I$6,'DER Concepts'!$B$6:$V$6,0))</f>
        <v>PSE Program</v>
      </c>
      <c r="J20" s="131" t="str">
        <f>INDEX('DER Concepts'!$B$6:$V$31,MATCH($C20,'DER Concepts'!$B$6:$B$31,0),MATCH(J$6,'DER Concepts'!$B$6:$V$6,0))</f>
        <v>New</v>
      </c>
      <c r="K20" s="131">
        <f>INDEX('DER Concepts'!$B$6:$V$31,MATCH($C20,'DER Concepts'!$B$6:$B$31,0),MATCH(K$6,'DER Concepts'!$B$6:$V$6,0))</f>
        <v>8.4</v>
      </c>
      <c r="L20" s="131">
        <f>INDEX('DER Concepts'!$B$6:$V$31,MATCH($C20,'DER Concepts'!$B$6:$B$31,0),MATCH(L$6,'DER Concepts'!$B$6:$V$6,0))</f>
        <v>12.8</v>
      </c>
      <c r="M20" s="131">
        <f>INDEX('DER Concepts'!$B$6:$V$31,MATCH($C20,'DER Concepts'!$B$6:$B$31,0),MATCH(M$6,'DER Concepts'!$B$6:$V$6,0))</f>
        <v>17.2</v>
      </c>
      <c r="N20" s="131">
        <f>INDEX('DER Concepts'!$B$6:$V$31,MATCH($C20,'DER Concepts'!$B$6:$B$31,0),MATCH(N$6,'DER Concepts'!$B$6:$V$6,0))</f>
        <v>21.6</v>
      </c>
      <c r="O20" s="131">
        <f>INDEX('DER Concepts'!$B$6:$V$31,MATCH($C20,'DER Concepts'!$B$6:$B$31,0),MATCH(O$6,'DER Concepts'!$B$6:$V$6,0))</f>
        <v>21.6</v>
      </c>
      <c r="P20" s="131">
        <f>INDEX('DER Concepts'!$B$6:$V$31,MATCH($C20,'DER Concepts'!$B$6:$B$31,0),MATCH(P$6,'DER Concepts'!$B$6:$V$6,0))</f>
        <v>21.6</v>
      </c>
      <c r="Q20" s="131">
        <f>INDEX('DER Concepts'!$B$6:$V$31,MATCH($C20,'DER Concepts'!$B$6:$B$31,0),MATCH(Q$6,'DER Concepts'!$B$6:$V$6,0))</f>
        <v>21.6</v>
      </c>
      <c r="R20" s="131">
        <f>INDEX('DER Concepts'!$B$6:$V$31,MATCH($C20,'DER Concepts'!$B$6:$B$31,0),MATCH(R$6,'DER Concepts'!$B$6:$V$6,0))</f>
        <v>21.6</v>
      </c>
      <c r="S20" s="131">
        <f>INDEX('DER Concepts'!$B$6:$V$31,MATCH($C20,'DER Concepts'!$B$6:$B$31,0),MATCH(S$6,'DER Concepts'!$B$6:$V$6,0))</f>
        <v>21.6</v>
      </c>
      <c r="T20" s="126">
        <f>INDEX('Cost per Site'!$C$7:$N$33,MATCH($C20,'Cost per Site'!$C$7:$C$33,0),MATCH('Summary Table (Remove Excluded)'!T$6,'Cost per Site'!$C$7:$N$7,0))</f>
        <v>308</v>
      </c>
      <c r="U20" s="126" t="str">
        <f>INDEX('Cost per Site'!$C$7:$N$33,MATCH($C20,'Cost per Site'!$C$7:$C$33,0),MATCH('Summary Table (Remove Excluded)'!U$6,'Cost per Site'!$C$7:$N$7,0))</f>
        <v>-</v>
      </c>
      <c r="V20" s="126">
        <f>INDEX('Cost per Site'!$C$7:$N$33,MATCH($C20,'Cost per Site'!$C$7:$C$33,0),MATCH('Summary Table (Remove Excluded)'!V$6,'Cost per Site'!$C$7:$N$7,0))</f>
        <v>30</v>
      </c>
      <c r="W20" s="135">
        <f>INDEX('Cost per Site'!$C$7:$N$33,MATCH($C20,'Cost per Site'!$C$7:$C$33,0),MATCH('Summary Table (Remove Excluded)'!W$6,'Cost per Site'!$C$7:$N$7,0))</f>
        <v>2162</v>
      </c>
      <c r="X20" s="135">
        <f>INDEX('Cost per Site'!$C$7:$N$33,MATCH($C20,'Cost per Site'!$C$7:$C$33,0),MATCH('Summary Table (Remove Excluded)'!X$6,'Cost per Site'!$C$7:$N$7,0))</f>
        <v>45</v>
      </c>
      <c r="Y20" s="135">
        <f>INDEX('Cost per Site'!$C$7:$N$33,MATCH($C20,'Cost per Site'!$C$7:$C$33,0),MATCH('Summary Table (Remove Excluded)'!Y$6,'Cost per Site'!$C$7:$N$7,0))</f>
        <v>31</v>
      </c>
      <c r="Z20" s="135">
        <f>INDEX('Cost per Site'!$C$7:$N$33,MATCH($C20,'Cost per Site'!$C$7:$C$33,0),MATCH('Summary Table (Remove Excluded)'!Z$6,'Cost per Site'!$C$7:$N$7,0))</f>
        <v>0</v>
      </c>
      <c r="AA20" s="135">
        <f>INDEX('Cost per Site'!$C$7:$N$33,MATCH($C20,'Cost per Site'!$C$7:$C$33,0),MATCH('Summary Table (Remove Excluded)'!AA$6,'Cost per Site'!$C$7:$N$7,0))</f>
        <v>0</v>
      </c>
      <c r="AB20" s="126" t="str">
        <f>INDEX('Cost per Site'!$C$7:$N$33,MATCH($C20,'Cost per Site'!$C$7:$C$33,0),MATCH('Summary Table (Remove Excluded)'!AB$6,'Cost per Site'!$C$7:$N$7,0))</f>
        <v>-</v>
      </c>
      <c r="AC20" s="126">
        <f>INDEX('S6-Summary'!$B$17:$W$43,MATCH($B20,'S6-Summary'!$B$17:$B$43,0),MATCH('Summary Table (Remove Excluded)'!AC$6,'S6-Summary'!$B$17:$W$17,0))</f>
        <v>8.964012775361347</v>
      </c>
      <c r="AD20" s="126">
        <f>INDEX('S6-Summary'!$B$17:$W$43,MATCH($B20,'S6-Summary'!$B$17:$B$43,0),MATCH('Summary Table (Remove Excluded)'!AD$6,'S6-Summary'!$B$17:$W$17,0))</f>
        <v>0.3794284339748269</v>
      </c>
      <c r="AE20" s="132">
        <f>INDEX(CBI!$B$10:$H$35,MATCH($C20,CBI!$B$10:$B$35,0),MATCH(AE$6,CBI!$B$10:$H$10,0))</f>
        <v>16</v>
      </c>
      <c r="AF20" s="133" t="s">
        <v>256</v>
      </c>
    </row>
    <row r="21" spans="2:32" x14ac:dyDescent="0.35">
      <c r="B21" s="125">
        <v>19</v>
      </c>
      <c r="C21" s="126">
        <v>19</v>
      </c>
      <c r="D21" s="126" t="str">
        <f>INDEX('DER Concepts'!$B$6:$V$31,MATCH($C21,'DER Concepts'!$B$6:$B$31,0),MATCH(D$6,'DER Concepts'!$B$6:$V$6,0))</f>
        <v>Multi-Family Solar Partnership</v>
      </c>
      <c r="E21" s="126" t="str">
        <f>INDEX('DER Concepts'!$B$6:$V$31,MATCH($C21,'DER Concepts'!$B$6:$B$31,0),MATCH(E$6,'DER Concepts'!$B$6:$V$6,0))</f>
        <v>Solar</v>
      </c>
      <c r="F21" s="126" t="str">
        <f>INDEX('DER Concepts'!$B$6:$V$31,MATCH($C21,'DER Concepts'!$B$6:$B$31,0),MATCH(F$6,'DER Concepts'!$B$6:$V$6,0))</f>
        <v>BTM</v>
      </c>
      <c r="G21" s="126" t="str">
        <f>INDEX('DER Concepts'!$B$6:$V$31,MATCH($C21,'DER Concepts'!$B$6:$B$31,0),MATCH(G$6,'DER Concepts'!$B$6:$V$6,0))</f>
        <v>Landlord or 3rd Party</v>
      </c>
      <c r="H21" s="126" t="str">
        <f>INDEX('DER Concepts'!$B$6:$V$31,MATCH($C21,'DER Concepts'!$B$6:$B$31,0),MATCH(H$6,'DER Concepts'!$B$6:$V$6,0))</f>
        <v>Yes</v>
      </c>
      <c r="I21" s="126" t="str">
        <f>INDEX('DER Concepts'!$B$6:$V$31,MATCH($C21,'DER Concepts'!$B$6:$B$31,0),MATCH(I$6,'DER Concepts'!$B$6:$V$6,0))</f>
        <v>PSE Program or PSE Rate</v>
      </c>
      <c r="J21" s="126" t="str">
        <f>INDEX('DER Concepts'!$B$6:$V$31,MATCH($C21,'DER Concepts'!$B$6:$B$31,0),MATCH(J$6,'DER Concepts'!$B$6:$V$6,0))</f>
        <v>New</v>
      </c>
      <c r="K21" s="131">
        <f>INDEX('DER Concepts'!$B$6:$V$31,MATCH($C21,'DER Concepts'!$B$6:$B$31,0),MATCH(K$6,'DER Concepts'!$B$6:$V$6,0))</f>
        <v>8.3000000000000004E-2</v>
      </c>
      <c r="L21" s="131">
        <f>INDEX('DER Concepts'!$B$6:$V$31,MATCH($C21,'DER Concepts'!$B$6:$B$31,0),MATCH(L$6,'DER Concepts'!$B$6:$V$6,0))</f>
        <v>8.3000000000000004E-2</v>
      </c>
      <c r="M21" s="131">
        <f>INDEX('DER Concepts'!$B$6:$V$31,MATCH($C21,'DER Concepts'!$B$6:$B$31,0),MATCH(M$6,'DER Concepts'!$B$6:$V$6,0))</f>
        <v>8.3000000000000004E-2</v>
      </c>
      <c r="N21" s="131">
        <f>INDEX('DER Concepts'!$B$6:$V$31,MATCH($C21,'DER Concepts'!$B$6:$B$31,0),MATCH(N$6,'DER Concepts'!$B$6:$V$6,0))</f>
        <v>8.3000000000000004E-2</v>
      </c>
      <c r="O21" s="131">
        <f>INDEX('DER Concepts'!$B$6:$V$31,MATCH($C21,'DER Concepts'!$B$6:$B$31,0),MATCH(O$6,'DER Concepts'!$B$6:$V$6,0))</f>
        <v>8.3000000000000004E-2</v>
      </c>
      <c r="P21" s="131">
        <f>INDEX('DER Concepts'!$B$6:$V$31,MATCH($C21,'DER Concepts'!$B$6:$B$31,0),MATCH(P$6,'DER Concepts'!$B$6:$V$6,0))</f>
        <v>0.16600000000000001</v>
      </c>
      <c r="Q21" s="131">
        <f>INDEX('DER Concepts'!$B$6:$V$31,MATCH($C21,'DER Concepts'!$B$6:$B$31,0),MATCH(Q$6,'DER Concepts'!$B$6:$V$6,0))</f>
        <v>0.249</v>
      </c>
      <c r="R21" s="131">
        <f>INDEX('DER Concepts'!$B$6:$V$31,MATCH($C21,'DER Concepts'!$B$6:$B$31,0),MATCH(R$6,'DER Concepts'!$B$6:$V$6,0))</f>
        <v>0.249</v>
      </c>
      <c r="S21" s="131">
        <f>INDEX('DER Concepts'!$B$6:$V$31,MATCH($C21,'DER Concepts'!$B$6:$B$31,0),MATCH(S$6,'DER Concepts'!$B$6:$V$6,0))</f>
        <v>0.33200000000000002</v>
      </c>
      <c r="T21" s="126">
        <f>INDEX('Cost per Site'!$C$7:$N$33,MATCH($C21,'Cost per Site'!$C$7:$C$33,0),MATCH('Summary Table (Remove Excluded)'!T$6,'Cost per Site'!$C$7:$N$7,0))</f>
        <v>83</v>
      </c>
      <c r="U21" s="126" t="str">
        <f>INDEX('Cost per Site'!$C$7:$N$33,MATCH($C21,'Cost per Site'!$C$7:$C$33,0),MATCH('Summary Table (Remove Excluded)'!U$6,'Cost per Site'!$C$7:$N$7,0))</f>
        <v>-</v>
      </c>
      <c r="V21" s="126">
        <f>INDEX('Cost per Site'!$C$7:$N$33,MATCH($C21,'Cost per Site'!$C$7:$C$33,0),MATCH('Summary Table (Remove Excluded)'!V$6,'Cost per Site'!$C$7:$N$7,0))</f>
        <v>30</v>
      </c>
      <c r="W21" s="135">
        <f>INDEX('Cost per Site'!$C$7:$N$33,MATCH($C21,'Cost per Site'!$C$7:$C$33,0),MATCH('Summary Table (Remove Excluded)'!W$6,'Cost per Site'!$C$7:$N$7,0))</f>
        <v>0</v>
      </c>
      <c r="X21" s="135">
        <f>INDEX('Cost per Site'!$C$7:$N$33,MATCH($C21,'Cost per Site'!$C$7:$C$33,0),MATCH('Summary Table (Remove Excluded)'!X$6,'Cost per Site'!$C$7:$N$7,0))</f>
        <v>0</v>
      </c>
      <c r="Y21" s="135">
        <f>INDEX('Cost per Site'!$C$7:$N$33,MATCH($C21,'Cost per Site'!$C$7:$C$33,0),MATCH('Summary Table (Remove Excluded)'!Y$6,'Cost per Site'!$C$7:$N$7,0))</f>
        <v>47</v>
      </c>
      <c r="Z21" s="135">
        <f>INDEX('Cost per Site'!$C$7:$N$33,MATCH($C21,'Cost per Site'!$C$7:$C$33,0),MATCH('Summary Table (Remove Excluded)'!Z$6,'Cost per Site'!$C$7:$N$7,0))</f>
        <v>4027</v>
      </c>
      <c r="AA21" s="135">
        <f>INDEX('Cost per Site'!$C$7:$N$33,MATCH($C21,'Cost per Site'!$C$7:$C$33,0),MATCH('Summary Table (Remove Excluded)'!AA$6,'Cost per Site'!$C$7:$N$7,0))</f>
        <v>119</v>
      </c>
      <c r="AB21" s="126" t="str">
        <f>INDEX('Cost per Site'!$C$7:$N$33,MATCH($C21,'Cost per Site'!$C$7:$C$33,0),MATCH('Summary Table (Remove Excluded)'!AB$6,'Cost per Site'!$C$7:$N$7,0))</f>
        <v>Customer</v>
      </c>
      <c r="AC21" s="126">
        <f>INDEX('S6-Summary'!$B$17:$W$43,MATCH($B21,'S6-Summary'!$B$17:$B$43,0),MATCH('Summary Table (Remove Excluded)'!AC$6,'S6-Summary'!$B$17:$W$17,0))</f>
        <v>18.531135620948916</v>
      </c>
      <c r="AD21" s="126">
        <f>INDEX('S6-Summary'!$B$17:$W$43,MATCH($B21,'S6-Summary'!$B$17:$B$43,0),MATCH('Summary Table (Remove Excluded)'!AD$6,'S6-Summary'!$B$17:$W$17,0))</f>
        <v>0.16558823561576444</v>
      </c>
      <c r="AE21" s="128">
        <f>INDEX(CBI!$B$10:$H$35,MATCH($C21,CBI!$B$10:$B$35,0),MATCH(AE$6,CBI!$B$10:$H$10,0))</f>
        <v>16</v>
      </c>
      <c r="AF21" s="129" t="s">
        <v>128</v>
      </c>
    </row>
    <row r="22" spans="2:32" x14ac:dyDescent="0.35">
      <c r="B22" s="130">
        <v>20</v>
      </c>
      <c r="C22" s="131">
        <v>20</v>
      </c>
      <c r="D22" s="131" t="str">
        <f>INDEX('DER Concepts'!$B$6:$V$31,MATCH($C22,'DER Concepts'!$B$6:$B$31,0),MATCH(D$6,'DER Concepts'!$B$6:$V$6,0))</f>
        <v>Multi-Family Roof-top Solar Incentive</v>
      </c>
      <c r="E22" s="131" t="str">
        <f>INDEX('DER Concepts'!$B$6:$V$31,MATCH($C22,'DER Concepts'!$B$6:$B$31,0),MATCH(E$6,'DER Concepts'!$B$6:$V$6,0))</f>
        <v>Solar</v>
      </c>
      <c r="F22" s="131" t="str">
        <f>INDEX('DER Concepts'!$B$6:$V$31,MATCH($C22,'DER Concepts'!$B$6:$B$31,0),MATCH(F$6,'DER Concepts'!$B$6:$V$6,0))</f>
        <v>BTM</v>
      </c>
      <c r="G22" s="131" t="str">
        <f>INDEX('DER Concepts'!$B$6:$V$31,MATCH($C22,'DER Concepts'!$B$6:$B$31,0),MATCH(G$6,'DER Concepts'!$B$6:$V$6,0))</f>
        <v>Landlord or 3rd Party</v>
      </c>
      <c r="H22" s="131" t="str">
        <f>INDEX('DER Concepts'!$B$6:$V$31,MATCH($C22,'DER Concepts'!$B$6:$B$31,0),MATCH(H$6,'DER Concepts'!$B$6:$V$6,0))</f>
        <v>Yes</v>
      </c>
      <c r="I22" s="131" t="str">
        <f>INDEX('DER Concepts'!$B$6:$V$31,MATCH($C22,'DER Concepts'!$B$6:$B$31,0),MATCH(I$6,'DER Concepts'!$B$6:$V$6,0))</f>
        <v>PSE Program or PSE Rate</v>
      </c>
      <c r="J22" s="131" t="str">
        <f>INDEX('DER Concepts'!$B$6:$V$31,MATCH($C22,'DER Concepts'!$B$6:$B$31,0),MATCH(J$6,'DER Concepts'!$B$6:$V$6,0))</f>
        <v>New</v>
      </c>
      <c r="K22" s="131">
        <f>INDEX('DER Concepts'!$B$6:$V$31,MATCH($C22,'DER Concepts'!$B$6:$B$31,0),MATCH(K$6,'DER Concepts'!$B$6:$V$6,0))</f>
        <v>0.41499999999999998</v>
      </c>
      <c r="L22" s="131">
        <f>INDEX('DER Concepts'!$B$6:$V$31,MATCH($C22,'DER Concepts'!$B$6:$B$31,0),MATCH(L$6,'DER Concepts'!$B$6:$V$6,0))</f>
        <v>0.41499999999999998</v>
      </c>
      <c r="M22" s="131">
        <f>INDEX('DER Concepts'!$B$6:$V$31,MATCH($C22,'DER Concepts'!$B$6:$B$31,0),MATCH(M$6,'DER Concepts'!$B$6:$V$6,0))</f>
        <v>0.41499999999999998</v>
      </c>
      <c r="N22" s="131">
        <f>INDEX('DER Concepts'!$B$6:$V$31,MATCH($C22,'DER Concepts'!$B$6:$B$31,0),MATCH(N$6,'DER Concepts'!$B$6:$V$6,0))</f>
        <v>0.41499999999999998</v>
      </c>
      <c r="O22" s="131">
        <f>INDEX('DER Concepts'!$B$6:$V$31,MATCH($C22,'DER Concepts'!$B$6:$B$31,0),MATCH(O$6,'DER Concepts'!$B$6:$V$6,0))</f>
        <v>0.498</v>
      </c>
      <c r="P22" s="131">
        <f>INDEX('DER Concepts'!$B$6:$V$31,MATCH($C22,'DER Concepts'!$B$6:$B$31,0),MATCH(P$6,'DER Concepts'!$B$6:$V$6,0))</f>
        <v>0.498</v>
      </c>
      <c r="Q22" s="131">
        <f>INDEX('DER Concepts'!$B$6:$V$31,MATCH($C22,'DER Concepts'!$B$6:$B$31,0),MATCH(Q$6,'DER Concepts'!$B$6:$V$6,0))</f>
        <v>0.58099999999999996</v>
      </c>
      <c r="R22" s="131">
        <f>INDEX('DER Concepts'!$B$6:$V$31,MATCH($C22,'DER Concepts'!$B$6:$B$31,0),MATCH(R$6,'DER Concepts'!$B$6:$V$6,0))</f>
        <v>0.66400000000000003</v>
      </c>
      <c r="S22" s="131">
        <f>INDEX('DER Concepts'!$B$6:$V$31,MATCH($C22,'DER Concepts'!$B$6:$B$31,0),MATCH(S$6,'DER Concepts'!$B$6:$V$6,0))</f>
        <v>0.66400000000000003</v>
      </c>
      <c r="T22" s="126">
        <f>INDEX('Cost per Site'!$C$7:$N$33,MATCH($C22,'Cost per Site'!$C$7:$C$33,0),MATCH('Summary Table (Remove Excluded)'!T$6,'Cost per Site'!$C$7:$N$7,0))</f>
        <v>83</v>
      </c>
      <c r="U22" s="126" t="str">
        <f>INDEX('Cost per Site'!$C$7:$N$33,MATCH($C22,'Cost per Site'!$C$7:$C$33,0),MATCH('Summary Table (Remove Excluded)'!U$6,'Cost per Site'!$C$7:$N$7,0))</f>
        <v>-</v>
      </c>
      <c r="V22" s="126">
        <f>INDEX('Cost per Site'!$C$7:$N$33,MATCH($C22,'Cost per Site'!$C$7:$C$33,0),MATCH('Summary Table (Remove Excluded)'!V$6,'Cost per Site'!$C$7:$N$7,0))</f>
        <v>30</v>
      </c>
      <c r="W22" s="135">
        <f>INDEX('Cost per Site'!$C$7:$N$33,MATCH($C22,'Cost per Site'!$C$7:$C$33,0),MATCH('Summary Table (Remove Excluded)'!W$6,'Cost per Site'!$C$7:$N$7,0))</f>
        <v>0</v>
      </c>
      <c r="X22" s="135">
        <f>INDEX('Cost per Site'!$C$7:$N$33,MATCH($C22,'Cost per Site'!$C$7:$C$33,0),MATCH('Summary Table (Remove Excluded)'!X$6,'Cost per Site'!$C$7:$N$7,0))</f>
        <v>0</v>
      </c>
      <c r="Y22" s="135">
        <f>INDEX('Cost per Site'!$C$7:$N$33,MATCH($C22,'Cost per Site'!$C$7:$C$33,0),MATCH('Summary Table (Remove Excluded)'!Y$6,'Cost per Site'!$C$7:$N$7,0))</f>
        <v>172</v>
      </c>
      <c r="Z22" s="135">
        <f>INDEX('Cost per Site'!$C$7:$N$33,MATCH($C22,'Cost per Site'!$C$7:$C$33,0),MATCH('Summary Table (Remove Excluded)'!Z$6,'Cost per Site'!$C$7:$N$7,0))</f>
        <v>4027</v>
      </c>
      <c r="AA22" s="135">
        <f>INDEX('Cost per Site'!$C$7:$N$33,MATCH($C22,'Cost per Site'!$C$7:$C$33,0),MATCH('Summary Table (Remove Excluded)'!AA$6,'Cost per Site'!$C$7:$N$7,0))</f>
        <v>119</v>
      </c>
      <c r="AB22" s="126" t="str">
        <f>INDEX('Cost per Site'!$C$7:$N$33,MATCH($C22,'Cost per Site'!$C$7:$C$33,0),MATCH('Summary Table (Remove Excluded)'!AB$6,'Cost per Site'!$C$7:$N$7,0))</f>
        <v>Customer</v>
      </c>
      <c r="AC22" s="126">
        <f>INDEX('S6-Summary'!$B$17:$W$43,MATCH($B22,'S6-Summary'!$B$17:$B$43,0),MATCH('Summary Table (Remove Excluded)'!AC$6,'S6-Summary'!$B$17:$W$17,0))</f>
        <v>9.2076025756029747</v>
      </c>
      <c r="AD22" s="126">
        <f>INDEX('S6-Summary'!$B$17:$W$43,MATCH($B22,'S6-Summary'!$B$17:$B$43,0),MATCH('Summary Table (Remove Excluded)'!AD$6,'S6-Summary'!$B$17:$W$17,0))</f>
        <v>0.1173427519052541</v>
      </c>
      <c r="AE22" s="132">
        <f>INDEX(CBI!$B$10:$H$35,MATCH($C22,CBI!$B$10:$B$35,0),MATCH(AE$6,CBI!$B$10:$H$10,0))</f>
        <v>16</v>
      </c>
      <c r="AF22" s="133" t="s">
        <v>128</v>
      </c>
    </row>
    <row r="23" spans="2:32" x14ac:dyDescent="0.35">
      <c r="B23" s="125" t="s">
        <v>86</v>
      </c>
      <c r="C23" s="126" t="s">
        <v>86</v>
      </c>
      <c r="D23" s="126" t="str">
        <f>INDEX('DER Concepts'!$B$6:$V$31,MATCH($C23,'DER Concepts'!$B$6:$B$31,0),MATCH(D$6,'DER Concepts'!$B$6:$V$6,0))</f>
        <v>PSE Customer-Sited Solar+Storage Offering (Solar)</v>
      </c>
      <c r="E23" s="126" t="str">
        <f>INDEX('DER Concepts'!$B$6:$V$31,MATCH($C23,'DER Concepts'!$B$6:$B$31,0),MATCH(E$6,'DER Concepts'!$B$6:$V$6,0))</f>
        <v>Solar</v>
      </c>
      <c r="F23" s="126" t="str">
        <f>INDEX('DER Concepts'!$B$6:$V$31,MATCH($C23,'DER Concepts'!$B$6:$B$31,0),MATCH(F$6,'DER Concepts'!$B$6:$V$6,0))</f>
        <v>BTM</v>
      </c>
      <c r="G23" s="126" t="str">
        <f>INDEX('DER Concepts'!$B$6:$V$31,MATCH($C23,'DER Concepts'!$B$6:$B$31,0),MATCH(G$6,'DER Concepts'!$B$6:$V$6,0))</f>
        <v>Customer(s)</v>
      </c>
      <c r="H23" s="126" t="str">
        <f>INDEX('DER Concepts'!$B$6:$V$31,MATCH($C23,'DER Concepts'!$B$6:$B$31,0),MATCH(H$6,'DER Concepts'!$B$6:$V$6,0))</f>
        <v>Yes</v>
      </c>
      <c r="I23" s="126" t="str">
        <f>INDEX('DER Concepts'!$B$6:$V$31,MATCH($C23,'DER Concepts'!$B$6:$B$31,0),MATCH(I$6,'DER Concepts'!$B$6:$V$6,0))</f>
        <v>PSE Program</v>
      </c>
      <c r="J23" s="126" t="str">
        <f>INDEX('DER Concepts'!$B$6:$V$31,MATCH($C23,'DER Concepts'!$B$6:$B$31,0),MATCH(J$6,'DER Concepts'!$B$6:$V$6,0))</f>
        <v>New</v>
      </c>
      <c r="K23" s="131">
        <f>INDEX('DER Concepts'!$B$6:$V$31,MATCH($C23,'DER Concepts'!$B$6:$B$31,0),MATCH(K$6,'DER Concepts'!$B$6:$V$6,0))</f>
        <v>2.8679999999999999</v>
      </c>
      <c r="L23" s="131">
        <f>INDEX('DER Concepts'!$B$6:$V$31,MATCH($C23,'DER Concepts'!$B$6:$B$31,0),MATCH(L$6,'DER Concepts'!$B$6:$V$6,0))</f>
        <v>3.456</v>
      </c>
      <c r="M23" s="131">
        <f>INDEX('DER Concepts'!$B$6:$V$31,MATCH($C23,'DER Concepts'!$B$6:$B$31,0),MATCH(M$6,'DER Concepts'!$B$6:$V$6,0))</f>
        <v>4.1159999999999997</v>
      </c>
      <c r="N23" s="131">
        <f>INDEX('DER Concepts'!$B$6:$V$31,MATCH($C23,'DER Concepts'!$B$6:$B$31,0),MATCH(N$6,'DER Concepts'!$B$6:$V$6,0))</f>
        <v>4.8419999999999996</v>
      </c>
      <c r="O23" s="131">
        <f>INDEX('DER Concepts'!$B$6:$V$31,MATCH($C23,'DER Concepts'!$B$6:$B$31,0),MATCH(O$6,'DER Concepts'!$B$6:$V$6,0))</f>
        <v>5.64</v>
      </c>
      <c r="P23" s="131">
        <f>INDEX('DER Concepts'!$B$6:$V$31,MATCH($C23,'DER Concepts'!$B$6:$B$31,0),MATCH(P$6,'DER Concepts'!$B$6:$V$6,0))</f>
        <v>6.5039999999999996</v>
      </c>
      <c r="Q23" s="131">
        <f>INDEX('DER Concepts'!$B$6:$V$31,MATCH($C23,'DER Concepts'!$B$6:$B$31,0),MATCH(Q$6,'DER Concepts'!$B$6:$V$6,0))</f>
        <v>7.4340000000000002</v>
      </c>
      <c r="R23" s="131">
        <f>INDEX('DER Concepts'!$B$6:$V$31,MATCH($C23,'DER Concepts'!$B$6:$B$31,0),MATCH(R$6,'DER Concepts'!$B$6:$V$6,0))</f>
        <v>8.4179999999999993</v>
      </c>
      <c r="S23" s="131">
        <f>INDEX('DER Concepts'!$B$6:$V$31,MATCH($C23,'DER Concepts'!$B$6:$B$31,0),MATCH(S$6,'DER Concepts'!$B$6:$V$6,0))</f>
        <v>9.4559999999999995</v>
      </c>
      <c r="T23" s="126" t="str">
        <f>INDEX('Cost per Site'!$C$7:$N$33,MATCH($C23,'Cost per Site'!$C$7:$C$33,0),MATCH('Summary Table (Remove Excluded)'!T$6,'Cost per Site'!$C$7:$N$7,0))</f>
        <v>6 Solar</v>
      </c>
      <c r="U23" s="126">
        <f>INDEX('Cost per Site'!$C$7:$N$33,MATCH($C23,'Cost per Site'!$C$7:$C$33,0),MATCH('Summary Table (Remove Excluded)'!U$6,'Cost per Site'!$C$7:$N$7,0))</f>
        <v>3</v>
      </c>
      <c r="V23" s="126">
        <f>INDEX('Cost per Site'!$C$7:$N$33,MATCH($C23,'Cost per Site'!$C$7:$C$33,0),MATCH('Summary Table (Remove Excluded)'!V$6,'Cost per Site'!$C$7:$N$7,0))</f>
        <v>5</v>
      </c>
      <c r="W23" s="135">
        <f>INDEX('Cost per Site'!$C$7:$N$33,MATCH($C23,'Cost per Site'!$C$7:$C$33,0),MATCH('Summary Table (Remove Excluded)'!W$6,'Cost per Site'!$C$7:$N$7,0))</f>
        <v>0</v>
      </c>
      <c r="X23" s="135">
        <f>INDEX('Cost per Site'!$C$7:$N$33,MATCH($C23,'Cost per Site'!$C$7:$C$33,0),MATCH('Summary Table (Remove Excluded)'!X$6,'Cost per Site'!$C$7:$N$7,0))</f>
        <v>0</v>
      </c>
      <c r="Y23" s="135">
        <f>INDEX('Cost per Site'!$C$7:$N$33,MATCH($C23,'Cost per Site'!$C$7:$C$33,0),MATCH('Summary Table (Remove Excluded)'!Y$6,'Cost per Site'!$C$7:$N$7,0))</f>
        <v>88</v>
      </c>
      <c r="Z23" s="135">
        <f>INDEX('Cost per Site'!$C$7:$N$33,MATCH($C23,'Cost per Site'!$C$7:$C$33,0),MATCH('Summary Table (Remove Excluded)'!Z$6,'Cost per Site'!$C$7:$N$7,0))</f>
        <v>3394.5</v>
      </c>
      <c r="AA23" s="135">
        <f>INDEX('Cost per Site'!$C$7:$N$33,MATCH($C23,'Cost per Site'!$C$7:$C$33,0),MATCH('Summary Table (Remove Excluded)'!AA$6,'Cost per Site'!$C$7:$N$7,0))</f>
        <v>40</v>
      </c>
      <c r="AB23" s="126" t="str">
        <f>INDEX('Cost per Site'!$C$7:$N$33,MATCH($C23,'Cost per Site'!$C$7:$C$33,0),MATCH('Summary Table (Remove Excluded)'!AB$6,'Cost per Site'!$C$7:$N$7,0))</f>
        <v>Customer</v>
      </c>
      <c r="AC23" s="126">
        <f>INDEX('S6-Summary'!$B$17:$W$43,MATCH($B23,'S6-Summary'!$B$17:$B$43,0),MATCH('Summary Table (Remove Excluded)'!AC$6,'S6-Summary'!$B$17:$W$17,0))</f>
        <v>6.4572802308164361</v>
      </c>
      <c r="AD23" s="126">
        <f>INDEX('S6-Summary'!$B$17:$W$43,MATCH($B23,'S6-Summary'!$B$17:$B$43,0),MATCH('Summary Table (Remove Excluded)'!AD$6,'S6-Summary'!$B$17:$W$17,0))</f>
        <v>0.17516959361661694</v>
      </c>
      <c r="AE23" s="128">
        <f>INDEX(CBI!$B$10:$H$35,MATCH($C23,CBI!$B$10:$B$35,0),MATCH(AE$6,CBI!$B$10:$H$10,0))</f>
        <v>19</v>
      </c>
      <c r="AF23" s="129" t="s">
        <v>128</v>
      </c>
    </row>
    <row r="24" spans="2:32" x14ac:dyDescent="0.35">
      <c r="B24" s="130" t="s">
        <v>87</v>
      </c>
      <c r="C24" s="131" t="s">
        <v>87</v>
      </c>
      <c r="D24" s="131" t="str">
        <f>INDEX('DER Concepts'!$B$6:$V$31,MATCH($C24,'DER Concepts'!$B$6:$B$31,0),MATCH(D$6,'DER Concepts'!$B$6:$V$6,0))</f>
        <v>PSE Customer-Sited Solar+Storage Offering (Battery)</v>
      </c>
      <c r="E24" s="131" t="str">
        <f>INDEX('DER Concepts'!$B$6:$V$31,MATCH($C24,'DER Concepts'!$B$6:$B$31,0),MATCH(E$6,'DER Concepts'!$B$6:$V$6,0))</f>
        <v>Battery</v>
      </c>
      <c r="F24" s="131" t="str">
        <f>INDEX('DER Concepts'!$B$6:$V$31,MATCH($C24,'DER Concepts'!$B$6:$B$31,0),MATCH(F$6,'DER Concepts'!$B$6:$V$6,0))</f>
        <v>BTM</v>
      </c>
      <c r="G24" s="131" t="str">
        <f>INDEX('DER Concepts'!$B$6:$V$31,MATCH($C24,'DER Concepts'!$B$6:$B$31,0),MATCH(G$6,'DER Concepts'!$B$6:$V$6,0))</f>
        <v>Customer(s)</v>
      </c>
      <c r="H24" s="131" t="str">
        <f>INDEX('DER Concepts'!$B$6:$V$31,MATCH($C24,'DER Concepts'!$B$6:$B$31,0),MATCH(H$6,'DER Concepts'!$B$6:$V$6,0))</f>
        <v>Yes</v>
      </c>
      <c r="I24" s="131" t="str">
        <f>INDEX('DER Concepts'!$B$6:$V$31,MATCH($C24,'DER Concepts'!$B$6:$B$31,0),MATCH(I$6,'DER Concepts'!$B$6:$V$6,0))</f>
        <v>PSE Program</v>
      </c>
      <c r="J24" s="131" t="str">
        <f>INDEX('DER Concepts'!$B$6:$V$31,MATCH($C24,'DER Concepts'!$B$6:$B$31,0),MATCH(J$6,'DER Concepts'!$B$6:$V$6,0))</f>
        <v>New</v>
      </c>
      <c r="K24" s="131">
        <f>INDEX('DER Concepts'!$B$6:$V$31,MATCH($C24,'DER Concepts'!$B$6:$B$31,0),MATCH(K$6,'DER Concepts'!$B$6:$V$6,0))</f>
        <v>2.39</v>
      </c>
      <c r="L24" s="131">
        <f>INDEX('DER Concepts'!$B$6:$V$31,MATCH($C24,'DER Concepts'!$B$6:$B$31,0),MATCH(L$6,'DER Concepts'!$B$6:$V$6,0))</f>
        <v>2.88</v>
      </c>
      <c r="M24" s="131">
        <f>INDEX('DER Concepts'!$B$6:$V$31,MATCH($C24,'DER Concepts'!$B$6:$B$31,0),MATCH(M$6,'DER Concepts'!$B$6:$V$6,0))</f>
        <v>3.43</v>
      </c>
      <c r="N24" s="131">
        <f>INDEX('DER Concepts'!$B$6:$V$31,MATCH($C24,'DER Concepts'!$B$6:$B$31,0),MATCH(N$6,'DER Concepts'!$B$6:$V$6,0))</f>
        <v>4.0350000000000001</v>
      </c>
      <c r="O24" s="131">
        <f>INDEX('DER Concepts'!$B$6:$V$31,MATCH($C24,'DER Concepts'!$B$6:$B$31,0),MATCH(O$6,'DER Concepts'!$B$6:$V$6,0))</f>
        <v>4.7</v>
      </c>
      <c r="P24" s="131">
        <f>INDEX('DER Concepts'!$B$6:$V$31,MATCH($C24,'DER Concepts'!$B$6:$B$31,0),MATCH(P$6,'DER Concepts'!$B$6:$V$6,0))</f>
        <v>5.42</v>
      </c>
      <c r="Q24" s="131">
        <f>INDEX('DER Concepts'!$B$6:$V$31,MATCH($C24,'DER Concepts'!$B$6:$B$31,0),MATCH(Q$6,'DER Concepts'!$B$6:$V$6,0))</f>
        <v>6.1950000000000003</v>
      </c>
      <c r="R24" s="131">
        <f>INDEX('DER Concepts'!$B$6:$V$31,MATCH($C24,'DER Concepts'!$B$6:$B$31,0),MATCH(R$6,'DER Concepts'!$B$6:$V$6,0))</f>
        <v>7.0149999999999997</v>
      </c>
      <c r="S24" s="131">
        <f>INDEX('DER Concepts'!$B$6:$V$31,MATCH($C24,'DER Concepts'!$B$6:$B$31,0),MATCH(S$6,'DER Concepts'!$B$6:$V$6,0))</f>
        <v>7.88</v>
      </c>
      <c r="T24" s="126" t="str">
        <f>INDEX('Cost per Site'!$C$7:$N$33,MATCH($C24,'Cost per Site'!$C$7:$C$33,0),MATCH('Summary Table (Remove Excluded)'!T$6,'Cost per Site'!$C$7:$N$7,0))</f>
        <v>6 Solar</v>
      </c>
      <c r="U24" s="126">
        <f>INDEX('Cost per Site'!$C$7:$N$33,MATCH($C24,'Cost per Site'!$C$7:$C$33,0),MATCH('Summary Table (Remove Excluded)'!U$6,'Cost per Site'!$C$7:$N$7,0))</f>
        <v>3</v>
      </c>
      <c r="V24" s="126">
        <f>INDEX('Cost per Site'!$C$7:$N$33,MATCH($C24,'Cost per Site'!$C$7:$C$33,0),MATCH('Summary Table (Remove Excluded)'!V$6,'Cost per Site'!$C$7:$N$7,0))</f>
        <v>5</v>
      </c>
      <c r="W24" s="135">
        <f>INDEX('Cost per Site'!$C$7:$N$33,MATCH($C24,'Cost per Site'!$C$7:$C$33,0),MATCH('Summary Table (Remove Excluded)'!W$6,'Cost per Site'!$C$7:$N$7,0))</f>
        <v>0</v>
      </c>
      <c r="X24" s="135">
        <f>INDEX('Cost per Site'!$C$7:$N$33,MATCH($C24,'Cost per Site'!$C$7:$C$33,0),MATCH('Summary Table (Remove Excluded)'!X$6,'Cost per Site'!$C$7:$N$7,0))</f>
        <v>0</v>
      </c>
      <c r="Y24" s="135">
        <f>INDEX('Cost per Site'!$C$7:$N$33,MATCH($C24,'Cost per Site'!$C$7:$C$33,0),MATCH('Summary Table (Remove Excluded)'!Y$6,'Cost per Site'!$C$7:$N$7,0))</f>
        <v>88</v>
      </c>
      <c r="Z24" s="135">
        <f>INDEX('Cost per Site'!$C$7:$N$33,MATCH($C24,'Cost per Site'!$C$7:$C$33,0),MATCH('Summary Table (Remove Excluded)'!Z$6,'Cost per Site'!$C$7:$N$7,0))</f>
        <v>3394.5</v>
      </c>
      <c r="AA24" s="135">
        <f>INDEX('Cost per Site'!$C$7:$N$33,MATCH($C24,'Cost per Site'!$C$7:$C$33,0),MATCH('Summary Table (Remove Excluded)'!AA$6,'Cost per Site'!$C$7:$N$7,0))</f>
        <v>40</v>
      </c>
      <c r="AB24" s="126" t="str">
        <f>INDEX('Cost per Site'!$C$7:$N$33,MATCH($C24,'Cost per Site'!$C$7:$C$33,0),MATCH('Summary Table (Remove Excluded)'!AB$6,'Cost per Site'!$C$7:$N$7,0))</f>
        <v>Customer</v>
      </c>
      <c r="AC24" s="126">
        <f>INDEX('S6-Summary'!$B$17:$W$43,MATCH($B24,'S6-Summary'!$B$17:$B$43,0),MATCH('Summary Table (Remove Excluded)'!AC$6,'S6-Summary'!$B$17:$W$17,0))</f>
        <v>6.4572802308164361</v>
      </c>
      <c r="AD24" s="126">
        <f>INDEX('S6-Summary'!$B$17:$W$43,MATCH($B24,'S6-Summary'!$B$17:$B$43,0),MATCH('Summary Table (Remove Excluded)'!AD$6,'S6-Summary'!$B$17:$W$17,0))</f>
        <v>0.17516959361661694</v>
      </c>
      <c r="AE24" s="132">
        <f>INDEX(CBI!$B$10:$H$35,MATCH($C24,CBI!$B$10:$B$35,0),MATCH(AE$6,CBI!$B$10:$H$10,0))</f>
        <v>19</v>
      </c>
      <c r="AF24" s="133" t="s">
        <v>128</v>
      </c>
    </row>
    <row r="25" spans="2:32" x14ac:dyDescent="0.35">
      <c r="B25" s="125">
        <v>22</v>
      </c>
      <c r="C25" s="126">
        <v>22</v>
      </c>
      <c r="D25" s="126" t="str">
        <f>INDEX('DER Concepts'!$B$6:$V$31,MATCH($C25,'DER Concepts'!$B$6:$B$31,0),MATCH(D$6,'DER Concepts'!$B$6:$V$6,0))</f>
        <v>Residential Roof-top Solar Leasing</v>
      </c>
      <c r="E25" s="126" t="str">
        <f>INDEX('DER Concepts'!$B$6:$V$31,MATCH($C25,'DER Concepts'!$B$6:$B$31,0),MATCH(E$6,'DER Concepts'!$B$6:$V$6,0))</f>
        <v>Solar</v>
      </c>
      <c r="F25" s="126" t="str">
        <f>INDEX('DER Concepts'!$B$6:$V$31,MATCH($C25,'DER Concepts'!$B$6:$B$31,0),MATCH(F$6,'DER Concepts'!$B$6:$V$6,0))</f>
        <v>FOTM</v>
      </c>
      <c r="G25" s="126" t="str">
        <f>INDEX('DER Concepts'!$B$6:$V$31,MATCH($C25,'DER Concepts'!$B$6:$B$31,0),MATCH(G$6,'DER Concepts'!$B$6:$V$6,0))</f>
        <v>PSE or PPA</v>
      </c>
      <c r="H25" s="126" t="str">
        <f>INDEX('DER Concepts'!$B$6:$V$31,MATCH($C25,'DER Concepts'!$B$6:$B$31,0),MATCH(H$6,'DER Concepts'!$B$6:$V$6,0))</f>
        <v>Yes</v>
      </c>
      <c r="I25" s="126" t="str">
        <f>INDEX('DER Concepts'!$B$6:$V$31,MATCH($C25,'DER Concepts'!$B$6:$B$31,0),MATCH(I$6,'DER Concepts'!$B$6:$V$6,0))</f>
        <v>PSE Program</v>
      </c>
      <c r="J25" s="126" t="str">
        <f>INDEX('DER Concepts'!$B$6:$V$31,MATCH($C25,'DER Concepts'!$B$6:$B$31,0),MATCH(J$6,'DER Concepts'!$B$6:$V$6,0))</f>
        <v>New</v>
      </c>
      <c r="K25" s="131">
        <f>INDEX('DER Concepts'!$B$6:$V$31,MATCH($C25,'DER Concepts'!$B$6:$B$31,0),MATCH(K$6,'DER Concepts'!$B$6:$V$6,0))</f>
        <v>0.64800000000000002</v>
      </c>
      <c r="L25" s="131">
        <f>INDEX('DER Concepts'!$B$6:$V$31,MATCH($C25,'DER Concepts'!$B$6:$B$31,0),MATCH(L$6,'DER Concepts'!$B$6:$V$6,0))</f>
        <v>0.97799999999999998</v>
      </c>
      <c r="M25" s="131">
        <f>INDEX('DER Concepts'!$B$6:$V$31,MATCH($C25,'DER Concepts'!$B$6:$B$31,0),MATCH(M$6,'DER Concepts'!$B$6:$V$6,0))</f>
        <v>1.38</v>
      </c>
      <c r="N25" s="131">
        <f>INDEX('DER Concepts'!$B$6:$V$31,MATCH($C25,'DER Concepts'!$B$6:$B$31,0),MATCH(N$6,'DER Concepts'!$B$6:$V$6,0))</f>
        <v>1.788</v>
      </c>
      <c r="O25" s="131">
        <f>INDEX('DER Concepts'!$B$6:$V$31,MATCH($C25,'DER Concepts'!$B$6:$B$31,0),MATCH(O$6,'DER Concepts'!$B$6:$V$6,0))</f>
        <v>2.4660000000000002</v>
      </c>
      <c r="P25" s="131">
        <f>INDEX('DER Concepts'!$B$6:$V$31,MATCH($C25,'DER Concepts'!$B$6:$B$31,0),MATCH(P$6,'DER Concepts'!$B$6:$V$6,0))</f>
        <v>3.2759999999999998</v>
      </c>
      <c r="Q25" s="131">
        <f>INDEX('DER Concepts'!$B$6:$V$31,MATCH($C25,'DER Concepts'!$B$6:$B$31,0),MATCH(Q$6,'DER Concepts'!$B$6:$V$6,0))</f>
        <v>4.1820000000000004</v>
      </c>
      <c r="R25" s="131">
        <f>INDEX('DER Concepts'!$B$6:$V$31,MATCH($C25,'DER Concepts'!$B$6:$B$31,0),MATCH(R$6,'DER Concepts'!$B$6:$V$6,0))</f>
        <v>5.2859999999999996</v>
      </c>
      <c r="S25" s="131">
        <f>INDEX('DER Concepts'!$B$6:$V$31,MATCH($C25,'DER Concepts'!$B$6:$B$31,0),MATCH(S$6,'DER Concepts'!$B$6:$V$6,0))</f>
        <v>6.6779999999999999</v>
      </c>
      <c r="T25" s="126">
        <f>INDEX('Cost per Site'!$C$7:$N$33,MATCH($C25,'Cost per Site'!$C$7:$C$33,0),MATCH('Summary Table (Remove Excluded)'!T$6,'Cost per Site'!$C$7:$N$7,0))</f>
        <v>6</v>
      </c>
      <c r="U25" s="126" t="str">
        <f>INDEX('Cost per Site'!$C$7:$N$33,MATCH($C25,'Cost per Site'!$C$7:$C$33,0),MATCH('Summary Table (Remove Excluded)'!U$6,'Cost per Site'!$C$7:$N$7,0))</f>
        <v>-</v>
      </c>
      <c r="V25" s="126">
        <f>INDEX('Cost per Site'!$C$7:$N$33,MATCH($C25,'Cost per Site'!$C$7:$C$33,0),MATCH('Summary Table (Remove Excluded)'!V$6,'Cost per Site'!$C$7:$N$7,0))</f>
        <v>30</v>
      </c>
      <c r="W25" s="135">
        <f>INDEX('Cost per Site'!$C$7:$N$33,MATCH($C25,'Cost per Site'!$C$7:$C$33,0),MATCH('Summary Table (Remove Excluded)'!W$6,'Cost per Site'!$C$7:$N$7,0))</f>
        <v>3547</v>
      </c>
      <c r="X25" s="135">
        <f>INDEX('Cost per Site'!$C$7:$N$33,MATCH($C25,'Cost per Site'!$C$7:$C$33,0),MATCH('Summary Table (Remove Excluded)'!X$6,'Cost per Site'!$C$7:$N$7,0))</f>
        <v>163</v>
      </c>
      <c r="Y25" s="135">
        <f>INDEX('Cost per Site'!$C$7:$N$33,MATCH($C25,'Cost per Site'!$C$7:$C$33,0),MATCH('Summary Table (Remove Excluded)'!Y$6,'Cost per Site'!$C$7:$N$7,0))</f>
        <v>46</v>
      </c>
      <c r="Z25" s="135">
        <f>INDEX('Cost per Site'!$C$7:$N$33,MATCH($C25,'Cost per Site'!$C$7:$C$33,0),MATCH('Summary Table (Remove Excluded)'!Z$6,'Cost per Site'!$C$7:$N$7,0))</f>
        <v>0</v>
      </c>
      <c r="AA25" s="135">
        <f>INDEX('Cost per Site'!$C$7:$N$33,MATCH($C25,'Cost per Site'!$C$7:$C$33,0),MATCH('Summary Table (Remove Excluded)'!AA$6,'Cost per Site'!$C$7:$N$7,0))</f>
        <v>0</v>
      </c>
      <c r="AB25" s="126" t="str">
        <f>INDEX('Cost per Site'!$C$7:$N$33,MATCH($C25,'Cost per Site'!$C$7:$C$33,0),MATCH('Summary Table (Remove Excluded)'!AB$6,'Cost per Site'!$C$7:$N$7,0))</f>
        <v>-</v>
      </c>
      <c r="AC25" s="126">
        <f>INDEX('S6-Summary'!$B$17:$W$43,MATCH($B25,'S6-Summary'!$B$17:$B$43,0),MATCH('Summary Table (Remove Excluded)'!AC$6,'S6-Summary'!$B$17:$W$17,0))</f>
        <v>18.415985147405596</v>
      </c>
      <c r="AD25" s="126">
        <f>INDEX('S6-Summary'!$B$17:$W$43,MATCH($B25,'S6-Summary'!$B$17:$B$43,0),MATCH('Summary Table (Remove Excluded)'!AD$6,'S6-Summary'!$B$17:$W$17,0))</f>
        <v>0.21121505752351757</v>
      </c>
      <c r="AE25" s="128">
        <f>INDEX(CBI!$B$10:$H$35,MATCH($C25,CBI!$B$10:$B$35,0),MATCH(AE$6,CBI!$B$10:$H$10,0))</f>
        <v>16</v>
      </c>
      <c r="AF25" s="129" t="s">
        <v>128</v>
      </c>
    </row>
    <row r="26" spans="2:32" x14ac:dyDescent="0.35">
      <c r="B26" s="130">
        <v>23</v>
      </c>
      <c r="C26" s="131">
        <v>23</v>
      </c>
      <c r="D26" s="131" t="str">
        <f>INDEX('DER Concepts'!$B$6:$V$31,MATCH($C26,'DER Concepts'!$B$6:$B$31,0),MATCH(D$6,'DER Concepts'!$B$6:$V$6,0))</f>
        <v>Residential Roof-top Solar Leasing - Low Income</v>
      </c>
      <c r="E26" s="131" t="str">
        <f>INDEX('DER Concepts'!$B$6:$V$31,MATCH($C26,'DER Concepts'!$B$6:$B$31,0),MATCH(E$6,'DER Concepts'!$B$6:$V$6,0))</f>
        <v>Solar</v>
      </c>
      <c r="F26" s="131" t="str">
        <f>INDEX('DER Concepts'!$B$6:$V$31,MATCH($C26,'DER Concepts'!$B$6:$B$31,0),MATCH(F$6,'DER Concepts'!$B$6:$V$6,0))</f>
        <v>FOTM</v>
      </c>
      <c r="G26" s="131" t="str">
        <f>INDEX('DER Concepts'!$B$6:$V$31,MATCH($C26,'DER Concepts'!$B$6:$B$31,0),MATCH(G$6,'DER Concepts'!$B$6:$V$6,0))</f>
        <v>PSE or PPA</v>
      </c>
      <c r="H26" s="131" t="str">
        <f>INDEX('DER Concepts'!$B$6:$V$31,MATCH($C26,'DER Concepts'!$B$6:$B$31,0),MATCH(H$6,'DER Concepts'!$B$6:$V$6,0))</f>
        <v>Yes</v>
      </c>
      <c r="I26" s="131" t="str">
        <f>INDEX('DER Concepts'!$B$6:$V$31,MATCH($C26,'DER Concepts'!$B$6:$B$31,0),MATCH(I$6,'DER Concepts'!$B$6:$V$6,0))</f>
        <v>PSE Program</v>
      </c>
      <c r="J26" s="131" t="str">
        <f>INDEX('DER Concepts'!$B$6:$V$31,MATCH($C26,'DER Concepts'!$B$6:$B$31,0),MATCH(J$6,'DER Concepts'!$B$6:$V$6,0))</f>
        <v>New</v>
      </c>
      <c r="K26" s="131">
        <f>INDEX('DER Concepts'!$B$6:$V$31,MATCH($C26,'DER Concepts'!$B$6:$B$31,0),MATCH(K$6,'DER Concepts'!$B$6:$V$6,0))</f>
        <v>0.09</v>
      </c>
      <c r="L26" s="131">
        <f>INDEX('DER Concepts'!$B$6:$V$31,MATCH($C26,'DER Concepts'!$B$6:$B$31,0),MATCH(L$6,'DER Concepts'!$B$6:$V$6,0))</f>
        <v>0.13800000000000001</v>
      </c>
      <c r="M26" s="131">
        <f>INDEX('DER Concepts'!$B$6:$V$31,MATCH($C26,'DER Concepts'!$B$6:$B$31,0),MATCH(M$6,'DER Concepts'!$B$6:$V$6,0))</f>
        <v>0.19800000000000001</v>
      </c>
      <c r="N26" s="131">
        <f>INDEX('DER Concepts'!$B$6:$V$31,MATCH($C26,'DER Concepts'!$B$6:$B$31,0),MATCH(N$6,'DER Concepts'!$B$6:$V$6,0))</f>
        <v>0.252</v>
      </c>
      <c r="O26" s="131">
        <f>INDEX('DER Concepts'!$B$6:$V$31,MATCH($C26,'DER Concepts'!$B$6:$B$31,0),MATCH(O$6,'DER Concepts'!$B$6:$V$6,0))</f>
        <v>0.34799999999999998</v>
      </c>
      <c r="P26" s="131">
        <f>INDEX('DER Concepts'!$B$6:$V$31,MATCH($C26,'DER Concepts'!$B$6:$B$31,0),MATCH(P$6,'DER Concepts'!$B$6:$V$6,0))</f>
        <v>0.46200000000000002</v>
      </c>
      <c r="Q26" s="131">
        <f>INDEX('DER Concepts'!$B$6:$V$31,MATCH($C26,'DER Concepts'!$B$6:$B$31,0),MATCH(Q$6,'DER Concepts'!$B$6:$V$6,0))</f>
        <v>0.59399999999999997</v>
      </c>
      <c r="R26" s="131">
        <f>INDEX('DER Concepts'!$B$6:$V$31,MATCH($C26,'DER Concepts'!$B$6:$B$31,0),MATCH(R$6,'DER Concepts'!$B$6:$V$6,0))</f>
        <v>0.75</v>
      </c>
      <c r="S26" s="131">
        <f>INDEX('DER Concepts'!$B$6:$V$31,MATCH($C26,'DER Concepts'!$B$6:$B$31,0),MATCH(S$6,'DER Concepts'!$B$6:$V$6,0))</f>
        <v>0.94799999999999995</v>
      </c>
      <c r="T26" s="126">
        <f>INDEX('Cost per Site'!$C$7:$N$33,MATCH($C26,'Cost per Site'!$C$7:$C$33,0),MATCH('Summary Table (Remove Excluded)'!T$6,'Cost per Site'!$C$7:$N$7,0))</f>
        <v>6</v>
      </c>
      <c r="U26" s="126" t="str">
        <f>INDEX('Cost per Site'!$C$7:$N$33,MATCH($C26,'Cost per Site'!$C$7:$C$33,0),MATCH('Summary Table (Remove Excluded)'!U$6,'Cost per Site'!$C$7:$N$7,0))</f>
        <v>-</v>
      </c>
      <c r="V26" s="126">
        <f>INDEX('Cost per Site'!$C$7:$N$33,MATCH($C26,'Cost per Site'!$C$7:$C$33,0),MATCH('Summary Table (Remove Excluded)'!V$6,'Cost per Site'!$C$7:$N$7,0))</f>
        <v>30</v>
      </c>
      <c r="W26" s="135">
        <f>INDEX('Cost per Site'!$C$7:$N$33,MATCH($C26,'Cost per Site'!$C$7:$C$33,0),MATCH('Summary Table (Remove Excluded)'!W$6,'Cost per Site'!$C$7:$N$7,0))</f>
        <v>4439</v>
      </c>
      <c r="X26" s="135">
        <f>INDEX('Cost per Site'!$C$7:$N$33,MATCH($C26,'Cost per Site'!$C$7:$C$33,0),MATCH('Summary Table (Remove Excluded)'!X$6,'Cost per Site'!$C$7:$N$7,0))</f>
        <v>204</v>
      </c>
      <c r="Y26" s="135">
        <f>INDEX('Cost per Site'!$C$7:$N$33,MATCH($C26,'Cost per Site'!$C$7:$C$33,0),MATCH('Summary Table (Remove Excluded)'!Y$6,'Cost per Site'!$C$7:$N$7,0))</f>
        <v>46</v>
      </c>
      <c r="Z26" s="135">
        <f>INDEX('Cost per Site'!$C$7:$N$33,MATCH($C26,'Cost per Site'!$C$7:$C$33,0),MATCH('Summary Table (Remove Excluded)'!Z$6,'Cost per Site'!$C$7:$N$7,0))</f>
        <v>0</v>
      </c>
      <c r="AA26" s="135">
        <f>INDEX('Cost per Site'!$C$7:$N$33,MATCH($C26,'Cost per Site'!$C$7:$C$33,0),MATCH('Summary Table (Remove Excluded)'!AA$6,'Cost per Site'!$C$7:$N$7,0))</f>
        <v>0</v>
      </c>
      <c r="AB26" s="126" t="str">
        <f>INDEX('Cost per Site'!$C$7:$N$33,MATCH($C26,'Cost per Site'!$C$7:$C$33,0),MATCH('Summary Table (Remove Excluded)'!AB$6,'Cost per Site'!$C$7:$N$7,0))</f>
        <v>-</v>
      </c>
      <c r="AC26" s="126">
        <f>INDEX('S6-Summary'!$B$17:$W$43,MATCH($B26,'S6-Summary'!$B$17:$B$43,0),MATCH('Summary Table (Remove Excluded)'!AC$6,'S6-Summary'!$B$17:$W$17,0))</f>
        <v>22.472664936145215</v>
      </c>
      <c r="AD26" s="126">
        <f>INDEX('S6-Summary'!$B$17:$W$43,MATCH($B26,'S6-Summary'!$B$17:$B$43,0),MATCH('Summary Table (Remove Excluded)'!AD$6,'S6-Summary'!$B$17:$W$17,0))</f>
        <v>0.17595976874201763</v>
      </c>
      <c r="AE26" s="132">
        <f>INDEX(CBI!$B$10:$H$35,MATCH($C26,CBI!$B$10:$B$35,0),MATCH(AE$6,CBI!$B$10:$H$10,0))</f>
        <v>17</v>
      </c>
      <c r="AF26" s="133" t="s">
        <v>128</v>
      </c>
    </row>
    <row r="27" spans="2:32" x14ac:dyDescent="0.35">
      <c r="B27" s="125">
        <v>24</v>
      </c>
      <c r="C27" s="126">
        <v>24</v>
      </c>
      <c r="D27" s="126" t="str">
        <f>INDEX('DER Concepts'!$B$6:$V$31,MATCH($C27,'DER Concepts'!$B$6:$B$31,0),MATCH(D$6,'DER Concepts'!$B$6:$V$6,0))</f>
        <v>C&amp;I Battery BYO</v>
      </c>
      <c r="E27" s="126" t="str">
        <f>INDEX('DER Concepts'!$B$6:$V$31,MATCH($C27,'DER Concepts'!$B$6:$B$31,0),MATCH(E$6,'DER Concepts'!$B$6:$V$6,0))</f>
        <v>Battery</v>
      </c>
      <c r="F27" s="126" t="str">
        <f>INDEX('DER Concepts'!$B$6:$V$31,MATCH($C27,'DER Concepts'!$B$6:$B$31,0),MATCH(F$6,'DER Concepts'!$B$6:$V$6,0))</f>
        <v>BTM</v>
      </c>
      <c r="G27" s="126" t="str">
        <f>INDEX('DER Concepts'!$B$6:$V$31,MATCH($C27,'DER Concepts'!$B$6:$B$31,0),MATCH(G$6,'DER Concepts'!$B$6:$V$6,0))</f>
        <v>Customer(s)</v>
      </c>
      <c r="H27" s="126" t="str">
        <f>INDEX('DER Concepts'!$B$6:$V$31,MATCH($C27,'DER Concepts'!$B$6:$B$31,0),MATCH(H$6,'DER Concepts'!$B$6:$V$6,0))</f>
        <v>Yes</v>
      </c>
      <c r="I27" s="126" t="str">
        <f>INDEX('DER Concepts'!$B$6:$V$31,MATCH($C27,'DER Concepts'!$B$6:$B$31,0),MATCH(I$6,'DER Concepts'!$B$6:$V$6,0))</f>
        <v>PSE Incentive</v>
      </c>
      <c r="J27" s="126" t="str">
        <f>INDEX('DER Concepts'!$B$6:$V$31,MATCH($C27,'DER Concepts'!$B$6:$B$31,0),MATCH(J$6,'DER Concepts'!$B$6:$V$6,0))</f>
        <v>New</v>
      </c>
      <c r="K27" s="131">
        <f>INDEX('DER Concepts'!$B$6:$V$31,MATCH($C27,'DER Concepts'!$B$6:$B$31,0),MATCH(K$6,'DER Concepts'!$B$6:$V$6,0))</f>
        <v>0.2</v>
      </c>
      <c r="L27" s="131">
        <f>INDEX('DER Concepts'!$B$6:$V$31,MATCH($C27,'DER Concepts'!$B$6:$B$31,0),MATCH(L$6,'DER Concepts'!$B$6:$V$6,0))</f>
        <v>0.4</v>
      </c>
      <c r="M27" s="131">
        <f>INDEX('DER Concepts'!$B$6:$V$31,MATCH($C27,'DER Concepts'!$B$6:$B$31,0),MATCH(M$6,'DER Concepts'!$B$6:$V$6,0))</f>
        <v>0.4</v>
      </c>
      <c r="N27" s="131">
        <f>INDEX('DER Concepts'!$B$6:$V$31,MATCH($C27,'DER Concepts'!$B$6:$B$31,0),MATCH(N$6,'DER Concepts'!$B$6:$V$6,0))</f>
        <v>0.6</v>
      </c>
      <c r="O27" s="131">
        <f>INDEX('DER Concepts'!$B$6:$V$31,MATCH($C27,'DER Concepts'!$B$6:$B$31,0),MATCH(O$6,'DER Concepts'!$B$6:$V$6,0))</f>
        <v>0.8</v>
      </c>
      <c r="P27" s="131">
        <f>INDEX('DER Concepts'!$B$6:$V$31,MATCH($C27,'DER Concepts'!$B$6:$B$31,0),MATCH(P$6,'DER Concepts'!$B$6:$V$6,0))</f>
        <v>1</v>
      </c>
      <c r="Q27" s="131">
        <f>INDEX('DER Concepts'!$B$6:$V$31,MATCH($C27,'DER Concepts'!$B$6:$B$31,0),MATCH(Q$6,'DER Concepts'!$B$6:$V$6,0))</f>
        <v>1.2</v>
      </c>
      <c r="R27" s="131">
        <f>INDEX('DER Concepts'!$B$6:$V$31,MATCH($C27,'DER Concepts'!$B$6:$B$31,0),MATCH(R$6,'DER Concepts'!$B$6:$V$6,0))</f>
        <v>1.4</v>
      </c>
      <c r="S27" s="131">
        <f>INDEX('DER Concepts'!$B$6:$V$31,MATCH($C27,'DER Concepts'!$B$6:$B$31,0),MATCH(S$6,'DER Concepts'!$B$6:$V$6,0))</f>
        <v>1.8</v>
      </c>
      <c r="T27" s="126">
        <f>INDEX('Cost per Site'!$C$7:$N$33,MATCH($C27,'Cost per Site'!$C$7:$C$33,0),MATCH('Summary Table (Remove Excluded)'!T$6,'Cost per Site'!$C$7:$N$7,0))</f>
        <v>200</v>
      </c>
      <c r="U27" s="126">
        <f>INDEX('Cost per Site'!$C$7:$N$33,MATCH($C27,'Cost per Site'!$C$7:$C$33,0),MATCH('Summary Table (Remove Excluded)'!U$6,'Cost per Site'!$C$7:$N$7,0))</f>
        <v>2</v>
      </c>
      <c r="V27" s="126">
        <f>INDEX('Cost per Site'!$C$7:$N$33,MATCH($C27,'Cost per Site'!$C$7:$C$33,0),MATCH('Summary Table (Remove Excluded)'!V$6,'Cost per Site'!$C$7:$N$7,0))</f>
        <v>10</v>
      </c>
      <c r="W27" s="135">
        <f>INDEX('Cost per Site'!$C$7:$N$33,MATCH($C27,'Cost per Site'!$C$7:$C$33,0),MATCH('Summary Table (Remove Excluded)'!W$6,'Cost per Site'!$C$7:$N$7,0))</f>
        <v>0</v>
      </c>
      <c r="X27" s="135">
        <f>INDEX('Cost per Site'!$C$7:$N$33,MATCH($C27,'Cost per Site'!$C$7:$C$33,0),MATCH('Summary Table (Remove Excluded)'!X$6,'Cost per Site'!$C$7:$N$7,0))</f>
        <v>0</v>
      </c>
      <c r="Y27" s="135">
        <f>INDEX('Cost per Site'!$C$7:$N$33,MATCH($C27,'Cost per Site'!$C$7:$C$33,0),MATCH('Summary Table (Remove Excluded)'!Y$6,'Cost per Site'!$C$7:$N$7,0))</f>
        <v>7</v>
      </c>
      <c r="Z27" s="135">
        <f>INDEX('Cost per Site'!$C$7:$N$33,MATCH($C27,'Cost per Site'!$C$7:$C$33,0),MATCH('Summary Table (Remove Excluded)'!Z$6,'Cost per Site'!$C$7:$N$7,0))</f>
        <v>3072</v>
      </c>
      <c r="AA27" s="135">
        <f>INDEX('Cost per Site'!$C$7:$N$33,MATCH($C27,'Cost per Site'!$C$7:$C$33,0),MATCH('Summary Table (Remove Excluded)'!AA$6,'Cost per Site'!$C$7:$N$7,0))</f>
        <v>23</v>
      </c>
      <c r="AB27" s="126" t="str">
        <f>INDEX('Cost per Site'!$C$7:$N$33,MATCH($C27,'Cost per Site'!$C$7:$C$33,0),MATCH('Summary Table (Remove Excluded)'!AB$6,'Cost per Site'!$C$7:$N$7,0))</f>
        <v>Customer</v>
      </c>
      <c r="AC27" s="126">
        <f>INDEX('S6-Summary'!$B$17:$W$43,MATCH($B27,'S6-Summary'!$B$17:$B$43,0),MATCH('Summary Table (Remove Excluded)'!AC$6,'S6-Summary'!$B$17:$W$17,0))</f>
        <v>-0.52515932611883698</v>
      </c>
      <c r="AD27" s="126">
        <f>INDEX('S6-Summary'!$B$17:$W$43,MATCH($B27,'S6-Summary'!$B$17:$B$43,0),MATCH('Summary Table (Remove Excluded)'!AD$6,'S6-Summary'!$B$17:$W$17,0))</f>
        <v>0.25758908336664499</v>
      </c>
      <c r="AE27" s="128">
        <f>INDEX(CBI!$B$10:$H$35,MATCH($C27,CBI!$B$10:$B$35,0),MATCH(AE$6,CBI!$B$10:$H$10,0))</f>
        <v>13</v>
      </c>
      <c r="AF27" s="129" t="s">
        <v>256</v>
      </c>
    </row>
    <row r="28" spans="2:32" x14ac:dyDescent="0.35">
      <c r="B28" s="130">
        <v>25</v>
      </c>
      <c r="C28" s="134">
        <v>14</v>
      </c>
      <c r="D28" s="134" t="s">
        <v>258</v>
      </c>
      <c r="E28" s="134" t="s">
        <v>0</v>
      </c>
      <c r="F28" s="134" t="s">
        <v>26</v>
      </c>
      <c r="G28" s="134" t="s">
        <v>39</v>
      </c>
      <c r="H28" s="134" t="s">
        <v>20</v>
      </c>
      <c r="I28" s="134" t="s">
        <v>36</v>
      </c>
      <c r="J28" s="134" t="s">
        <v>43</v>
      </c>
      <c r="K28" s="131">
        <f>INDEX('DER Concepts'!$B$6:$V$31,MATCH($C28,'DER Concepts'!$B$6:$B$31,0),MATCH(K$6,'DER Concepts'!$B$6:$V$6,0))</f>
        <v>19</v>
      </c>
      <c r="L28" s="131">
        <f>INDEX('DER Concepts'!$B$6:$V$31,MATCH($C28,'DER Concepts'!$B$6:$B$31,0),MATCH(L$6,'DER Concepts'!$B$6:$V$6,0))</f>
        <v>19</v>
      </c>
      <c r="M28" s="131">
        <f>INDEX('DER Concepts'!$B$6:$V$31,MATCH($C28,'DER Concepts'!$B$6:$B$31,0),MATCH(M$6,'DER Concepts'!$B$6:$V$6,0))</f>
        <v>19</v>
      </c>
      <c r="N28" s="131">
        <f>INDEX('DER Concepts'!$B$6:$V$31,MATCH($C28,'DER Concepts'!$B$6:$B$31,0),MATCH(N$6,'DER Concepts'!$B$6:$V$6,0))</f>
        <v>19</v>
      </c>
      <c r="O28" s="131">
        <f>INDEX('DER Concepts'!$B$6:$V$31,MATCH($C28,'DER Concepts'!$B$6:$B$31,0),MATCH(O$6,'DER Concepts'!$B$6:$V$6,0))</f>
        <v>19</v>
      </c>
      <c r="P28" s="131">
        <f>INDEX('DER Concepts'!$B$6:$V$31,MATCH($C28,'DER Concepts'!$B$6:$B$31,0),MATCH(P$6,'DER Concepts'!$B$6:$V$6,0))</f>
        <v>22.8</v>
      </c>
      <c r="Q28" s="131">
        <f>INDEX('DER Concepts'!$B$6:$V$31,MATCH($C28,'DER Concepts'!$B$6:$B$31,0),MATCH(Q$6,'DER Concepts'!$B$6:$V$6,0))</f>
        <v>22.8</v>
      </c>
      <c r="R28" s="131">
        <f>INDEX('DER Concepts'!$B$6:$V$31,MATCH($C28,'DER Concepts'!$B$6:$B$31,0),MATCH(R$6,'DER Concepts'!$B$6:$V$6,0))</f>
        <v>22.8</v>
      </c>
      <c r="S28" s="131">
        <f>INDEX('DER Concepts'!$B$6:$V$31,MATCH($C28,'DER Concepts'!$B$6:$B$31,0),MATCH(S$6,'DER Concepts'!$B$6:$V$6,0))</f>
        <v>22.8</v>
      </c>
      <c r="T28" s="126">
        <f>INDEX('Cost per Site'!$C$7:$N$33,MATCH($C28,'Cost per Site'!$C$7:$C$33,0),MATCH('Summary Table (Remove Excluded)'!T$6,'Cost per Site'!$C$7:$N$7,0))</f>
        <v>3850</v>
      </c>
      <c r="U28" s="126" t="str">
        <f>INDEX('Cost per Site'!$C$7:$N$33,MATCH($C28,'Cost per Site'!$C$7:$C$33,0),MATCH('Summary Table (Remove Excluded)'!U$6,'Cost per Site'!$C$7:$N$7,0))</f>
        <v>-</v>
      </c>
      <c r="V28" s="126">
        <f>INDEX('Cost per Site'!$C$7:$N$33,MATCH($C28,'Cost per Site'!$C$7:$C$33,0),MATCH('Summary Table (Remove Excluded)'!V$6,'Cost per Site'!$C$7:$N$7,0))</f>
        <v>15</v>
      </c>
      <c r="W28" s="135">
        <f>INDEX('Cost per Site'!$C$7:$N$33,MATCH($C28,'Cost per Site'!$C$7:$C$33,0),MATCH('Summary Table (Remove Excluded)'!W$6,'Cost per Site'!$C$7:$N$7,0))</f>
        <v>1408</v>
      </c>
      <c r="X28" s="135">
        <f>INDEX('Cost per Site'!$C$7:$N$33,MATCH($C28,'Cost per Site'!$C$7:$C$33,0),MATCH('Summary Table (Remove Excluded)'!X$6,'Cost per Site'!$C$7:$N$7,0))</f>
        <v>21</v>
      </c>
      <c r="Y28" s="135">
        <f>INDEX('Cost per Site'!$C$7:$N$33,MATCH($C28,'Cost per Site'!$C$7:$C$33,0),MATCH('Summary Table (Remove Excluded)'!Y$6,'Cost per Site'!$C$7:$N$7,0))</f>
        <v>20</v>
      </c>
      <c r="Z28" s="135">
        <f>INDEX('Cost per Site'!$C$7:$N$33,MATCH($C28,'Cost per Site'!$C$7:$C$33,0),MATCH('Summary Table (Remove Excluded)'!Z$6,'Cost per Site'!$C$7:$N$7,0))</f>
        <v>0</v>
      </c>
      <c r="AA28" s="135" t="str">
        <f>INDEX('Cost per Site'!$C$7:$N$33,MATCH($C28,'Cost per Site'!$C$7:$C$33,0),MATCH('Summary Table (Remove Excluded)'!AA$6,'Cost per Site'!$C$7:$N$7,0))</f>
        <v>$164 /
$31</v>
      </c>
      <c r="AB28" s="126" t="str">
        <f>INDEX('Cost per Site'!$C$7:$N$33,MATCH($C28,'Cost per Site'!$C$7:$C$33,0),MATCH('Summary Table (Remove Excluded)'!AB$6,'Cost per Site'!$C$7:$N$7,0))</f>
        <v>Customer</v>
      </c>
      <c r="AC28" s="126">
        <f>INDEX('S6-Summary'!$B$17:$W$43,MATCH($B28,'S6-Summary'!$B$17:$B$43,0),MATCH('Summary Table (Remove Excluded)'!AC$6,'S6-Summary'!$B$17:$W$17,0))</f>
        <v>3.08</v>
      </c>
      <c r="AD28" s="126">
        <f>INDEX('S6-Summary'!$B$17:$W$43,MATCH($B28,'S6-Summary'!$B$17:$B$43,0),MATCH('Summary Table (Remove Excluded)'!AD$6,'S6-Summary'!$B$17:$W$17,0))</f>
        <v>0.49127613822504879</v>
      </c>
      <c r="AE28" s="132">
        <f>INDEX(CBI!$B$10:$H$35,MATCH($C28,CBI!$B$10:$B$35,0),MATCH(AE$6,CBI!$B$10:$H$10,0))</f>
        <v>14</v>
      </c>
      <c r="AF28" s="133" t="s">
        <v>256</v>
      </c>
    </row>
  </sheetData>
  <dataConsolidate/>
  <mergeCells count="1">
    <mergeCell ref="B3:T3"/>
  </mergeCells>
  <conditionalFormatting sqref="B7:AF28">
    <cfRule type="expression" dxfId="1" priority="3">
      <formula>$AF7="Selected"</formula>
    </cfRule>
  </conditionalFormatting>
  <pageMargins left="0.7" right="0.7" top="0.75" bottom="0.75" header="0.3" footer="0.3"/>
  <pageSetup scale="2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1:AF32"/>
  <sheetViews>
    <sheetView workbookViewId="0">
      <pane xSplit="4" ySplit="6" topLeftCell="K7" activePane="bottomRight" state="frozen"/>
      <selection activeCell="K235" sqref="K235"/>
      <selection pane="topRight" activeCell="K235" sqref="K235"/>
      <selection pane="bottomLeft" activeCell="K235" sqref="K235"/>
      <selection pane="bottomRight" activeCell="T34" sqref="T34"/>
    </sheetView>
  </sheetViews>
  <sheetFormatPr defaultRowHeight="14.5" x14ac:dyDescent="0.35"/>
  <cols>
    <col min="2" max="2" width="13" customWidth="1"/>
    <col min="3" max="3" width="7.6328125" customWidth="1"/>
    <col min="4" max="4" width="42.1796875" bestFit="1" customWidth="1"/>
    <col min="5" max="5" width="14.90625" customWidth="1"/>
    <col min="6" max="6" width="14.36328125" customWidth="1"/>
    <col min="7" max="7" width="11.90625" customWidth="1"/>
    <col min="8" max="8" width="18.1796875" customWidth="1"/>
    <col min="9" max="9" width="12.453125" customWidth="1"/>
    <col min="10" max="10" width="39.26953125" customWidth="1"/>
    <col min="11" max="19" width="6.81640625" customWidth="1"/>
    <col min="20" max="20" width="22.7265625" customWidth="1"/>
    <col min="21" max="21" width="21.1796875" customWidth="1"/>
    <col min="22" max="22" width="16.7265625" customWidth="1"/>
    <col min="23" max="23" width="11.26953125" customWidth="1"/>
    <col min="24" max="24" width="10.36328125" customWidth="1"/>
    <col min="25" max="25" width="17.6328125" customWidth="1"/>
    <col min="26" max="26" width="11.08984375" customWidth="1"/>
    <col min="27" max="27" width="10.1796875" customWidth="1"/>
    <col min="28" max="28" width="14.81640625" customWidth="1"/>
    <col min="29" max="29" width="19.26953125" customWidth="1"/>
    <col min="31" max="31" width="22.54296875" customWidth="1"/>
    <col min="32" max="32" width="9.1796875" customWidth="1"/>
  </cols>
  <sheetData>
    <row r="1" spans="2:32" s="142" customFormat="1" x14ac:dyDescent="0.35"/>
    <row r="2" spans="2:32" s="142" customFormat="1" ht="46" x14ac:dyDescent="1">
      <c r="B2" s="144" t="s">
        <v>287</v>
      </c>
    </row>
    <row r="3" spans="2:32" s="142" customFormat="1" ht="29.5" customHeight="1" x14ac:dyDescent="0.35">
      <c r="B3" s="152" t="s">
        <v>290</v>
      </c>
      <c r="C3" s="152"/>
      <c r="D3" s="152"/>
      <c r="E3" s="152"/>
      <c r="F3" s="152"/>
      <c r="G3" s="152"/>
      <c r="H3" s="152"/>
      <c r="I3" s="152"/>
      <c r="J3" s="152"/>
      <c r="K3" s="152"/>
      <c r="L3" s="152"/>
      <c r="M3" s="152"/>
      <c r="N3" s="152"/>
      <c r="O3" s="152"/>
      <c r="P3" s="152"/>
      <c r="Q3" s="152"/>
      <c r="R3" s="152"/>
      <c r="S3" s="152"/>
      <c r="T3" s="152"/>
    </row>
    <row r="4" spans="2:32" s="142" customFormat="1" x14ac:dyDescent="0.35"/>
    <row r="6" spans="2:32" x14ac:dyDescent="0.35">
      <c r="B6" s="120" t="s">
        <v>257</v>
      </c>
      <c r="C6" s="121" t="s">
        <v>7</v>
      </c>
      <c r="D6" s="121" t="s">
        <v>8</v>
      </c>
      <c r="E6" s="121" t="s">
        <v>9</v>
      </c>
      <c r="F6" s="121" t="s">
        <v>11</v>
      </c>
      <c r="G6" s="121" t="s">
        <v>12</v>
      </c>
      <c r="H6" s="121" t="s">
        <v>13</v>
      </c>
      <c r="I6" s="121" t="s">
        <v>14</v>
      </c>
      <c r="J6" s="121" t="s">
        <v>15</v>
      </c>
      <c r="K6" s="121">
        <v>2022</v>
      </c>
      <c r="L6" s="121">
        <v>2023</v>
      </c>
      <c r="M6" s="121">
        <v>2024</v>
      </c>
      <c r="N6" s="121">
        <v>2025</v>
      </c>
      <c r="O6" s="121">
        <v>2026</v>
      </c>
      <c r="P6" s="121">
        <v>2027</v>
      </c>
      <c r="Q6" s="121">
        <v>2028</v>
      </c>
      <c r="R6" s="121">
        <v>2029</v>
      </c>
      <c r="S6" s="121">
        <v>2030</v>
      </c>
      <c r="T6" s="122" t="s">
        <v>207</v>
      </c>
      <c r="U6" s="122" t="s">
        <v>208</v>
      </c>
      <c r="V6" s="122" t="s">
        <v>209</v>
      </c>
      <c r="W6" s="122" t="s">
        <v>246</v>
      </c>
      <c r="X6" s="122" t="s">
        <v>247</v>
      </c>
      <c r="Y6" s="122" t="s">
        <v>248</v>
      </c>
      <c r="Z6" s="122" t="s">
        <v>249</v>
      </c>
      <c r="AA6" s="122" t="s">
        <v>250</v>
      </c>
      <c r="AB6" s="122" t="s">
        <v>251</v>
      </c>
      <c r="AC6" s="123" t="s">
        <v>104</v>
      </c>
      <c r="AD6" s="123" t="s">
        <v>88</v>
      </c>
      <c r="AE6" s="123" t="s">
        <v>140</v>
      </c>
      <c r="AF6" s="124" t="s">
        <v>128</v>
      </c>
    </row>
    <row r="7" spans="2:32" x14ac:dyDescent="0.35">
      <c r="B7" s="125">
        <v>1</v>
      </c>
      <c r="C7" s="126">
        <v>1</v>
      </c>
      <c r="D7" s="126" t="str">
        <f>INDEX('DER Concepts'!$B$6:$V$31,MATCH($C7,'DER Concepts'!$B$6:$B$31,0),MATCH(D$6,'DER Concepts'!$B$6:$V$6,0))</f>
        <v>3rd Party Customer-Sited Distributed Battery PPA</v>
      </c>
      <c r="E7" s="126" t="str">
        <f>INDEX('DER Concepts'!$B$6:$V$31,MATCH($C7,'DER Concepts'!$B$6:$B$31,0),MATCH(E$6,'DER Concepts'!$B$6:$V$6,0))</f>
        <v>Battery</v>
      </c>
      <c r="F7" s="126" t="str">
        <f>INDEX('DER Concepts'!$B$6:$V$31,MATCH($C7,'DER Concepts'!$B$6:$B$31,0),MATCH(F$6,'DER Concepts'!$B$6:$V$6,0))</f>
        <v>BTM</v>
      </c>
      <c r="G7" s="126" t="str">
        <f>INDEX('DER Concepts'!$B$6:$V$31,MATCH($C7,'DER Concepts'!$B$6:$B$31,0),MATCH(G$6,'DER Concepts'!$B$6:$V$6,0))</f>
        <v>3rd Party</v>
      </c>
      <c r="H7" s="126" t="str">
        <f>INDEX('DER Concepts'!$B$6:$V$31,MATCH($C7,'DER Concepts'!$B$6:$B$31,0),MATCH(H$6,'DER Concepts'!$B$6:$V$6,0))</f>
        <v>Yes</v>
      </c>
      <c r="I7" s="126" t="str">
        <f>INDEX('DER Concepts'!$B$6:$V$31,MATCH($C7,'DER Concepts'!$B$6:$B$31,0),MATCH(I$6,'DER Concepts'!$B$6:$V$6,0))</f>
        <v>3rd Party Offering</v>
      </c>
      <c r="J7" s="126" t="str">
        <f>INDEX('DER Concepts'!$B$6:$V$31,MATCH($C7,'DER Concepts'!$B$6:$B$31,0),MATCH(J$6,'DER Concepts'!$B$6:$V$6,0))</f>
        <v>New</v>
      </c>
      <c r="K7" s="131">
        <f>INDEX('DER Concepts'!$B$6:$V$31,MATCH($C7,'DER Concepts'!$B$6:$B$31,0),MATCH(K$6,'DER Concepts'!$B$6:$V$6,0))</f>
        <v>6.8</v>
      </c>
      <c r="L7" s="131">
        <f>INDEX('DER Concepts'!$B$6:$V$31,MATCH($C7,'DER Concepts'!$B$6:$B$31,0),MATCH(L$6,'DER Concepts'!$B$6:$V$6,0))</f>
        <v>7</v>
      </c>
      <c r="M7" s="131">
        <f>INDEX('DER Concepts'!$B$6:$V$31,MATCH($C7,'DER Concepts'!$B$6:$B$31,0),MATCH(M$6,'DER Concepts'!$B$6:$V$6,0))</f>
        <v>7.2</v>
      </c>
      <c r="N7" s="131">
        <f>INDEX('DER Concepts'!$B$6:$V$31,MATCH($C7,'DER Concepts'!$B$6:$B$31,0),MATCH(N$6,'DER Concepts'!$B$6:$V$6,0))</f>
        <v>7.4</v>
      </c>
      <c r="O7" s="131">
        <f>INDEX('DER Concepts'!$B$6:$V$31,MATCH($C7,'DER Concepts'!$B$6:$B$31,0),MATCH(O$6,'DER Concepts'!$B$6:$V$6,0))</f>
        <v>7.4</v>
      </c>
      <c r="P7" s="131">
        <f>INDEX('DER Concepts'!$B$6:$V$31,MATCH($C7,'DER Concepts'!$B$6:$B$31,0),MATCH(P$6,'DER Concepts'!$B$6:$V$6,0))</f>
        <v>7.6</v>
      </c>
      <c r="Q7" s="131">
        <f>INDEX('DER Concepts'!$B$6:$V$31,MATCH($C7,'DER Concepts'!$B$6:$B$31,0),MATCH(Q$6,'DER Concepts'!$B$6:$V$6,0))</f>
        <v>7.6</v>
      </c>
      <c r="R7" s="131">
        <f>INDEX('DER Concepts'!$B$6:$V$31,MATCH($C7,'DER Concepts'!$B$6:$B$31,0),MATCH(R$6,'DER Concepts'!$B$6:$V$6,0))</f>
        <v>7.8</v>
      </c>
      <c r="S7" s="131">
        <f>INDEX('DER Concepts'!$B$6:$V$31,MATCH($C7,'DER Concepts'!$B$6:$B$31,0),MATCH(S$6,'DER Concepts'!$B$6:$V$6,0))</f>
        <v>7.8</v>
      </c>
      <c r="T7" s="126">
        <f>INDEX('Cost per Site'!$C$7:$N$33,MATCH($C7,'Cost per Site'!$C$7:$C$33,0),MATCH('Summary Table'!T$6,'Cost per Site'!$C$7:$N$7,0))</f>
        <v>200</v>
      </c>
      <c r="U7" s="126">
        <f>INDEX('Cost per Site'!$C$7:$N$33,MATCH($C7,'Cost per Site'!$C$7:$C$33,0),MATCH('Summary Table'!U$6,'Cost per Site'!$C$7:$N$7,0))</f>
        <v>2</v>
      </c>
      <c r="V7" s="126">
        <f>INDEX('Cost per Site'!$C$7:$N$33,MATCH($C7,'Cost per Site'!$C$7:$C$33,0),MATCH('Summary Table'!V$6,'Cost per Site'!$C$7:$N$7,0))</f>
        <v>10</v>
      </c>
      <c r="W7" s="135">
        <f>INDEX('Cost per Site'!$C$7:$N$33,MATCH($C7,'Cost per Site'!$C$7:$C$33,0),MATCH('Summary Table'!W$6,'Cost per Site'!$C$7:$N$7,0))</f>
        <v>0</v>
      </c>
      <c r="X7" s="135">
        <f>INDEX('Cost per Site'!$C$7:$N$33,MATCH($C7,'Cost per Site'!$C$7:$C$33,0),MATCH('Summary Table'!X$6,'Cost per Site'!$C$7:$N$7,0))</f>
        <v>0</v>
      </c>
      <c r="Y7" s="135">
        <f>INDEX('Cost per Site'!$C$7:$N$33,MATCH($C7,'Cost per Site'!$C$7:$C$33,0),MATCH('Summary Table'!Y$6,'Cost per Site'!$C$7:$N$7,0))</f>
        <v>5</v>
      </c>
      <c r="Z7" s="135">
        <f>INDEX('Cost per Site'!$C$7:$N$33,MATCH($C7,'Cost per Site'!$C$7:$C$33,0),MATCH('Summary Table'!Z$6,'Cost per Site'!$C$7:$N$7,0))</f>
        <v>3072</v>
      </c>
      <c r="AA7" s="135">
        <f>INDEX('Cost per Site'!$C$7:$N$33,MATCH($C7,'Cost per Site'!$C$7:$C$33,0),MATCH('Summary Table'!AA$6,'Cost per Site'!$C$7:$N$7,0))</f>
        <v>265</v>
      </c>
      <c r="AB7" s="126" t="str">
        <f>INDEX('Cost per Site'!$C$7:$N$33,MATCH($C7,'Cost per Site'!$C$7:$C$33,0),MATCH('Summary Table'!AB$6,'Cost per Site'!$C$7:$N$7,0))</f>
        <v>Third Party</v>
      </c>
      <c r="AC7" s="126">
        <f>INDEX('S6-Summary'!$B$17:$W$43,MATCH($B7,'S6-Summary'!$B$17:$B$43,0),MATCH('Summary Table'!AC$6,'S6-Summary'!$B$17:$W$17,0))</f>
        <v>13.101785311970335</v>
      </c>
      <c r="AD7" s="126">
        <f>INDEX('S6-Summary'!$B$17:$W$43,MATCH($B7,'S6-Summary'!$B$17:$B$43,0),MATCH('Summary Table'!AD$6,'S6-Summary'!$B$17:$W$17,0))</f>
        <v>0.28160000000000002</v>
      </c>
      <c r="AE7" s="128">
        <f>INDEX(CBI!$B$10:$H$35,MATCH($C7,CBI!$B$10:$B$35,0),MATCH(AE$6,CBI!$B$10:$H$10,0))</f>
        <v>16</v>
      </c>
      <c r="AF7" s="129" t="s">
        <v>256</v>
      </c>
    </row>
    <row r="8" spans="2:32" x14ac:dyDescent="0.35">
      <c r="B8" s="130">
        <v>2</v>
      </c>
      <c r="C8" s="131">
        <v>2</v>
      </c>
      <c r="D8" s="131" t="str">
        <f>INDEX('DER Concepts'!$B$6:$V$31,MATCH($C8,'DER Concepts'!$B$6:$B$31,0),MATCH(D$6,'DER Concepts'!$B$6:$V$6,0))</f>
        <v>3rd Party Utility-scale Distributed Battery PPA</v>
      </c>
      <c r="E8" s="131" t="str">
        <f>INDEX('DER Concepts'!$B$6:$V$31,MATCH($C8,'DER Concepts'!$B$6:$B$31,0),MATCH(E$6,'DER Concepts'!$B$6:$V$6,0))</f>
        <v>Battery</v>
      </c>
      <c r="F8" s="131" t="str">
        <f>INDEX('DER Concepts'!$B$6:$V$31,MATCH($C8,'DER Concepts'!$B$6:$B$31,0),MATCH(F$6,'DER Concepts'!$B$6:$V$6,0))</f>
        <v>FOTM</v>
      </c>
      <c r="G8" s="131" t="str">
        <f>INDEX('DER Concepts'!$B$6:$V$31,MATCH($C8,'DER Concepts'!$B$6:$B$31,0),MATCH(G$6,'DER Concepts'!$B$6:$V$6,0))</f>
        <v>3rd Party</v>
      </c>
      <c r="H8" s="131" t="str">
        <f>INDEX('DER Concepts'!$B$6:$V$31,MATCH($C8,'DER Concepts'!$B$6:$B$31,0),MATCH(H$6,'DER Concepts'!$B$6:$V$6,0))</f>
        <v>No</v>
      </c>
      <c r="I8" s="131" t="str">
        <f>INDEX('DER Concepts'!$B$6:$V$31,MATCH($C8,'DER Concepts'!$B$6:$B$31,0),MATCH(I$6,'DER Concepts'!$B$6:$V$6,0))</f>
        <v>Portfolio Resource</v>
      </c>
      <c r="J8" s="131" t="str">
        <f>INDEX('DER Concepts'!$B$6:$V$31,MATCH($C8,'DER Concepts'!$B$6:$B$31,0),MATCH(J$6,'DER Concepts'!$B$6:$V$6,0))</f>
        <v>New</v>
      </c>
      <c r="K8" s="131">
        <f>INDEX('DER Concepts'!$B$6:$V$31,MATCH($C8,'DER Concepts'!$B$6:$B$31,0),MATCH(K$6,'DER Concepts'!$B$6:$V$6,0))</f>
        <v>0</v>
      </c>
      <c r="L8" s="131">
        <f>INDEX('DER Concepts'!$B$6:$V$31,MATCH($C8,'DER Concepts'!$B$6:$B$31,0),MATCH(L$6,'DER Concepts'!$B$6:$V$6,0))</f>
        <v>0</v>
      </c>
      <c r="M8" s="131">
        <f>INDEX('DER Concepts'!$B$6:$V$31,MATCH($C8,'DER Concepts'!$B$6:$B$31,0),MATCH(M$6,'DER Concepts'!$B$6:$V$6,0))</f>
        <v>0</v>
      </c>
      <c r="N8" s="131">
        <f>INDEX('DER Concepts'!$B$6:$V$31,MATCH($C8,'DER Concepts'!$B$6:$B$31,0),MATCH(N$6,'DER Concepts'!$B$6:$V$6,0))</f>
        <v>0</v>
      </c>
      <c r="O8" s="131">
        <f>INDEX('DER Concepts'!$B$6:$V$31,MATCH($C8,'DER Concepts'!$B$6:$B$31,0),MATCH(O$6,'DER Concepts'!$B$6:$V$6,0))</f>
        <v>0</v>
      </c>
      <c r="P8" s="131">
        <f>INDEX('DER Concepts'!$B$6:$V$31,MATCH($C8,'DER Concepts'!$B$6:$B$31,0),MATCH(P$6,'DER Concepts'!$B$6:$V$6,0))</f>
        <v>0</v>
      </c>
      <c r="Q8" s="131">
        <f>INDEX('DER Concepts'!$B$6:$V$31,MATCH($C8,'DER Concepts'!$B$6:$B$31,0),MATCH(Q$6,'DER Concepts'!$B$6:$V$6,0))</f>
        <v>5</v>
      </c>
      <c r="R8" s="131">
        <f>INDEX('DER Concepts'!$B$6:$V$31,MATCH($C8,'DER Concepts'!$B$6:$B$31,0),MATCH(R$6,'DER Concepts'!$B$6:$V$6,0))</f>
        <v>5</v>
      </c>
      <c r="S8" s="131">
        <f>INDEX('DER Concepts'!$B$6:$V$31,MATCH($C8,'DER Concepts'!$B$6:$B$31,0),MATCH(S$6,'DER Concepts'!$B$6:$V$6,0))</f>
        <v>5</v>
      </c>
      <c r="T8" s="126">
        <f>INDEX('Cost per Site'!$C$7:$N$33,MATCH($C8,'Cost per Site'!$C$7:$C$33,0),MATCH('Summary Table'!T$6,'Cost per Site'!$C$7:$N$7,0))</f>
        <v>5000</v>
      </c>
      <c r="U8" s="126">
        <f>INDEX('Cost per Site'!$C$7:$N$33,MATCH($C8,'Cost per Site'!$C$7:$C$33,0),MATCH('Summary Table'!U$6,'Cost per Site'!$C$7:$N$7,0))</f>
        <v>4</v>
      </c>
      <c r="V8" s="126">
        <f>INDEX('Cost per Site'!$C$7:$N$33,MATCH($C8,'Cost per Site'!$C$7:$C$33,0),MATCH('Summary Table'!V$6,'Cost per Site'!$C$7:$N$7,0))</f>
        <v>10</v>
      </c>
      <c r="W8" s="135">
        <f>INDEX('Cost per Site'!$C$7:$N$33,MATCH($C8,'Cost per Site'!$C$7:$C$33,0),MATCH('Summary Table'!W$6,'Cost per Site'!$C$7:$N$7,0))</f>
        <v>0</v>
      </c>
      <c r="X8" s="135">
        <f>INDEX('Cost per Site'!$C$7:$N$33,MATCH($C8,'Cost per Site'!$C$7:$C$33,0),MATCH('Summary Table'!X$6,'Cost per Site'!$C$7:$N$7,0))</f>
        <v>0</v>
      </c>
      <c r="Y8" s="135">
        <f>INDEX('Cost per Site'!$C$7:$N$33,MATCH($C8,'Cost per Site'!$C$7:$C$33,0),MATCH('Summary Table'!Y$6,'Cost per Site'!$C$7:$N$7,0))</f>
        <v>5</v>
      </c>
      <c r="Z8" s="135">
        <f>INDEX('Cost per Site'!$C$7:$N$33,MATCH($C8,'Cost per Site'!$C$7:$C$33,0),MATCH('Summary Table'!Z$6,'Cost per Site'!$C$7:$N$7,0))</f>
        <v>2292</v>
      </c>
      <c r="AA8" s="135">
        <f>INDEX('Cost per Site'!$C$7:$N$33,MATCH($C8,'Cost per Site'!$C$7:$C$33,0),MATCH('Summary Table'!AA$6,'Cost per Site'!$C$7:$N$7,0))</f>
        <v>67</v>
      </c>
      <c r="AB8" s="126" t="str">
        <f>INDEX('Cost per Site'!$C$7:$N$33,MATCH($C8,'Cost per Site'!$C$7:$C$33,0),MATCH('Summary Table'!AB$6,'Cost per Site'!$C$7:$N$7,0))</f>
        <v>Third Party</v>
      </c>
      <c r="AC8" s="126">
        <f>INDEX('S6-Summary'!$B$17:$W$43,MATCH($B8,'S6-Summary'!$B$17:$B$43,0),MATCH('Summary Table'!AC$6,'S6-Summary'!$B$17:$W$17,0))</f>
        <v>0</v>
      </c>
      <c r="AD8" s="126">
        <f>INDEX('S6-Summary'!$B$17:$W$43,MATCH($B8,'S6-Summary'!$B$17:$B$43,0),MATCH('Summary Table'!AD$6,'S6-Summary'!$B$17:$W$17,0))</f>
        <v>0</v>
      </c>
      <c r="AE8" s="132">
        <f>INDEX(CBI!$B$10:$H$35,MATCH($C8,CBI!$B$10:$B$35,0),MATCH(AE$6,CBI!$B$10:$H$10,0))</f>
        <v>14</v>
      </c>
      <c r="AF8" s="133" t="s">
        <v>256</v>
      </c>
    </row>
    <row r="9" spans="2:32" x14ac:dyDescent="0.35">
      <c r="B9" s="125">
        <v>3</v>
      </c>
      <c r="C9" s="126">
        <v>3</v>
      </c>
      <c r="D9" s="126" t="str">
        <f>INDEX('DER Concepts'!$B$6:$V$31,MATCH($C9,'DER Concepts'!$B$6:$B$31,0),MATCH(D$6,'DER Concepts'!$B$6:$V$6,0))</f>
        <v>C&amp;I Battery Install Incentive</v>
      </c>
      <c r="E9" s="126" t="str">
        <f>INDEX('DER Concepts'!$B$6:$V$31,MATCH($C9,'DER Concepts'!$B$6:$B$31,0),MATCH(E$6,'DER Concepts'!$B$6:$V$6,0))</f>
        <v>Battery</v>
      </c>
      <c r="F9" s="126" t="str">
        <f>INDEX('DER Concepts'!$B$6:$V$31,MATCH($C9,'DER Concepts'!$B$6:$B$31,0),MATCH(F$6,'DER Concepts'!$B$6:$V$6,0))</f>
        <v>BTM</v>
      </c>
      <c r="G9" s="126" t="str">
        <f>INDEX('DER Concepts'!$B$6:$V$31,MATCH($C9,'DER Concepts'!$B$6:$B$31,0),MATCH(G$6,'DER Concepts'!$B$6:$V$6,0))</f>
        <v>Customer(s)</v>
      </c>
      <c r="H9" s="126" t="str">
        <f>INDEX('DER Concepts'!$B$6:$V$31,MATCH($C9,'DER Concepts'!$B$6:$B$31,0),MATCH(H$6,'DER Concepts'!$B$6:$V$6,0))</f>
        <v>Yes</v>
      </c>
      <c r="I9" s="126" t="str">
        <f>INDEX('DER Concepts'!$B$6:$V$31,MATCH($C9,'DER Concepts'!$B$6:$B$31,0),MATCH(I$6,'DER Concepts'!$B$6:$V$6,0))</f>
        <v>PSE Incentive</v>
      </c>
      <c r="J9" s="126" t="str">
        <f>INDEX('DER Concepts'!$B$6:$V$31,MATCH($C9,'DER Concepts'!$B$6:$B$31,0),MATCH(J$6,'DER Concepts'!$B$6:$V$6,0))</f>
        <v>New</v>
      </c>
      <c r="K9" s="131">
        <f>INDEX('DER Concepts'!$B$6:$V$31,MATCH($C9,'DER Concepts'!$B$6:$B$31,0),MATCH(K$6,'DER Concepts'!$B$6:$V$6,0))</f>
        <v>0.4</v>
      </c>
      <c r="L9" s="131">
        <f>INDEX('DER Concepts'!$B$6:$V$31,MATCH($C9,'DER Concepts'!$B$6:$B$31,0),MATCH(L$6,'DER Concepts'!$B$6:$V$6,0))</f>
        <v>0.6</v>
      </c>
      <c r="M9" s="131">
        <f>INDEX('DER Concepts'!$B$6:$V$31,MATCH($C9,'DER Concepts'!$B$6:$B$31,0),MATCH(M$6,'DER Concepts'!$B$6:$V$6,0))</f>
        <v>0.8</v>
      </c>
      <c r="N9" s="131">
        <f>INDEX('DER Concepts'!$B$6:$V$31,MATCH($C9,'DER Concepts'!$B$6:$B$31,0),MATCH(N$6,'DER Concepts'!$B$6:$V$6,0))</f>
        <v>1.2</v>
      </c>
      <c r="O9" s="131">
        <f>INDEX('DER Concepts'!$B$6:$V$31,MATCH($C9,'DER Concepts'!$B$6:$B$31,0),MATCH(O$6,'DER Concepts'!$B$6:$V$6,0))</f>
        <v>1.6</v>
      </c>
      <c r="P9" s="131">
        <f>INDEX('DER Concepts'!$B$6:$V$31,MATCH($C9,'DER Concepts'!$B$6:$B$31,0),MATCH(P$6,'DER Concepts'!$B$6:$V$6,0))</f>
        <v>2</v>
      </c>
      <c r="Q9" s="131">
        <f>INDEX('DER Concepts'!$B$6:$V$31,MATCH($C9,'DER Concepts'!$B$6:$B$31,0),MATCH(Q$6,'DER Concepts'!$B$6:$V$6,0))</f>
        <v>2.4</v>
      </c>
      <c r="R9" s="131">
        <f>INDEX('DER Concepts'!$B$6:$V$31,MATCH($C9,'DER Concepts'!$B$6:$B$31,0),MATCH(R$6,'DER Concepts'!$B$6:$V$6,0))</f>
        <v>2.8</v>
      </c>
      <c r="S9" s="131">
        <f>INDEX('DER Concepts'!$B$6:$V$31,MATCH($C9,'DER Concepts'!$B$6:$B$31,0),MATCH(S$6,'DER Concepts'!$B$6:$V$6,0))</f>
        <v>3.4</v>
      </c>
      <c r="T9" s="126">
        <f>INDEX('Cost per Site'!$C$7:$N$33,MATCH($C9,'Cost per Site'!$C$7:$C$33,0),MATCH('Summary Table'!T$6,'Cost per Site'!$C$7:$N$7,0))</f>
        <v>200</v>
      </c>
      <c r="U9" s="126">
        <f>INDEX('Cost per Site'!$C$7:$N$33,MATCH($C9,'Cost per Site'!$C$7:$C$33,0),MATCH('Summary Table'!U$6,'Cost per Site'!$C$7:$N$7,0))</f>
        <v>2</v>
      </c>
      <c r="V9" s="126">
        <f>INDEX('Cost per Site'!$C$7:$N$33,MATCH($C9,'Cost per Site'!$C$7:$C$33,0),MATCH('Summary Table'!V$6,'Cost per Site'!$C$7:$N$7,0))</f>
        <v>10</v>
      </c>
      <c r="W9" s="135">
        <f>INDEX('Cost per Site'!$C$7:$N$33,MATCH($C9,'Cost per Site'!$C$7:$C$33,0),MATCH('Summary Table'!W$6,'Cost per Site'!$C$7:$N$7,0))</f>
        <v>0</v>
      </c>
      <c r="X9" s="135">
        <f>INDEX('Cost per Site'!$C$7:$N$33,MATCH($C9,'Cost per Site'!$C$7:$C$33,0),MATCH('Summary Table'!X$6,'Cost per Site'!$C$7:$N$7,0))</f>
        <v>0</v>
      </c>
      <c r="Y9" s="135">
        <f>INDEX('Cost per Site'!$C$7:$N$33,MATCH($C9,'Cost per Site'!$C$7:$C$33,0),MATCH('Summary Table'!Y$6,'Cost per Site'!$C$7:$N$7,0))</f>
        <v>63</v>
      </c>
      <c r="Z9" s="135">
        <f>INDEX('Cost per Site'!$C$7:$N$33,MATCH($C9,'Cost per Site'!$C$7:$C$33,0),MATCH('Summary Table'!Z$6,'Cost per Site'!$C$7:$N$7,0))</f>
        <v>3072</v>
      </c>
      <c r="AA9" s="135">
        <f>INDEX('Cost per Site'!$C$7:$N$33,MATCH($C9,'Cost per Site'!$C$7:$C$33,0),MATCH('Summary Table'!AA$6,'Cost per Site'!$C$7:$N$7,0))</f>
        <v>23</v>
      </c>
      <c r="AB9" s="126" t="str">
        <f>INDEX('Cost per Site'!$C$7:$N$33,MATCH($C9,'Cost per Site'!$C$7:$C$33,0),MATCH('Summary Table'!AB$6,'Cost per Site'!$C$7:$N$7,0))</f>
        <v>Customer</v>
      </c>
      <c r="AC9" s="126">
        <f>INDEX('S6-Summary'!$B$17:$W$43,MATCH($B9,'S6-Summary'!$B$17:$B$43,0),MATCH('Summary Table'!AC$6,'S6-Summary'!$B$17:$W$17,0))</f>
        <v>5.2236608394434931</v>
      </c>
      <c r="AD9" s="126">
        <f>INDEX('S6-Summary'!$B$17:$W$43,MATCH($B9,'S6-Summary'!$B$17:$B$43,0),MATCH('Summary Table'!AD$6,'S6-Summary'!$B$17:$W$17,0))</f>
        <v>0.17005155150118925</v>
      </c>
      <c r="AE9" s="128">
        <f>INDEX(CBI!$B$10:$H$35,MATCH($C9,CBI!$B$10:$B$35,0),MATCH(AE$6,CBI!$B$10:$H$10,0))</f>
        <v>13</v>
      </c>
      <c r="AF9" s="129" t="s">
        <v>256</v>
      </c>
    </row>
    <row r="10" spans="2:32" x14ac:dyDescent="0.35">
      <c r="B10" s="130">
        <v>4</v>
      </c>
      <c r="C10" s="131">
        <v>4</v>
      </c>
      <c r="D10" s="131" t="str">
        <f>INDEX('DER Concepts'!$B$6:$V$31,MATCH($C10,'DER Concepts'!$B$6:$B$31,0),MATCH(D$6,'DER Concepts'!$B$6:$V$6,0))</f>
        <v>C&amp;I Space Leasing for Batteries</v>
      </c>
      <c r="E10" s="131" t="str">
        <f>INDEX('DER Concepts'!$B$6:$V$31,MATCH($C10,'DER Concepts'!$B$6:$B$31,0),MATCH(E$6,'DER Concepts'!$B$6:$V$6,0))</f>
        <v>Battery</v>
      </c>
      <c r="F10" s="131" t="str">
        <f>INDEX('DER Concepts'!$B$6:$V$31,MATCH($C10,'DER Concepts'!$B$6:$B$31,0),MATCH(F$6,'DER Concepts'!$B$6:$V$6,0))</f>
        <v>FOTM</v>
      </c>
      <c r="G10" s="131" t="str">
        <f>INDEX('DER Concepts'!$B$6:$V$31,MATCH($C10,'DER Concepts'!$B$6:$B$31,0),MATCH(G$6,'DER Concepts'!$B$6:$V$6,0))</f>
        <v>PSE</v>
      </c>
      <c r="H10" s="131" t="str">
        <f>INDEX('DER Concepts'!$B$6:$V$31,MATCH($C10,'DER Concepts'!$B$6:$B$31,0),MATCH(H$6,'DER Concepts'!$B$6:$V$6,0))</f>
        <v>Yes</v>
      </c>
      <c r="I10" s="131" t="str">
        <f>INDEX('DER Concepts'!$B$6:$V$31,MATCH($C10,'DER Concepts'!$B$6:$B$31,0),MATCH(I$6,'DER Concepts'!$B$6:$V$6,0))</f>
        <v>PSE Program</v>
      </c>
      <c r="J10" s="131" t="str">
        <f>INDEX('DER Concepts'!$B$6:$V$31,MATCH($C10,'DER Concepts'!$B$6:$B$31,0),MATCH(J$6,'DER Concepts'!$B$6:$V$6,0))</f>
        <v>New</v>
      </c>
      <c r="K10" s="131">
        <f>INDEX('DER Concepts'!$B$6:$V$31,MATCH($C10,'DER Concepts'!$B$6:$B$31,0),MATCH(K$6,'DER Concepts'!$B$6:$V$6,0))</f>
        <v>3.6</v>
      </c>
      <c r="L10" s="131">
        <f>INDEX('DER Concepts'!$B$6:$V$31,MATCH($C10,'DER Concepts'!$B$6:$B$31,0),MATCH(L$6,'DER Concepts'!$B$6:$V$6,0))</f>
        <v>7.2</v>
      </c>
      <c r="M10" s="131">
        <f>INDEX('DER Concepts'!$B$6:$V$31,MATCH($C10,'DER Concepts'!$B$6:$B$31,0),MATCH(M$6,'DER Concepts'!$B$6:$V$6,0))</f>
        <v>7.2</v>
      </c>
      <c r="N10" s="131">
        <f>INDEX('DER Concepts'!$B$6:$V$31,MATCH($C10,'DER Concepts'!$B$6:$B$31,0),MATCH(N$6,'DER Concepts'!$B$6:$V$6,0))</f>
        <v>7.2</v>
      </c>
      <c r="O10" s="131">
        <f>INDEX('DER Concepts'!$B$6:$V$31,MATCH($C10,'DER Concepts'!$B$6:$B$31,0),MATCH(O$6,'DER Concepts'!$B$6:$V$6,0))</f>
        <v>14.4</v>
      </c>
      <c r="P10" s="131">
        <f>INDEX('DER Concepts'!$B$6:$V$31,MATCH($C10,'DER Concepts'!$B$6:$B$31,0),MATCH(P$6,'DER Concepts'!$B$6:$V$6,0))</f>
        <v>14.4</v>
      </c>
      <c r="Q10" s="131">
        <f>INDEX('DER Concepts'!$B$6:$V$31,MATCH($C10,'DER Concepts'!$B$6:$B$31,0),MATCH(Q$6,'DER Concepts'!$B$6:$V$6,0))</f>
        <v>28.8</v>
      </c>
      <c r="R10" s="131">
        <f>INDEX('DER Concepts'!$B$6:$V$31,MATCH($C10,'DER Concepts'!$B$6:$B$31,0),MATCH(R$6,'DER Concepts'!$B$6:$V$6,0))</f>
        <v>36</v>
      </c>
      <c r="S10" s="131">
        <f>INDEX('DER Concepts'!$B$6:$V$31,MATCH($C10,'DER Concepts'!$B$6:$B$31,0),MATCH(S$6,'DER Concepts'!$B$6:$V$6,0))</f>
        <v>36</v>
      </c>
      <c r="T10" s="126">
        <f>INDEX('Cost per Site'!$C$7:$N$33,MATCH($C10,'Cost per Site'!$C$7:$C$33,0),MATCH('Summary Table'!T$6,'Cost per Site'!$C$7:$N$7,0))</f>
        <v>200</v>
      </c>
      <c r="U10" s="126">
        <f>INDEX('Cost per Site'!$C$7:$N$33,MATCH($C10,'Cost per Site'!$C$7:$C$33,0),MATCH('Summary Table'!U$6,'Cost per Site'!$C$7:$N$7,0))</f>
        <v>4</v>
      </c>
      <c r="V10" s="126">
        <f>INDEX('Cost per Site'!$C$7:$N$33,MATCH($C10,'Cost per Site'!$C$7:$C$33,0),MATCH('Summary Table'!V$6,'Cost per Site'!$C$7:$N$7,0))</f>
        <v>10</v>
      </c>
      <c r="W10" s="135">
        <f>INDEX('Cost per Site'!$C$7:$N$33,MATCH($C10,'Cost per Site'!$C$7:$C$33,0),MATCH('Summary Table'!W$6,'Cost per Site'!$C$7:$N$7,0))</f>
        <v>4802</v>
      </c>
      <c r="X10" s="135">
        <f>INDEX('Cost per Site'!$C$7:$N$33,MATCH($C10,'Cost per Site'!$C$7:$C$33,0),MATCH('Summary Table'!X$6,'Cost per Site'!$C$7:$N$7,0))</f>
        <v>217</v>
      </c>
      <c r="Y10" s="135">
        <f>INDEX('Cost per Site'!$C$7:$N$33,MATCH($C10,'Cost per Site'!$C$7:$C$33,0),MATCH('Summary Table'!Y$6,'Cost per Site'!$C$7:$N$7,0))</f>
        <v>77</v>
      </c>
      <c r="Z10" s="135">
        <f>INDEX('Cost per Site'!$C$7:$N$33,MATCH($C10,'Cost per Site'!$C$7:$C$33,0),MATCH('Summary Table'!Z$6,'Cost per Site'!$C$7:$N$7,0))</f>
        <v>0</v>
      </c>
      <c r="AA10" s="135">
        <f>INDEX('Cost per Site'!$C$7:$N$33,MATCH($C10,'Cost per Site'!$C$7:$C$33,0),MATCH('Summary Table'!AA$6,'Cost per Site'!$C$7:$N$7,0))</f>
        <v>0</v>
      </c>
      <c r="AB10" s="126" t="str">
        <f>INDEX('Cost per Site'!$C$7:$N$33,MATCH($C10,'Cost per Site'!$C$7:$C$33,0),MATCH('Summary Table'!AB$6,'Cost per Site'!$C$7:$N$7,0))</f>
        <v>-</v>
      </c>
      <c r="AC10" s="126">
        <f>INDEX('S6-Summary'!$B$17:$W$43,MATCH($B10,'S6-Summary'!$B$17:$B$43,0),MATCH('Summary Table'!AC$6,'S6-Summary'!$B$17:$W$17,0))</f>
        <v>26.334972555837133</v>
      </c>
      <c r="AD10" s="126">
        <f>INDEX('S6-Summary'!$B$17:$W$43,MATCH($B10,'S6-Summary'!$B$17:$B$43,0),MATCH('Summary Table'!AD$6,'S6-Summary'!$B$17:$W$17,0))</f>
        <v>0.2011</v>
      </c>
      <c r="AE10" s="132">
        <f>INDEX(CBI!$B$10:$H$35,MATCH($C10,CBI!$B$10:$B$35,0),MATCH(AE$6,CBI!$B$10:$H$10,0))</f>
        <v>17</v>
      </c>
      <c r="AF10" s="133" t="s">
        <v>128</v>
      </c>
    </row>
    <row r="11" spans="2:32" x14ac:dyDescent="0.35">
      <c r="B11" s="125">
        <v>5</v>
      </c>
      <c r="C11" s="126">
        <v>5</v>
      </c>
      <c r="D11" s="126" t="str">
        <f>INDEX('DER Concepts'!$B$6:$V$31,MATCH($C11,'DER Concepts'!$B$6:$B$31,0),MATCH(D$6,'DER Concepts'!$B$6:$V$6,0))</f>
        <v>Multi-Family Unit Battery Program</v>
      </c>
      <c r="E11" s="126" t="str">
        <f>INDEX('DER Concepts'!$B$6:$V$31,MATCH($C11,'DER Concepts'!$B$6:$B$31,0),MATCH(E$6,'DER Concepts'!$B$6:$V$6,0))</f>
        <v>Battery</v>
      </c>
      <c r="F11" s="126" t="str">
        <f>INDEX('DER Concepts'!$B$6:$V$31,MATCH($C11,'DER Concepts'!$B$6:$B$31,0),MATCH(F$6,'DER Concepts'!$B$6:$V$6,0))</f>
        <v>BTM</v>
      </c>
      <c r="G11" s="126" t="str">
        <f>INDEX('DER Concepts'!$B$6:$V$31,MATCH($C11,'DER Concepts'!$B$6:$B$31,0),MATCH(G$6,'DER Concepts'!$B$6:$V$6,0))</f>
        <v>PSE or PPA</v>
      </c>
      <c r="H11" s="126" t="str">
        <f>INDEX('DER Concepts'!$B$6:$V$31,MATCH($C11,'DER Concepts'!$B$6:$B$31,0),MATCH(H$6,'DER Concepts'!$B$6:$V$6,0))</f>
        <v>No</v>
      </c>
      <c r="I11" s="126" t="str">
        <f>INDEX('DER Concepts'!$B$6:$V$31,MATCH($C11,'DER Concepts'!$B$6:$B$31,0),MATCH(I$6,'DER Concepts'!$B$6:$V$6,0))</f>
        <v>PSE Program / 3rd Party Offering</v>
      </c>
      <c r="J11" s="126" t="str">
        <f>INDEX('DER Concepts'!$B$6:$V$31,MATCH($C11,'DER Concepts'!$B$6:$B$31,0),MATCH(J$6,'DER Concepts'!$B$6:$V$6,0))</f>
        <v>New</v>
      </c>
      <c r="K11" s="131">
        <f>INDEX('DER Concepts'!$B$6:$V$31,MATCH($C11,'DER Concepts'!$B$6:$B$31,0),MATCH(K$6,'DER Concepts'!$B$6:$V$6,0))</f>
        <v>0.5</v>
      </c>
      <c r="L11" s="131">
        <f>INDEX('DER Concepts'!$B$6:$V$31,MATCH($C11,'DER Concepts'!$B$6:$B$31,0),MATCH(L$6,'DER Concepts'!$B$6:$V$6,0))</f>
        <v>0.75</v>
      </c>
      <c r="M11" s="131">
        <f>INDEX('DER Concepts'!$B$6:$V$31,MATCH($C11,'DER Concepts'!$B$6:$B$31,0),MATCH(M$6,'DER Concepts'!$B$6:$V$6,0))</f>
        <v>0.75</v>
      </c>
      <c r="N11" s="131">
        <f>INDEX('DER Concepts'!$B$6:$V$31,MATCH($C11,'DER Concepts'!$B$6:$B$31,0),MATCH(N$6,'DER Concepts'!$B$6:$V$6,0))</f>
        <v>0.75</v>
      </c>
      <c r="O11" s="131">
        <f>INDEX('DER Concepts'!$B$6:$V$31,MATCH($C11,'DER Concepts'!$B$6:$B$31,0),MATCH(O$6,'DER Concepts'!$B$6:$V$6,0))</f>
        <v>1.75</v>
      </c>
      <c r="P11" s="131">
        <f>INDEX('DER Concepts'!$B$6:$V$31,MATCH($C11,'DER Concepts'!$B$6:$B$31,0),MATCH(P$6,'DER Concepts'!$B$6:$V$6,0))</f>
        <v>1.75</v>
      </c>
      <c r="Q11" s="131">
        <f>INDEX('DER Concepts'!$B$6:$V$31,MATCH($C11,'DER Concepts'!$B$6:$B$31,0),MATCH(Q$6,'DER Concepts'!$B$6:$V$6,0))</f>
        <v>3.25</v>
      </c>
      <c r="R11" s="131">
        <f>INDEX('DER Concepts'!$B$6:$V$31,MATCH($C11,'DER Concepts'!$B$6:$B$31,0),MATCH(R$6,'DER Concepts'!$B$6:$V$6,0))</f>
        <v>4.25</v>
      </c>
      <c r="S11" s="131">
        <f>INDEX('DER Concepts'!$B$6:$V$31,MATCH($C11,'DER Concepts'!$B$6:$B$31,0),MATCH(S$6,'DER Concepts'!$B$6:$V$6,0))</f>
        <v>4.25</v>
      </c>
      <c r="T11" s="126">
        <f>INDEX('Cost per Site'!$C$7:$N$33,MATCH($C11,'Cost per Site'!$C$7:$C$33,0),MATCH('Summary Table'!T$6,'Cost per Site'!$C$7:$N$7,0))</f>
        <v>250</v>
      </c>
      <c r="U11" s="126">
        <f>INDEX('Cost per Site'!$C$7:$N$33,MATCH($C11,'Cost per Site'!$C$7:$C$33,0),MATCH('Summary Table'!U$6,'Cost per Site'!$C$7:$N$7,0))</f>
        <v>3</v>
      </c>
      <c r="V11" s="126">
        <f>INDEX('Cost per Site'!$C$7:$N$33,MATCH($C11,'Cost per Site'!$C$7:$C$33,0),MATCH('Summary Table'!V$6,'Cost per Site'!$C$7:$N$7,0))</f>
        <v>10</v>
      </c>
      <c r="W11" s="135">
        <f>INDEX('Cost per Site'!$C$7:$N$33,MATCH($C11,'Cost per Site'!$C$7:$C$33,0),MATCH('Summary Table'!W$6,'Cost per Site'!$C$7:$N$7,0))</f>
        <v>3782</v>
      </c>
      <c r="X11" s="135">
        <f>INDEX('Cost per Site'!$C$7:$N$33,MATCH($C11,'Cost per Site'!$C$7:$C$33,0),MATCH('Summary Table'!X$6,'Cost per Site'!$C$7:$N$7,0))</f>
        <v>11</v>
      </c>
      <c r="Y11" s="135">
        <f>INDEX('Cost per Site'!$C$7:$N$33,MATCH($C11,'Cost per Site'!$C$7:$C$33,0),MATCH('Summary Table'!Y$6,'Cost per Site'!$C$7:$N$7,0))</f>
        <v>61</v>
      </c>
      <c r="Z11" s="135">
        <f>INDEX('Cost per Site'!$C$7:$N$33,MATCH($C11,'Cost per Site'!$C$7:$C$33,0),MATCH('Summary Table'!Z$6,'Cost per Site'!$C$7:$N$7,0))</f>
        <v>0</v>
      </c>
      <c r="AA11" s="135">
        <f>INDEX('Cost per Site'!$C$7:$N$33,MATCH($C11,'Cost per Site'!$C$7:$C$33,0),MATCH('Summary Table'!AA$6,'Cost per Site'!$C$7:$N$7,0))</f>
        <v>0</v>
      </c>
      <c r="AB11" s="126" t="str">
        <f>INDEX('Cost per Site'!$C$7:$N$33,MATCH($C11,'Cost per Site'!$C$7:$C$33,0),MATCH('Summary Table'!AB$6,'Cost per Site'!$C$7:$N$7,0))</f>
        <v>Customer</v>
      </c>
      <c r="AC11" s="126">
        <f>INDEX('S6-Summary'!$B$17:$W$43,MATCH($B11,'S6-Summary'!$B$17:$B$43,0),MATCH('Summary Table'!AC$6,'S6-Summary'!$B$17:$W$17,0))</f>
        <v>14.188653289794923</v>
      </c>
      <c r="AD11" s="126">
        <f>INDEX('S6-Summary'!$B$17:$W$43,MATCH($B11,'S6-Summary'!$B$17:$B$43,0),MATCH('Summary Table'!AD$6,'S6-Summary'!$B$17:$W$17,0))</f>
        <v>0.1842</v>
      </c>
      <c r="AE11" s="128">
        <f>INDEX(CBI!$B$10:$H$35,MATCH($C11,CBI!$B$10:$B$35,0),MATCH(AE$6,CBI!$B$10:$H$10,0))</f>
        <v>17</v>
      </c>
      <c r="AF11" s="129" t="s">
        <v>256</v>
      </c>
    </row>
    <row r="12" spans="2:32" x14ac:dyDescent="0.35">
      <c r="B12" s="130">
        <v>6</v>
      </c>
      <c r="C12" s="131">
        <v>6</v>
      </c>
      <c r="D12" s="131" t="str">
        <f>INDEX('DER Concepts'!$B$6:$V$31,MATCH($C12,'DER Concepts'!$B$6:$B$31,0),MATCH(D$6,'DER Concepts'!$B$6:$V$6,0))</f>
        <v>PSE Mobile Batteries</v>
      </c>
      <c r="E12" s="131" t="str">
        <f>INDEX('DER Concepts'!$B$6:$V$31,MATCH($C12,'DER Concepts'!$B$6:$B$31,0),MATCH(E$6,'DER Concepts'!$B$6:$V$6,0))</f>
        <v>Battery</v>
      </c>
      <c r="F12" s="131" t="str">
        <f>INDEX('DER Concepts'!$B$6:$V$31,MATCH($C12,'DER Concepts'!$B$6:$B$31,0),MATCH(F$6,'DER Concepts'!$B$6:$V$6,0))</f>
        <v>FOTM</v>
      </c>
      <c r="G12" s="131" t="str">
        <f>INDEX('DER Concepts'!$B$6:$V$31,MATCH($C12,'DER Concepts'!$B$6:$B$31,0),MATCH(G$6,'DER Concepts'!$B$6:$V$6,0))</f>
        <v>PSE</v>
      </c>
      <c r="H12" s="131" t="str">
        <f>INDEX('DER Concepts'!$B$6:$V$31,MATCH($C12,'DER Concepts'!$B$6:$B$31,0),MATCH(H$6,'DER Concepts'!$B$6:$V$6,0))</f>
        <v>No</v>
      </c>
      <c r="I12" s="131" t="str">
        <f>INDEX('DER Concepts'!$B$6:$V$31,MATCH($C12,'DER Concepts'!$B$6:$B$31,0),MATCH(I$6,'DER Concepts'!$B$6:$V$6,0))</f>
        <v>PSE Program</v>
      </c>
      <c r="J12" s="131" t="str">
        <f>INDEX('DER Concepts'!$B$6:$V$31,MATCH($C12,'DER Concepts'!$B$6:$B$31,0),MATCH(J$6,'DER Concepts'!$B$6:$V$6,0))</f>
        <v>Under Development</v>
      </c>
      <c r="K12" s="131">
        <f>INDEX('DER Concepts'!$B$6:$V$31,MATCH($C12,'DER Concepts'!$B$6:$B$31,0),MATCH(K$6,'DER Concepts'!$B$6:$V$6,0))</f>
        <v>0</v>
      </c>
      <c r="L12" s="131">
        <f>INDEX('DER Concepts'!$B$6:$V$31,MATCH($C12,'DER Concepts'!$B$6:$B$31,0),MATCH(L$6,'DER Concepts'!$B$6:$V$6,0))</f>
        <v>0</v>
      </c>
      <c r="M12" s="131">
        <f>INDEX('DER Concepts'!$B$6:$V$31,MATCH($C12,'DER Concepts'!$B$6:$B$31,0),MATCH(M$6,'DER Concepts'!$B$6:$V$6,0))</f>
        <v>0</v>
      </c>
      <c r="N12" s="131">
        <f>INDEX('DER Concepts'!$B$6:$V$31,MATCH($C12,'DER Concepts'!$B$6:$B$31,0),MATCH(N$6,'DER Concepts'!$B$6:$V$6,0))</f>
        <v>0</v>
      </c>
      <c r="O12" s="131">
        <f>INDEX('DER Concepts'!$B$6:$V$31,MATCH($C12,'DER Concepts'!$B$6:$B$31,0),MATCH(O$6,'DER Concepts'!$B$6:$V$6,0))</f>
        <v>0</v>
      </c>
      <c r="P12" s="131">
        <f>INDEX('DER Concepts'!$B$6:$V$31,MATCH($C12,'DER Concepts'!$B$6:$B$31,0),MATCH(P$6,'DER Concepts'!$B$6:$V$6,0))</f>
        <v>0</v>
      </c>
      <c r="Q12" s="131">
        <f>INDEX('DER Concepts'!$B$6:$V$31,MATCH($C12,'DER Concepts'!$B$6:$B$31,0),MATCH(Q$6,'DER Concepts'!$B$6:$V$6,0))</f>
        <v>0</v>
      </c>
      <c r="R12" s="131">
        <f>INDEX('DER Concepts'!$B$6:$V$31,MATCH($C12,'DER Concepts'!$B$6:$B$31,0),MATCH(R$6,'DER Concepts'!$B$6:$V$6,0))</f>
        <v>0</v>
      </c>
      <c r="S12" s="131">
        <f>INDEX('DER Concepts'!$B$6:$V$31,MATCH($C12,'DER Concepts'!$B$6:$B$31,0),MATCH(S$6,'DER Concepts'!$B$6:$V$6,0))</f>
        <v>0</v>
      </c>
      <c r="T12" s="126">
        <f>INDEX('Cost per Site'!$C$7:$N$33,MATCH($C12,'Cost per Site'!$C$7:$C$33,0),MATCH('Summary Table'!T$6,'Cost per Site'!$C$7:$N$7,0))</f>
        <v>500</v>
      </c>
      <c r="U12" s="126">
        <f>INDEX('Cost per Site'!$C$7:$N$33,MATCH($C12,'Cost per Site'!$C$7:$C$33,0),MATCH('Summary Table'!U$6,'Cost per Site'!$C$7:$N$7,0))</f>
        <v>2</v>
      </c>
      <c r="V12" s="126">
        <f>INDEX('Cost per Site'!$C$7:$N$33,MATCH($C12,'Cost per Site'!$C$7:$C$33,0),MATCH('Summary Table'!V$6,'Cost per Site'!$C$7:$N$7,0))</f>
        <v>10</v>
      </c>
      <c r="W12" s="135">
        <f>INDEX('Cost per Site'!$C$7:$N$33,MATCH($C12,'Cost per Site'!$C$7:$C$33,0),MATCH('Summary Table'!W$6,'Cost per Site'!$C$7:$N$7,0))</f>
        <v>1784</v>
      </c>
      <c r="X12" s="135">
        <f>INDEX('Cost per Site'!$C$7:$N$33,MATCH($C12,'Cost per Site'!$C$7:$C$33,0),MATCH('Summary Table'!X$6,'Cost per Site'!$C$7:$N$7,0))</f>
        <v>19</v>
      </c>
      <c r="Y12" s="135">
        <f>INDEX('Cost per Site'!$C$7:$N$33,MATCH($C12,'Cost per Site'!$C$7:$C$33,0),MATCH('Summary Table'!Y$6,'Cost per Site'!$C$7:$N$7,0))</f>
        <v>28</v>
      </c>
      <c r="Z12" s="135">
        <f>INDEX('Cost per Site'!$C$7:$N$33,MATCH($C12,'Cost per Site'!$C$7:$C$33,0),MATCH('Summary Table'!Z$6,'Cost per Site'!$C$7:$N$7,0))</f>
        <v>0</v>
      </c>
      <c r="AA12" s="135">
        <f>INDEX('Cost per Site'!$C$7:$N$33,MATCH($C12,'Cost per Site'!$C$7:$C$33,0),MATCH('Summary Table'!AA$6,'Cost per Site'!$C$7:$N$7,0))</f>
        <v>0</v>
      </c>
      <c r="AB12" s="126" t="str">
        <f>INDEX('Cost per Site'!$C$7:$N$33,MATCH($C12,'Cost per Site'!$C$7:$C$33,0),MATCH('Summary Table'!AB$6,'Cost per Site'!$C$7:$N$7,0))</f>
        <v>-</v>
      </c>
      <c r="AC12" s="126">
        <f>INDEX('S6-Summary'!$B$17:$W$43,MATCH($B12,'S6-Summary'!$B$17:$B$43,0),MATCH('Summary Table'!AC$6,'S6-Summary'!$B$17:$W$17,0))</f>
        <v>6.3874646759033205</v>
      </c>
      <c r="AD12" s="126">
        <f>INDEX('S6-Summary'!$B$17:$W$43,MATCH($B12,'S6-Summary'!$B$17:$B$43,0),MATCH('Summary Table'!AD$6,'S6-Summary'!$B$17:$W$17,0))</f>
        <v>0.4123</v>
      </c>
      <c r="AE12" s="132">
        <f>INDEX(CBI!$B$10:$H$35,MATCH($C12,CBI!$B$10:$B$35,0),MATCH(AE$6,CBI!$B$10:$H$10,0))</f>
        <v>12</v>
      </c>
      <c r="AF12" s="133" t="s">
        <v>256</v>
      </c>
    </row>
    <row r="13" spans="2:32" x14ac:dyDescent="0.35">
      <c r="B13" s="125">
        <v>7</v>
      </c>
      <c r="C13" s="126">
        <v>7</v>
      </c>
      <c r="D13" s="126" t="str">
        <f>INDEX('DER Concepts'!$B$6:$V$31,MATCH($C13,'DER Concepts'!$B$6:$B$31,0),MATCH(D$6,'DER Concepts'!$B$6:$V$6,0))</f>
        <v>PSE Substation Batteries</v>
      </c>
      <c r="E13" s="126" t="str">
        <f>INDEX('DER Concepts'!$B$6:$V$31,MATCH($C13,'DER Concepts'!$B$6:$B$31,0),MATCH(E$6,'DER Concepts'!$B$6:$V$6,0))</f>
        <v>Battery</v>
      </c>
      <c r="F13" s="126" t="str">
        <f>INDEX('DER Concepts'!$B$6:$V$31,MATCH($C13,'DER Concepts'!$B$6:$B$31,0),MATCH(F$6,'DER Concepts'!$B$6:$V$6,0))</f>
        <v>FOTM</v>
      </c>
      <c r="G13" s="126" t="str">
        <f>INDEX('DER Concepts'!$B$6:$V$31,MATCH($C13,'DER Concepts'!$B$6:$B$31,0),MATCH(G$6,'DER Concepts'!$B$6:$V$6,0))</f>
        <v>PSE</v>
      </c>
      <c r="H13" s="126" t="str">
        <f>INDEX('DER Concepts'!$B$6:$V$31,MATCH($C13,'DER Concepts'!$B$6:$B$31,0),MATCH(H$6,'DER Concepts'!$B$6:$V$6,0))</f>
        <v>No</v>
      </c>
      <c r="I13" s="126" t="str">
        <f>INDEX('DER Concepts'!$B$6:$V$31,MATCH($C13,'DER Concepts'!$B$6:$B$31,0),MATCH(I$6,'DER Concepts'!$B$6:$V$6,0))</f>
        <v>Portfolio Resource</v>
      </c>
      <c r="J13" s="126" t="str">
        <f>INDEX('DER Concepts'!$B$6:$V$31,MATCH($C13,'DER Concepts'!$B$6:$B$31,0),MATCH(J$6,'DER Concepts'!$B$6:$V$6,0))</f>
        <v>Under Development (in progress on Bainbridge)</v>
      </c>
      <c r="K13" s="131">
        <f>INDEX('DER Concepts'!$B$6:$V$31,MATCH($C13,'DER Concepts'!$B$6:$B$31,0),MATCH(K$6,'DER Concepts'!$B$6:$V$6,0))</f>
        <v>0</v>
      </c>
      <c r="L13" s="131">
        <f>INDEX('DER Concepts'!$B$6:$V$31,MATCH($C13,'DER Concepts'!$B$6:$B$31,0),MATCH(L$6,'DER Concepts'!$B$6:$V$6,0))</f>
        <v>0</v>
      </c>
      <c r="M13" s="131">
        <f>INDEX('DER Concepts'!$B$6:$V$31,MATCH($C13,'DER Concepts'!$B$6:$B$31,0),MATCH(M$6,'DER Concepts'!$B$6:$V$6,0))</f>
        <v>0</v>
      </c>
      <c r="N13" s="131">
        <f>INDEX('DER Concepts'!$B$6:$V$31,MATCH($C13,'DER Concepts'!$B$6:$B$31,0),MATCH(N$6,'DER Concepts'!$B$6:$V$6,0))</f>
        <v>0</v>
      </c>
      <c r="O13" s="131">
        <f>INDEX('DER Concepts'!$B$6:$V$31,MATCH($C13,'DER Concepts'!$B$6:$B$31,0),MATCH(O$6,'DER Concepts'!$B$6:$V$6,0))</f>
        <v>0</v>
      </c>
      <c r="P13" s="131">
        <f>INDEX('DER Concepts'!$B$6:$V$31,MATCH($C13,'DER Concepts'!$B$6:$B$31,0),MATCH(P$6,'DER Concepts'!$B$6:$V$6,0))</f>
        <v>0</v>
      </c>
      <c r="Q13" s="131">
        <f>INDEX('DER Concepts'!$B$6:$V$31,MATCH($C13,'DER Concepts'!$B$6:$B$31,0),MATCH(Q$6,'DER Concepts'!$B$6:$V$6,0))</f>
        <v>0</v>
      </c>
      <c r="R13" s="131">
        <f>INDEX('DER Concepts'!$B$6:$V$31,MATCH($C13,'DER Concepts'!$B$6:$B$31,0),MATCH(R$6,'DER Concepts'!$B$6:$V$6,0))</f>
        <v>0</v>
      </c>
      <c r="S13" s="131">
        <f>INDEX('DER Concepts'!$B$6:$V$31,MATCH($C13,'DER Concepts'!$B$6:$B$31,0),MATCH(S$6,'DER Concepts'!$B$6:$V$6,0))</f>
        <v>0</v>
      </c>
      <c r="T13" s="126">
        <f>INDEX('Cost per Site'!$C$7:$N$33,MATCH($C13,'Cost per Site'!$C$7:$C$33,0),MATCH('Summary Table'!T$6,'Cost per Site'!$C$7:$N$7,0))</f>
        <v>3300</v>
      </c>
      <c r="U13" s="126">
        <f>INDEX('Cost per Site'!$C$7:$N$33,MATCH($C13,'Cost per Site'!$C$7:$C$33,0),MATCH('Summary Table'!U$6,'Cost per Site'!$C$7:$N$7,0))</f>
        <v>2</v>
      </c>
      <c r="V13" s="126">
        <f>INDEX('Cost per Site'!$C$7:$N$33,MATCH($C13,'Cost per Site'!$C$7:$C$33,0),MATCH('Summary Table'!V$6,'Cost per Site'!$C$7:$N$7,0))</f>
        <v>10</v>
      </c>
      <c r="W13" s="135">
        <f>INDEX('Cost per Site'!$C$7:$N$33,MATCH($C13,'Cost per Site'!$C$7:$C$33,0),MATCH('Summary Table'!W$6,'Cost per Site'!$C$7:$N$7,0))</f>
        <v>1339</v>
      </c>
      <c r="X13" s="135">
        <f>INDEX('Cost per Site'!$C$7:$N$33,MATCH($C13,'Cost per Site'!$C$7:$C$33,0),MATCH('Summary Table'!X$6,'Cost per Site'!$C$7:$N$7,0))</f>
        <v>20</v>
      </c>
      <c r="Y13" s="135">
        <f>INDEX('Cost per Site'!$C$7:$N$33,MATCH($C13,'Cost per Site'!$C$7:$C$33,0),MATCH('Summary Table'!Y$6,'Cost per Site'!$C$7:$N$7,0))</f>
        <v>18</v>
      </c>
      <c r="Z13" s="135">
        <f>INDEX('Cost per Site'!$C$7:$N$33,MATCH($C13,'Cost per Site'!$C$7:$C$33,0),MATCH('Summary Table'!Z$6,'Cost per Site'!$C$7:$N$7,0))</f>
        <v>0</v>
      </c>
      <c r="AA13" s="135">
        <f>INDEX('Cost per Site'!$C$7:$N$33,MATCH($C13,'Cost per Site'!$C$7:$C$33,0),MATCH('Summary Table'!AA$6,'Cost per Site'!$C$7:$N$7,0))</f>
        <v>0</v>
      </c>
      <c r="AB13" s="126" t="str">
        <f>INDEX('Cost per Site'!$C$7:$N$33,MATCH($C13,'Cost per Site'!$C$7:$C$33,0),MATCH('Summary Table'!AB$6,'Cost per Site'!$C$7:$N$7,0))</f>
        <v>-</v>
      </c>
      <c r="AC13" s="126">
        <f>INDEX('S6-Summary'!$B$17:$W$43,MATCH($B13,'S6-Summary'!$B$17:$B$43,0),MATCH('Summary Table'!AC$6,'S6-Summary'!$B$17:$W$17,0))</f>
        <v>4.712471923828125</v>
      </c>
      <c r="AD13" s="126">
        <f>INDEX('S6-Summary'!$B$17:$W$43,MATCH($B13,'S6-Summary'!$B$17:$B$43,0),MATCH('Summary Table'!AD$6,'S6-Summary'!$B$17:$W$17,0))</f>
        <v>0.46</v>
      </c>
      <c r="AE13" s="128">
        <f>INDEX(CBI!$B$10:$H$35,MATCH($C13,CBI!$B$10:$B$35,0),MATCH(AE$6,CBI!$B$10:$H$10,0))</f>
        <v>12</v>
      </c>
      <c r="AF13" s="129" t="s">
        <v>256</v>
      </c>
    </row>
    <row r="14" spans="2:32" x14ac:dyDescent="0.35">
      <c r="B14" s="130">
        <v>8</v>
      </c>
      <c r="C14" s="131">
        <v>8</v>
      </c>
      <c r="D14" s="131" t="str">
        <f>INDEX('DER Concepts'!$B$6:$V$31,MATCH($C14,'DER Concepts'!$B$6:$B$31,0),MATCH(D$6,'DER Concepts'!$B$6:$V$6,0))</f>
        <v>PSE Utility-Scale Distributed Battery Stations</v>
      </c>
      <c r="E14" s="131" t="str">
        <f>INDEX('DER Concepts'!$B$6:$V$31,MATCH($C14,'DER Concepts'!$B$6:$B$31,0),MATCH(E$6,'DER Concepts'!$B$6:$V$6,0))</f>
        <v>Battery</v>
      </c>
      <c r="F14" s="131" t="str">
        <f>INDEX('DER Concepts'!$B$6:$V$31,MATCH($C14,'DER Concepts'!$B$6:$B$31,0),MATCH(F$6,'DER Concepts'!$B$6:$V$6,0))</f>
        <v>FOTM</v>
      </c>
      <c r="G14" s="131" t="str">
        <f>INDEX('DER Concepts'!$B$6:$V$31,MATCH($C14,'DER Concepts'!$B$6:$B$31,0),MATCH(G$6,'DER Concepts'!$B$6:$V$6,0))</f>
        <v>PSE</v>
      </c>
      <c r="H14" s="131" t="str">
        <f>INDEX('DER Concepts'!$B$6:$V$31,MATCH($C14,'DER Concepts'!$B$6:$B$31,0),MATCH(H$6,'DER Concepts'!$B$6:$V$6,0))</f>
        <v>No</v>
      </c>
      <c r="I14" s="131" t="str">
        <f>INDEX('DER Concepts'!$B$6:$V$31,MATCH($C14,'DER Concepts'!$B$6:$B$31,0),MATCH(I$6,'DER Concepts'!$B$6:$V$6,0))</f>
        <v>Portfolio Resource</v>
      </c>
      <c r="J14" s="131" t="str">
        <f>INDEX('DER Concepts'!$B$6:$V$31,MATCH($C14,'DER Concepts'!$B$6:$B$31,0),MATCH(J$6,'DER Concepts'!$B$6:$V$6,0))</f>
        <v>Under Development</v>
      </c>
      <c r="K14" s="131">
        <f>INDEX('DER Concepts'!$B$6:$V$31,MATCH($C14,'DER Concepts'!$B$6:$B$31,0),MATCH(K$6,'DER Concepts'!$B$6:$V$6,0))</f>
        <v>0</v>
      </c>
      <c r="L14" s="131">
        <f>INDEX('DER Concepts'!$B$6:$V$31,MATCH($C14,'DER Concepts'!$B$6:$B$31,0),MATCH(L$6,'DER Concepts'!$B$6:$V$6,0))</f>
        <v>0</v>
      </c>
      <c r="M14" s="131">
        <f>INDEX('DER Concepts'!$B$6:$V$31,MATCH($C14,'DER Concepts'!$B$6:$B$31,0),MATCH(M$6,'DER Concepts'!$B$6:$V$6,0))</f>
        <v>0</v>
      </c>
      <c r="N14" s="131">
        <f>INDEX('DER Concepts'!$B$6:$V$31,MATCH($C14,'DER Concepts'!$B$6:$B$31,0),MATCH(N$6,'DER Concepts'!$B$6:$V$6,0))</f>
        <v>0</v>
      </c>
      <c r="O14" s="131">
        <f>INDEX('DER Concepts'!$B$6:$V$31,MATCH($C14,'DER Concepts'!$B$6:$B$31,0),MATCH(O$6,'DER Concepts'!$B$6:$V$6,0))</f>
        <v>0</v>
      </c>
      <c r="P14" s="131">
        <f>INDEX('DER Concepts'!$B$6:$V$31,MATCH($C14,'DER Concepts'!$B$6:$B$31,0),MATCH(P$6,'DER Concepts'!$B$6:$V$6,0))</f>
        <v>0</v>
      </c>
      <c r="Q14" s="131">
        <f>INDEX('DER Concepts'!$B$6:$V$31,MATCH($C14,'DER Concepts'!$B$6:$B$31,0),MATCH(Q$6,'DER Concepts'!$B$6:$V$6,0))</f>
        <v>0</v>
      </c>
      <c r="R14" s="131">
        <f>INDEX('DER Concepts'!$B$6:$V$31,MATCH($C14,'DER Concepts'!$B$6:$B$31,0),MATCH(R$6,'DER Concepts'!$B$6:$V$6,0))</f>
        <v>0</v>
      </c>
      <c r="S14" s="131">
        <f>INDEX('DER Concepts'!$B$6:$V$31,MATCH($C14,'DER Concepts'!$B$6:$B$31,0),MATCH(S$6,'DER Concepts'!$B$6:$V$6,0))</f>
        <v>0</v>
      </c>
      <c r="T14" s="126">
        <f>INDEX('Cost per Site'!$C$7:$N$33,MATCH($C14,'Cost per Site'!$C$7:$C$33,0),MATCH('Summary Table'!T$6,'Cost per Site'!$C$7:$N$7,0))</f>
        <v>1000</v>
      </c>
      <c r="U14" s="126">
        <f>INDEX('Cost per Site'!$C$7:$N$33,MATCH($C14,'Cost per Site'!$C$7:$C$33,0),MATCH('Summary Table'!U$6,'Cost per Site'!$C$7:$N$7,0))</f>
        <v>2</v>
      </c>
      <c r="V14" s="126">
        <f>INDEX('Cost per Site'!$C$7:$N$33,MATCH($C14,'Cost per Site'!$C$7:$C$33,0),MATCH('Summary Table'!V$6,'Cost per Site'!$C$7:$N$7,0))</f>
        <v>10</v>
      </c>
      <c r="W14" s="135">
        <f>INDEX('Cost per Site'!$C$7:$N$33,MATCH($C14,'Cost per Site'!$C$7:$C$33,0),MATCH('Summary Table'!W$6,'Cost per Site'!$C$7:$N$7,0))</f>
        <v>1365</v>
      </c>
      <c r="X14" s="135">
        <f>INDEX('Cost per Site'!$C$7:$N$33,MATCH($C14,'Cost per Site'!$C$7:$C$33,0),MATCH('Summary Table'!X$6,'Cost per Site'!$C$7:$N$7,0))</f>
        <v>92</v>
      </c>
      <c r="Y14" s="135">
        <f>INDEX('Cost per Site'!$C$7:$N$33,MATCH($C14,'Cost per Site'!$C$7:$C$33,0),MATCH('Summary Table'!Y$6,'Cost per Site'!$C$7:$N$7,0))</f>
        <v>26</v>
      </c>
      <c r="Z14" s="135">
        <f>INDEX('Cost per Site'!$C$7:$N$33,MATCH($C14,'Cost per Site'!$C$7:$C$33,0),MATCH('Summary Table'!Z$6,'Cost per Site'!$C$7:$N$7,0))</f>
        <v>0</v>
      </c>
      <c r="AA14" s="135">
        <f>INDEX('Cost per Site'!$C$7:$N$33,MATCH($C14,'Cost per Site'!$C$7:$C$33,0),MATCH('Summary Table'!AA$6,'Cost per Site'!$C$7:$N$7,0))</f>
        <v>0</v>
      </c>
      <c r="AB14" s="126" t="str">
        <f>INDEX('Cost per Site'!$C$7:$N$33,MATCH($C14,'Cost per Site'!$C$7:$C$33,0),MATCH('Summary Table'!AB$6,'Cost per Site'!$C$7:$N$7,0))</f>
        <v>-</v>
      </c>
      <c r="AC14" s="126">
        <f>INDEX('S6-Summary'!$B$17:$W$43,MATCH($B14,'S6-Summary'!$B$17:$B$43,0),MATCH('Summary Table'!AC$6,'S6-Summary'!$B$17:$W$17,0))</f>
        <v>8.8681755371093693</v>
      </c>
      <c r="AD14" s="126">
        <f>INDEX('S6-Summary'!$B$17:$W$43,MATCH($B14,'S6-Summary'!$B$17:$B$43,0),MATCH('Summary Table'!AD$6,'S6-Summary'!$B$17:$W$17,0))</f>
        <v>0.31419999999999998</v>
      </c>
      <c r="AE14" s="132">
        <f>INDEX(CBI!$B$10:$H$35,MATCH($C14,CBI!$B$10:$B$35,0),MATCH(AE$6,CBI!$B$10:$H$10,0))</f>
        <v>14</v>
      </c>
      <c r="AF14" s="133" t="s">
        <v>256</v>
      </c>
    </row>
    <row r="15" spans="2:32" x14ac:dyDescent="0.35">
      <c r="B15" s="125">
        <v>9</v>
      </c>
      <c r="C15" s="126">
        <v>9</v>
      </c>
      <c r="D15" s="126" t="str">
        <f>INDEX('DER Concepts'!$B$6:$V$31,MATCH($C15,'DER Concepts'!$B$6:$B$31,0),MATCH(D$6,'DER Concepts'!$B$6:$V$6,0))</f>
        <v>Residential Battery Install Incentive</v>
      </c>
      <c r="E15" s="126" t="str">
        <f>INDEX('DER Concepts'!$B$6:$V$31,MATCH($C15,'DER Concepts'!$B$6:$B$31,0),MATCH(E$6,'DER Concepts'!$B$6:$V$6,0))</f>
        <v>Battery</v>
      </c>
      <c r="F15" s="126" t="str">
        <f>INDEX('DER Concepts'!$B$6:$V$31,MATCH($C15,'DER Concepts'!$B$6:$B$31,0),MATCH(F$6,'DER Concepts'!$B$6:$V$6,0))</f>
        <v>BTM</v>
      </c>
      <c r="G15" s="126" t="str">
        <f>INDEX('DER Concepts'!$B$6:$V$31,MATCH($C15,'DER Concepts'!$B$6:$B$31,0),MATCH(G$6,'DER Concepts'!$B$6:$V$6,0))</f>
        <v>Customer(s)</v>
      </c>
      <c r="H15" s="126" t="str">
        <f>INDEX('DER Concepts'!$B$6:$V$31,MATCH($C15,'DER Concepts'!$B$6:$B$31,0),MATCH(H$6,'DER Concepts'!$B$6:$V$6,0))</f>
        <v>Yes</v>
      </c>
      <c r="I15" s="126" t="str">
        <f>INDEX('DER Concepts'!$B$6:$V$31,MATCH($C15,'DER Concepts'!$B$6:$B$31,0),MATCH(I$6,'DER Concepts'!$B$6:$V$6,0))</f>
        <v>PSE Incentive</v>
      </c>
      <c r="J15" s="126" t="str">
        <f>INDEX('DER Concepts'!$B$6:$V$31,MATCH($C15,'DER Concepts'!$B$6:$B$31,0),MATCH(J$6,'DER Concepts'!$B$6:$V$6,0))</f>
        <v>New</v>
      </c>
      <c r="K15" s="131">
        <f>INDEX('DER Concepts'!$B$6:$V$31,MATCH($C15,'DER Concepts'!$B$6:$B$31,0),MATCH(K$6,'DER Concepts'!$B$6:$V$6,0))</f>
        <v>0.26500000000000001</v>
      </c>
      <c r="L15" s="131">
        <f>INDEX('DER Concepts'!$B$6:$V$31,MATCH($C15,'DER Concepts'!$B$6:$B$31,0),MATCH(L$6,'DER Concepts'!$B$6:$V$6,0))</f>
        <v>0.315</v>
      </c>
      <c r="M15" s="131">
        <f>INDEX('DER Concepts'!$B$6:$V$31,MATCH($C15,'DER Concepts'!$B$6:$B$31,0),MATCH(M$6,'DER Concepts'!$B$6:$V$6,0))</f>
        <v>0.37</v>
      </c>
      <c r="N15" s="131">
        <f>INDEX('DER Concepts'!$B$6:$V$31,MATCH($C15,'DER Concepts'!$B$6:$B$31,0),MATCH(N$6,'DER Concepts'!$B$6:$V$6,0))</f>
        <v>0.43</v>
      </c>
      <c r="O15" s="131">
        <f>INDEX('DER Concepts'!$B$6:$V$31,MATCH($C15,'DER Concepts'!$B$6:$B$31,0),MATCH(O$6,'DER Concepts'!$B$6:$V$6,0))</f>
        <v>0.495</v>
      </c>
      <c r="P15" s="131">
        <f>INDEX('DER Concepts'!$B$6:$V$31,MATCH($C15,'DER Concepts'!$B$6:$B$31,0),MATCH(P$6,'DER Concepts'!$B$6:$V$6,0))</f>
        <v>0.56000000000000005</v>
      </c>
      <c r="Q15" s="131">
        <f>INDEX('DER Concepts'!$B$6:$V$31,MATCH($C15,'DER Concepts'!$B$6:$B$31,0),MATCH(Q$6,'DER Concepts'!$B$6:$V$6,0))</f>
        <v>0.63</v>
      </c>
      <c r="R15" s="131">
        <f>INDEX('DER Concepts'!$B$6:$V$31,MATCH($C15,'DER Concepts'!$B$6:$B$31,0),MATCH(R$6,'DER Concepts'!$B$6:$V$6,0))</f>
        <v>0.69499999999999995</v>
      </c>
      <c r="S15" s="131">
        <f>INDEX('DER Concepts'!$B$6:$V$31,MATCH($C15,'DER Concepts'!$B$6:$B$31,0),MATCH(S$6,'DER Concepts'!$B$6:$V$6,0))</f>
        <v>0.76500000000000001</v>
      </c>
      <c r="T15" s="126">
        <f>INDEX('Cost per Site'!$C$7:$N$33,MATCH($C15,'Cost per Site'!$C$7:$C$33,0),MATCH('Summary Table'!T$6,'Cost per Site'!$C$7:$N$7,0))</f>
        <v>5</v>
      </c>
      <c r="U15" s="126">
        <f>INDEX('Cost per Site'!$C$7:$N$33,MATCH($C15,'Cost per Site'!$C$7:$C$33,0),MATCH('Summary Table'!U$6,'Cost per Site'!$C$7:$N$7,0))</f>
        <v>3</v>
      </c>
      <c r="V15" s="126">
        <f>INDEX('Cost per Site'!$C$7:$N$33,MATCH($C15,'Cost per Site'!$C$7:$C$33,0),MATCH('Summary Table'!V$6,'Cost per Site'!$C$7:$N$7,0))</f>
        <v>10</v>
      </c>
      <c r="W15" s="135">
        <f>INDEX('Cost per Site'!$C$7:$N$33,MATCH($C15,'Cost per Site'!$C$7:$C$33,0),MATCH('Summary Table'!W$6,'Cost per Site'!$C$7:$N$7,0))</f>
        <v>0</v>
      </c>
      <c r="X15" s="135">
        <f>INDEX('Cost per Site'!$C$7:$N$33,MATCH($C15,'Cost per Site'!$C$7:$C$33,0),MATCH('Summary Table'!X$6,'Cost per Site'!$C$7:$N$7,0))</f>
        <v>0</v>
      </c>
      <c r="Y15" s="135">
        <f>INDEX('Cost per Site'!$C$7:$N$33,MATCH($C15,'Cost per Site'!$C$7:$C$33,0),MATCH('Summary Table'!Y$6,'Cost per Site'!$C$7:$N$7,0))</f>
        <v>70</v>
      </c>
      <c r="Z15" s="135">
        <f>INDEX('Cost per Site'!$C$7:$N$33,MATCH($C15,'Cost per Site'!$C$7:$C$33,0),MATCH('Summary Table'!Z$6,'Cost per Site'!$C$7:$N$7,0))</f>
        <v>3782</v>
      </c>
      <c r="AA15" s="135">
        <f>INDEX('Cost per Site'!$C$7:$N$33,MATCH($C15,'Cost per Site'!$C$7:$C$33,0),MATCH('Summary Table'!AA$6,'Cost per Site'!$C$7:$N$7,0))</f>
        <v>42</v>
      </c>
      <c r="AB15" s="126" t="str">
        <f>INDEX('Cost per Site'!$C$7:$N$33,MATCH($C15,'Cost per Site'!$C$7:$C$33,0),MATCH('Summary Table'!AB$6,'Cost per Site'!$C$7:$N$7,0))</f>
        <v>Customer</v>
      </c>
      <c r="AC15" s="126">
        <f>INDEX('S6-Summary'!$B$17:$W$43,MATCH($B15,'S6-Summary'!$B$17:$B$43,0),MATCH('Summary Table'!AC$6,'S6-Summary'!$B$17:$W$17,0))</f>
        <v>6.3576728588689448</v>
      </c>
      <c r="AD15" s="126">
        <f>INDEX('S6-Summary'!$B$17:$W$43,MATCH($B15,'S6-Summary'!$B$17:$B$43,0),MATCH('Summary Table'!AD$6,'S6-Summary'!$B$17:$W$17,0))</f>
        <v>0.18697381815723682</v>
      </c>
      <c r="AE15" s="128">
        <f>INDEX(CBI!$B$10:$H$35,MATCH($C15,CBI!$B$10:$B$35,0),MATCH(AE$6,CBI!$B$10:$H$10,0))</f>
        <v>15</v>
      </c>
      <c r="AF15" s="129" t="s">
        <v>256</v>
      </c>
    </row>
    <row r="16" spans="2:32" x14ac:dyDescent="0.35">
      <c r="B16" s="130">
        <v>10</v>
      </c>
      <c r="C16" s="131">
        <v>10</v>
      </c>
      <c r="D16" s="131" t="str">
        <f>INDEX('DER Concepts'!$B$6:$V$31,MATCH($C16,'DER Concepts'!$B$6:$B$31,0),MATCH(D$6,'DER Concepts'!$B$6:$V$6,0))</f>
        <v>Residential PSE Battery Leasing</v>
      </c>
      <c r="E16" s="131" t="str">
        <f>INDEX('DER Concepts'!$B$6:$V$31,MATCH($C16,'DER Concepts'!$B$6:$B$31,0),MATCH(E$6,'DER Concepts'!$B$6:$V$6,0))</f>
        <v>Battery</v>
      </c>
      <c r="F16" s="131" t="str">
        <f>INDEX('DER Concepts'!$B$6:$V$31,MATCH($C16,'DER Concepts'!$B$6:$B$31,0),MATCH(F$6,'DER Concepts'!$B$6:$V$6,0))</f>
        <v>BTM</v>
      </c>
      <c r="G16" s="131" t="str">
        <f>INDEX('DER Concepts'!$B$6:$V$31,MATCH($C16,'DER Concepts'!$B$6:$B$31,0),MATCH(G$6,'DER Concepts'!$B$6:$V$6,0))</f>
        <v>PSE</v>
      </c>
      <c r="H16" s="131" t="str">
        <f>INDEX('DER Concepts'!$B$6:$V$31,MATCH($C16,'DER Concepts'!$B$6:$B$31,0),MATCH(H$6,'DER Concepts'!$B$6:$V$6,0))</f>
        <v>Yes</v>
      </c>
      <c r="I16" s="131" t="str">
        <f>INDEX('DER Concepts'!$B$6:$V$31,MATCH($C16,'DER Concepts'!$B$6:$B$31,0),MATCH(I$6,'DER Concepts'!$B$6:$V$6,0))</f>
        <v>PSE Program</v>
      </c>
      <c r="J16" s="131" t="str">
        <f>INDEX('DER Concepts'!$B$6:$V$31,MATCH($C16,'DER Concepts'!$B$6:$B$31,0),MATCH(J$6,'DER Concepts'!$B$6:$V$6,0))</f>
        <v>New</v>
      </c>
      <c r="K16" s="131">
        <f>INDEX('DER Concepts'!$B$6:$V$31,MATCH($C16,'DER Concepts'!$B$6:$B$31,0),MATCH(K$6,'DER Concepts'!$B$6:$V$6,0))</f>
        <v>1.1200000000000001</v>
      </c>
      <c r="L16" s="131">
        <f>INDEX('DER Concepts'!$B$6:$V$31,MATCH($C16,'DER Concepts'!$B$6:$B$31,0),MATCH(L$6,'DER Concepts'!$B$6:$V$6,0))</f>
        <v>1.145</v>
      </c>
      <c r="M16" s="131">
        <f>INDEX('DER Concepts'!$B$6:$V$31,MATCH($C16,'DER Concepts'!$B$6:$B$31,0),MATCH(M$6,'DER Concepts'!$B$6:$V$6,0))</f>
        <v>1.165</v>
      </c>
      <c r="N16" s="131">
        <f>INDEX('DER Concepts'!$B$6:$V$31,MATCH($C16,'DER Concepts'!$B$6:$B$31,0),MATCH(N$6,'DER Concepts'!$B$6:$V$6,0))</f>
        <v>1.1850000000000001</v>
      </c>
      <c r="O16" s="131">
        <f>INDEX('DER Concepts'!$B$6:$V$31,MATCH($C16,'DER Concepts'!$B$6:$B$31,0),MATCH(O$6,'DER Concepts'!$B$6:$V$6,0))</f>
        <v>1.2</v>
      </c>
      <c r="P16" s="131">
        <f>INDEX('DER Concepts'!$B$6:$V$31,MATCH($C16,'DER Concepts'!$B$6:$B$31,0),MATCH(P$6,'DER Concepts'!$B$6:$V$6,0))</f>
        <v>1.2150000000000001</v>
      </c>
      <c r="Q16" s="131">
        <f>INDEX('DER Concepts'!$B$6:$V$31,MATCH($C16,'DER Concepts'!$B$6:$B$31,0),MATCH(Q$6,'DER Concepts'!$B$6:$V$6,0))</f>
        <v>1.23</v>
      </c>
      <c r="R16" s="131">
        <f>INDEX('DER Concepts'!$B$6:$V$31,MATCH($C16,'DER Concepts'!$B$6:$B$31,0),MATCH(R$6,'DER Concepts'!$B$6:$V$6,0))</f>
        <v>1.2450000000000001</v>
      </c>
      <c r="S16" s="131">
        <f>INDEX('DER Concepts'!$B$6:$V$31,MATCH($C16,'DER Concepts'!$B$6:$B$31,0),MATCH(S$6,'DER Concepts'!$B$6:$V$6,0))</f>
        <v>1.26</v>
      </c>
      <c r="T16" s="126">
        <f>INDEX('Cost per Site'!$C$7:$N$33,MATCH($C16,'Cost per Site'!$C$7:$C$33,0),MATCH('Summary Table'!T$6,'Cost per Site'!$C$7:$N$7,0))</f>
        <v>5</v>
      </c>
      <c r="U16" s="126">
        <f>INDEX('Cost per Site'!$C$7:$N$33,MATCH($C16,'Cost per Site'!$C$7:$C$33,0),MATCH('Summary Table'!U$6,'Cost per Site'!$C$7:$N$7,0))</f>
        <v>3</v>
      </c>
      <c r="V16" s="126">
        <f>INDEX('Cost per Site'!$C$7:$N$33,MATCH($C16,'Cost per Site'!$C$7:$C$33,0),MATCH('Summary Table'!V$6,'Cost per Site'!$C$7:$N$7,0))</f>
        <v>10</v>
      </c>
      <c r="W16" s="135">
        <f>INDEX('Cost per Site'!$C$7:$N$33,MATCH($C16,'Cost per Site'!$C$7:$C$33,0),MATCH('Summary Table'!W$6,'Cost per Site'!$C$7:$N$7,0))</f>
        <v>3782</v>
      </c>
      <c r="X16" s="135">
        <f>INDEX('Cost per Site'!$C$7:$N$33,MATCH($C16,'Cost per Site'!$C$7:$C$33,0),MATCH('Summary Table'!X$6,'Cost per Site'!$C$7:$N$7,0))</f>
        <v>42</v>
      </c>
      <c r="Y16" s="135">
        <f>INDEX('Cost per Site'!$C$7:$N$33,MATCH($C16,'Cost per Site'!$C$7:$C$33,0),MATCH('Summary Table'!Y$6,'Cost per Site'!$C$7:$N$7,0))</f>
        <v>96</v>
      </c>
      <c r="Z16" s="135">
        <f>INDEX('Cost per Site'!$C$7:$N$33,MATCH($C16,'Cost per Site'!$C$7:$C$33,0),MATCH('Summary Table'!Z$6,'Cost per Site'!$C$7:$N$7,0))</f>
        <v>0</v>
      </c>
      <c r="AA16" s="135">
        <f>INDEX('Cost per Site'!$C$7:$N$33,MATCH($C16,'Cost per Site'!$C$7:$C$33,0),MATCH('Summary Table'!AA$6,'Cost per Site'!$C$7:$N$7,0))</f>
        <v>60</v>
      </c>
      <c r="AB16" s="126" t="str">
        <f>INDEX('Cost per Site'!$C$7:$N$33,MATCH($C16,'Cost per Site'!$C$7:$C$33,0),MATCH('Summary Table'!AB$6,'Cost per Site'!$C$7:$N$7,0))</f>
        <v>Customer</v>
      </c>
      <c r="AC16" s="126">
        <f>INDEX('S6-Summary'!$B$17:$W$43,MATCH($B16,'S6-Summary'!$B$17:$B$43,0),MATCH('Summary Table'!AC$6,'S6-Summary'!$B$17:$W$17,0))</f>
        <v>13.920828306662617</v>
      </c>
      <c r="AD16" s="126">
        <f>INDEX('S6-Summary'!$B$17:$W$43,MATCH($B16,'S6-Summary'!$B$17:$B$43,0),MATCH('Summary Table'!AD$6,'S6-Summary'!$B$17:$W$17,0))</f>
        <v>0.17699999999999999</v>
      </c>
      <c r="AE16" s="132">
        <f>INDEX(CBI!$B$10:$H$35,MATCH($C16,CBI!$B$10:$B$35,0),MATCH(AE$6,CBI!$B$10:$H$10,0))</f>
        <v>19</v>
      </c>
      <c r="AF16" s="133" t="s">
        <v>128</v>
      </c>
    </row>
    <row r="17" spans="2:32" x14ac:dyDescent="0.35">
      <c r="B17" s="125">
        <v>11</v>
      </c>
      <c r="C17" s="126">
        <v>11</v>
      </c>
      <c r="D17" s="126" t="str">
        <f>INDEX('DER Concepts'!$B$6:$V$31,MATCH($C17,'DER Concepts'!$B$6:$B$31,0),MATCH(D$6,'DER Concepts'!$B$6:$V$6,0))</f>
        <v>Residential PSE Battery Leasing - Low Income</v>
      </c>
      <c r="E17" s="126" t="str">
        <f>INDEX('DER Concepts'!$B$6:$V$31,MATCH($C17,'DER Concepts'!$B$6:$B$31,0),MATCH(E$6,'DER Concepts'!$B$6:$V$6,0))</f>
        <v>Battery</v>
      </c>
      <c r="F17" s="126" t="str">
        <f>INDEX('DER Concepts'!$B$6:$V$31,MATCH($C17,'DER Concepts'!$B$6:$B$31,0),MATCH(F$6,'DER Concepts'!$B$6:$V$6,0))</f>
        <v>BTM</v>
      </c>
      <c r="G17" s="126" t="str">
        <f>INDEX('DER Concepts'!$B$6:$V$31,MATCH($C17,'DER Concepts'!$B$6:$B$31,0),MATCH(G$6,'DER Concepts'!$B$6:$V$6,0))</f>
        <v>PSE</v>
      </c>
      <c r="H17" s="126" t="str">
        <f>INDEX('DER Concepts'!$B$6:$V$31,MATCH($C17,'DER Concepts'!$B$6:$B$31,0),MATCH(H$6,'DER Concepts'!$B$6:$V$6,0))</f>
        <v>Yes</v>
      </c>
      <c r="I17" s="126" t="str">
        <f>INDEX('DER Concepts'!$B$6:$V$31,MATCH($C17,'DER Concepts'!$B$6:$B$31,0),MATCH(I$6,'DER Concepts'!$B$6:$V$6,0))</f>
        <v>PSE Program</v>
      </c>
      <c r="J17" s="126" t="str">
        <f>INDEX('DER Concepts'!$B$6:$V$31,MATCH($C17,'DER Concepts'!$B$6:$B$31,0),MATCH(J$6,'DER Concepts'!$B$6:$V$6,0))</f>
        <v>New</v>
      </c>
      <c r="K17" s="131">
        <f>INDEX('DER Concepts'!$B$6:$V$31,MATCH($C17,'DER Concepts'!$B$6:$B$31,0),MATCH(K$6,'DER Concepts'!$B$6:$V$6,0))</f>
        <v>0.11</v>
      </c>
      <c r="L17" s="131">
        <f>INDEX('DER Concepts'!$B$6:$V$31,MATCH($C17,'DER Concepts'!$B$6:$B$31,0),MATCH(L$6,'DER Concepts'!$B$6:$V$6,0))</f>
        <v>0.11</v>
      </c>
      <c r="M17" s="131">
        <f>INDEX('DER Concepts'!$B$6:$V$31,MATCH($C17,'DER Concepts'!$B$6:$B$31,0),MATCH(M$6,'DER Concepts'!$B$6:$V$6,0))</f>
        <v>0.11</v>
      </c>
      <c r="N17" s="131">
        <f>INDEX('DER Concepts'!$B$6:$V$31,MATCH($C17,'DER Concepts'!$B$6:$B$31,0),MATCH(N$6,'DER Concepts'!$B$6:$V$6,0))</f>
        <v>0.11</v>
      </c>
      <c r="O17" s="131">
        <f>INDEX('DER Concepts'!$B$6:$V$31,MATCH($C17,'DER Concepts'!$B$6:$B$31,0),MATCH(O$6,'DER Concepts'!$B$6:$V$6,0))</f>
        <v>0.11</v>
      </c>
      <c r="P17" s="131">
        <f>INDEX('DER Concepts'!$B$6:$V$31,MATCH($C17,'DER Concepts'!$B$6:$B$31,0),MATCH(P$6,'DER Concepts'!$B$6:$V$6,0))</f>
        <v>0.11</v>
      </c>
      <c r="Q17" s="131">
        <f>INDEX('DER Concepts'!$B$6:$V$31,MATCH($C17,'DER Concepts'!$B$6:$B$31,0),MATCH(Q$6,'DER Concepts'!$B$6:$V$6,0))</f>
        <v>0.11</v>
      </c>
      <c r="R17" s="131">
        <f>INDEX('DER Concepts'!$B$6:$V$31,MATCH($C17,'DER Concepts'!$B$6:$B$31,0),MATCH(R$6,'DER Concepts'!$B$6:$V$6,0))</f>
        <v>0.11</v>
      </c>
      <c r="S17" s="131">
        <f>INDEX('DER Concepts'!$B$6:$V$31,MATCH($C17,'DER Concepts'!$B$6:$B$31,0),MATCH(S$6,'DER Concepts'!$B$6:$V$6,0))</f>
        <v>0.11</v>
      </c>
      <c r="T17" s="126">
        <f>INDEX('Cost per Site'!$C$7:$N$33,MATCH($C17,'Cost per Site'!$C$7:$C$33,0),MATCH('Summary Table'!T$6,'Cost per Site'!$C$7:$N$7,0))</f>
        <v>5</v>
      </c>
      <c r="U17" s="126">
        <f>INDEX('Cost per Site'!$C$7:$N$33,MATCH($C17,'Cost per Site'!$C$7:$C$33,0),MATCH('Summary Table'!U$6,'Cost per Site'!$C$7:$N$7,0))</f>
        <v>3</v>
      </c>
      <c r="V17" s="126">
        <f>INDEX('Cost per Site'!$C$7:$N$33,MATCH($C17,'Cost per Site'!$C$7:$C$33,0),MATCH('Summary Table'!V$6,'Cost per Site'!$C$7:$N$7,0))</f>
        <v>10</v>
      </c>
      <c r="W17" s="135">
        <f>INDEX('Cost per Site'!$C$7:$N$33,MATCH($C17,'Cost per Site'!$C$7:$C$33,0),MATCH('Summary Table'!W$6,'Cost per Site'!$C$7:$N$7,0))</f>
        <v>3782</v>
      </c>
      <c r="X17" s="135">
        <f>INDEX('Cost per Site'!$C$7:$N$33,MATCH($C17,'Cost per Site'!$C$7:$C$33,0),MATCH('Summary Table'!X$6,'Cost per Site'!$C$7:$N$7,0))</f>
        <v>42</v>
      </c>
      <c r="Y17" s="135">
        <f>INDEX('Cost per Site'!$C$7:$N$33,MATCH($C17,'Cost per Site'!$C$7:$C$33,0),MATCH('Summary Table'!Y$6,'Cost per Site'!$C$7:$N$7,0))</f>
        <v>96</v>
      </c>
      <c r="Z17" s="135">
        <f>INDEX('Cost per Site'!$C$7:$N$33,MATCH($C17,'Cost per Site'!$C$7:$C$33,0),MATCH('Summary Table'!Z$6,'Cost per Site'!$C$7:$N$7,0))</f>
        <v>0</v>
      </c>
      <c r="AA17" s="135">
        <f>INDEX('Cost per Site'!$C$7:$N$33,MATCH($C17,'Cost per Site'!$C$7:$C$33,0),MATCH('Summary Table'!AA$6,'Cost per Site'!$C$7:$N$7,0))</f>
        <v>10</v>
      </c>
      <c r="AB17" s="126" t="str">
        <f>INDEX('Cost per Site'!$C$7:$N$33,MATCH($C17,'Cost per Site'!$C$7:$C$33,0),MATCH('Summary Table'!AB$6,'Cost per Site'!$C$7:$N$7,0))</f>
        <v>Customer</v>
      </c>
      <c r="AC17" s="126">
        <f>INDEX('S6-Summary'!$B$17:$W$43,MATCH($B17,'S6-Summary'!$B$17:$B$43,0),MATCH('Summary Table'!AC$6,'S6-Summary'!$B$17:$W$17,0))</f>
        <v>16.132658183982102</v>
      </c>
      <c r="AD17" s="126">
        <f>INDEX('S6-Summary'!$B$17:$W$43,MATCH($B17,'S6-Summary'!$B$17:$B$43,0),MATCH('Summary Table'!AD$6,'S6-Summary'!$B$17:$W$17,0))</f>
        <v>0.1946</v>
      </c>
      <c r="AE17" s="128">
        <f>INDEX(CBI!$B$10:$H$35,MATCH($C17,CBI!$B$10:$B$35,0),MATCH(AE$6,CBI!$B$10:$H$10,0))</f>
        <v>20</v>
      </c>
      <c r="AF17" s="129" t="s">
        <v>128</v>
      </c>
    </row>
    <row r="18" spans="2:32" x14ac:dyDescent="0.35">
      <c r="B18" s="130">
        <v>14</v>
      </c>
      <c r="C18" s="131">
        <v>14</v>
      </c>
      <c r="D18" s="131" t="str">
        <f>INDEX('DER Concepts'!$B$6:$V$31,MATCH($C18,'DER Concepts'!$B$6:$B$31,0),MATCH(D$6,'DER Concepts'!$B$6:$V$6,0))</f>
        <v>PSE Community Solar</v>
      </c>
      <c r="E18" s="131" t="str">
        <f>INDEX('DER Concepts'!$B$6:$V$31,MATCH($C18,'DER Concepts'!$B$6:$B$31,0),MATCH(E$6,'DER Concepts'!$B$6:$V$6,0))</f>
        <v>Solar</v>
      </c>
      <c r="F18" s="131" t="str">
        <f>INDEX('DER Concepts'!$B$6:$V$31,MATCH($C18,'DER Concepts'!$B$6:$B$31,0),MATCH(F$6,'DER Concepts'!$B$6:$V$6,0))</f>
        <v>FOTM</v>
      </c>
      <c r="G18" s="131" t="str">
        <f>INDEX('DER Concepts'!$B$6:$V$31,MATCH($C18,'DER Concepts'!$B$6:$B$31,0),MATCH(G$6,'DER Concepts'!$B$6:$V$6,0))</f>
        <v>PSE or PPA</v>
      </c>
      <c r="H18" s="131" t="str">
        <f>INDEX('DER Concepts'!$B$6:$V$31,MATCH($C18,'DER Concepts'!$B$6:$B$31,0),MATCH(H$6,'DER Concepts'!$B$6:$V$6,0))</f>
        <v>Yes</v>
      </c>
      <c r="I18" s="131" t="str">
        <f>INDEX('DER Concepts'!$B$6:$V$31,MATCH($C18,'DER Concepts'!$B$6:$B$31,0),MATCH(I$6,'DER Concepts'!$B$6:$V$6,0))</f>
        <v>PSE Program</v>
      </c>
      <c r="J18" s="131" t="str">
        <f>INDEX('DER Concepts'!$B$6:$V$31,MATCH($C18,'DER Concepts'!$B$6:$B$31,0),MATCH(J$6,'DER Concepts'!$B$6:$V$6,0))</f>
        <v>Under Development</v>
      </c>
      <c r="K18" s="131">
        <f>INDEX('DER Concepts'!$B$6:$V$31,MATCH($C18,'DER Concepts'!$B$6:$B$31,0),MATCH(K$6,'DER Concepts'!$B$6:$V$6,0))</f>
        <v>19</v>
      </c>
      <c r="L18" s="131">
        <f>INDEX('DER Concepts'!$B$6:$V$31,MATCH($C18,'DER Concepts'!$B$6:$B$31,0),MATCH(L$6,'DER Concepts'!$B$6:$V$6,0))</f>
        <v>19</v>
      </c>
      <c r="M18" s="131">
        <f>INDEX('DER Concepts'!$B$6:$V$31,MATCH($C18,'DER Concepts'!$B$6:$B$31,0),MATCH(M$6,'DER Concepts'!$B$6:$V$6,0))</f>
        <v>19</v>
      </c>
      <c r="N18" s="131">
        <f>INDEX('DER Concepts'!$B$6:$V$31,MATCH($C18,'DER Concepts'!$B$6:$B$31,0),MATCH(N$6,'DER Concepts'!$B$6:$V$6,0))</f>
        <v>19</v>
      </c>
      <c r="O18" s="131">
        <f>INDEX('DER Concepts'!$B$6:$V$31,MATCH($C18,'DER Concepts'!$B$6:$B$31,0),MATCH(O$6,'DER Concepts'!$B$6:$V$6,0))</f>
        <v>19</v>
      </c>
      <c r="P18" s="131">
        <f>INDEX('DER Concepts'!$B$6:$V$31,MATCH($C18,'DER Concepts'!$B$6:$B$31,0),MATCH(P$6,'DER Concepts'!$B$6:$V$6,0))</f>
        <v>22.8</v>
      </c>
      <c r="Q18" s="131">
        <f>INDEX('DER Concepts'!$B$6:$V$31,MATCH($C18,'DER Concepts'!$B$6:$B$31,0),MATCH(Q$6,'DER Concepts'!$B$6:$V$6,0))</f>
        <v>22.8</v>
      </c>
      <c r="R18" s="131">
        <f>INDEX('DER Concepts'!$B$6:$V$31,MATCH($C18,'DER Concepts'!$B$6:$B$31,0),MATCH(R$6,'DER Concepts'!$B$6:$V$6,0))</f>
        <v>22.8</v>
      </c>
      <c r="S18" s="131">
        <f>INDEX('DER Concepts'!$B$6:$V$31,MATCH($C18,'DER Concepts'!$B$6:$B$31,0),MATCH(S$6,'DER Concepts'!$B$6:$V$6,0))</f>
        <v>22.8</v>
      </c>
      <c r="T18" s="126">
        <f>INDEX('Cost per Site'!$C$7:$N$33,MATCH($C18,'Cost per Site'!$C$7:$C$33,0),MATCH('Summary Table'!T$6,'Cost per Site'!$C$7:$N$7,0))</f>
        <v>3850</v>
      </c>
      <c r="U18" s="126" t="str">
        <f>INDEX('Cost per Site'!$C$7:$N$33,MATCH($C18,'Cost per Site'!$C$7:$C$33,0),MATCH('Summary Table'!U$6,'Cost per Site'!$C$7:$N$7,0))</f>
        <v>-</v>
      </c>
      <c r="V18" s="126">
        <f>INDEX('Cost per Site'!$C$7:$N$33,MATCH($C18,'Cost per Site'!$C$7:$C$33,0),MATCH('Summary Table'!V$6,'Cost per Site'!$C$7:$N$7,0))</f>
        <v>15</v>
      </c>
      <c r="W18" s="135">
        <f>INDEX('Cost per Site'!$C$7:$N$33,MATCH($C18,'Cost per Site'!$C$7:$C$33,0),MATCH('Summary Table'!W$6,'Cost per Site'!$C$7:$N$7,0))</f>
        <v>1408</v>
      </c>
      <c r="X18" s="135">
        <f>INDEX('Cost per Site'!$C$7:$N$33,MATCH($C18,'Cost per Site'!$C$7:$C$33,0),MATCH('Summary Table'!X$6,'Cost per Site'!$C$7:$N$7,0))</f>
        <v>21</v>
      </c>
      <c r="Y18" s="135">
        <f>INDEX('Cost per Site'!$C$7:$N$33,MATCH($C18,'Cost per Site'!$C$7:$C$33,0),MATCH('Summary Table'!Y$6,'Cost per Site'!$C$7:$N$7,0))</f>
        <v>20</v>
      </c>
      <c r="Z18" s="135">
        <f>INDEX('Cost per Site'!$C$7:$N$33,MATCH($C18,'Cost per Site'!$C$7:$C$33,0),MATCH('Summary Table'!Z$6,'Cost per Site'!$C$7:$N$7,0))</f>
        <v>0</v>
      </c>
      <c r="AA18" s="135" t="str">
        <f>INDEX('Cost per Site'!$C$7:$N$33,MATCH($C18,'Cost per Site'!$C$7:$C$33,0),MATCH('Summary Table'!AA$6,'Cost per Site'!$C$7:$N$7,0))</f>
        <v>$164 /
$31</v>
      </c>
      <c r="AB18" s="126" t="str">
        <f>INDEX('Cost per Site'!$C$7:$N$33,MATCH($C18,'Cost per Site'!$C$7:$C$33,0),MATCH('Summary Table'!AB$6,'Cost per Site'!$C$7:$N$7,0))</f>
        <v>Customer</v>
      </c>
      <c r="AC18" s="126">
        <f>INDEX('S6-Summary'!$B$17:$W$43,MATCH($B18,'S6-Summary'!$B$17:$B$43,0),MATCH('Summary Table'!AC$6,'S6-Summary'!$B$17:$W$17,0))</f>
        <v>-1.8382226655134699</v>
      </c>
      <c r="AD18" s="126">
        <f>INDEX('S6-Summary'!$B$17:$W$43,MATCH($B18,'S6-Summary'!$B$17:$B$43,0),MATCH('Summary Table'!AD$6,'S6-Summary'!$B$17:$W$17,0))</f>
        <v>0.27205278634052843</v>
      </c>
      <c r="AE18" s="132">
        <f>INDEX(CBI!$B$10:$H$35,MATCH($C18,CBI!$B$10:$B$35,0),MATCH(AE$6,CBI!$B$10:$H$10,0))</f>
        <v>14</v>
      </c>
      <c r="AF18" s="133" t="s">
        <v>128</v>
      </c>
    </row>
    <row r="19" spans="2:32" x14ac:dyDescent="0.35">
      <c r="B19" s="125">
        <v>15</v>
      </c>
      <c r="C19" s="126">
        <v>15</v>
      </c>
      <c r="D19" s="126" t="str">
        <f>INDEX('DER Concepts'!$B$6:$V$31,MATCH($C19,'DER Concepts'!$B$6:$B$31,0),MATCH(D$6,'DER Concepts'!$B$6:$V$6,0))</f>
        <v>PSE Community Solar - Low Income</v>
      </c>
      <c r="E19" s="126" t="str">
        <f>INDEX('DER Concepts'!$B$6:$V$31,MATCH($C19,'DER Concepts'!$B$6:$B$31,0),MATCH(E$6,'DER Concepts'!$B$6:$V$6,0))</f>
        <v>Solar</v>
      </c>
      <c r="F19" s="126" t="str">
        <f>INDEX('DER Concepts'!$B$6:$V$31,MATCH($C19,'DER Concepts'!$B$6:$B$31,0),MATCH(F$6,'DER Concepts'!$B$6:$V$6,0))</f>
        <v>FOTM</v>
      </c>
      <c r="G19" s="126" t="str">
        <f>INDEX('DER Concepts'!$B$6:$V$31,MATCH($C19,'DER Concepts'!$B$6:$B$31,0),MATCH(G$6,'DER Concepts'!$B$6:$V$6,0))</f>
        <v>PSE or PPA</v>
      </c>
      <c r="H19" s="126" t="str">
        <f>INDEX('DER Concepts'!$B$6:$V$31,MATCH($C19,'DER Concepts'!$B$6:$B$31,0),MATCH(H$6,'DER Concepts'!$B$6:$V$6,0))</f>
        <v>Yes</v>
      </c>
      <c r="I19" s="126" t="str">
        <f>INDEX('DER Concepts'!$B$6:$V$31,MATCH($C19,'DER Concepts'!$B$6:$B$31,0),MATCH(I$6,'DER Concepts'!$B$6:$V$6,0))</f>
        <v xml:space="preserve">PSE Program </v>
      </c>
      <c r="J19" s="126" t="str">
        <f>INDEX('DER Concepts'!$B$6:$V$31,MATCH($C19,'DER Concepts'!$B$6:$B$31,0),MATCH(J$6,'DER Concepts'!$B$6:$V$6,0))</f>
        <v>Under Development</v>
      </c>
      <c r="K19" s="131">
        <f>INDEX('DER Concepts'!$B$6:$V$31,MATCH($C19,'DER Concepts'!$B$6:$B$31,0),MATCH(K$6,'DER Concepts'!$B$6:$V$6,0))</f>
        <v>3.8</v>
      </c>
      <c r="L19" s="131">
        <f>INDEX('DER Concepts'!$B$6:$V$31,MATCH($C19,'DER Concepts'!$B$6:$B$31,0),MATCH(L$6,'DER Concepts'!$B$6:$V$6,0))</f>
        <v>3.8</v>
      </c>
      <c r="M19" s="131">
        <f>INDEX('DER Concepts'!$B$6:$V$31,MATCH($C19,'DER Concepts'!$B$6:$B$31,0),MATCH(M$6,'DER Concepts'!$B$6:$V$6,0))</f>
        <v>3.8</v>
      </c>
      <c r="N19" s="131">
        <f>INDEX('DER Concepts'!$B$6:$V$31,MATCH($C19,'DER Concepts'!$B$6:$B$31,0),MATCH(N$6,'DER Concepts'!$B$6:$V$6,0))</f>
        <v>3.8</v>
      </c>
      <c r="O19" s="131">
        <f>INDEX('DER Concepts'!$B$6:$V$31,MATCH($C19,'DER Concepts'!$B$6:$B$31,0),MATCH(O$6,'DER Concepts'!$B$6:$V$6,0))</f>
        <v>3.8</v>
      </c>
      <c r="P19" s="131">
        <f>INDEX('DER Concepts'!$B$6:$V$31,MATCH($C19,'DER Concepts'!$B$6:$B$31,0),MATCH(P$6,'DER Concepts'!$B$6:$V$6,0))</f>
        <v>3.8</v>
      </c>
      <c r="Q19" s="131">
        <f>INDEX('DER Concepts'!$B$6:$V$31,MATCH($C19,'DER Concepts'!$B$6:$B$31,0),MATCH(Q$6,'DER Concepts'!$B$6:$V$6,0))</f>
        <v>3.8</v>
      </c>
      <c r="R19" s="131">
        <f>INDEX('DER Concepts'!$B$6:$V$31,MATCH($C19,'DER Concepts'!$B$6:$B$31,0),MATCH(R$6,'DER Concepts'!$B$6:$V$6,0))</f>
        <v>3.8</v>
      </c>
      <c r="S19" s="131">
        <f>INDEX('DER Concepts'!$B$6:$V$31,MATCH($C19,'DER Concepts'!$B$6:$B$31,0),MATCH(S$6,'DER Concepts'!$B$6:$V$6,0))</f>
        <v>3.8</v>
      </c>
      <c r="T19" s="126">
        <f>INDEX('Cost per Site'!$C$7:$N$33,MATCH($C19,'Cost per Site'!$C$7:$C$33,0),MATCH('Summary Table'!T$6,'Cost per Site'!$C$7:$N$7,0))</f>
        <v>3850</v>
      </c>
      <c r="U19" s="126" t="str">
        <f>INDEX('Cost per Site'!$C$7:$N$33,MATCH($C19,'Cost per Site'!$C$7:$C$33,0),MATCH('Summary Table'!U$6,'Cost per Site'!$C$7:$N$7,0))</f>
        <v>-</v>
      </c>
      <c r="V19" s="126">
        <f>INDEX('Cost per Site'!$C$7:$N$33,MATCH($C19,'Cost per Site'!$C$7:$C$33,0),MATCH('Summary Table'!V$6,'Cost per Site'!$C$7:$N$7,0))</f>
        <v>15</v>
      </c>
      <c r="W19" s="135">
        <f>INDEX('Cost per Site'!$C$7:$N$33,MATCH($C19,'Cost per Site'!$C$7:$C$33,0),MATCH('Summary Table'!W$6,'Cost per Site'!$C$7:$N$7,0))</f>
        <v>1408</v>
      </c>
      <c r="X19" s="135">
        <f>INDEX('Cost per Site'!$C$7:$N$33,MATCH($C19,'Cost per Site'!$C$7:$C$33,0),MATCH('Summary Table'!X$6,'Cost per Site'!$C$7:$N$7,0))</f>
        <v>21</v>
      </c>
      <c r="Y19" s="135">
        <f>INDEX('Cost per Site'!$C$7:$N$33,MATCH($C19,'Cost per Site'!$C$7:$C$33,0),MATCH('Summary Table'!Y$6,'Cost per Site'!$C$7:$N$7,0))</f>
        <v>20</v>
      </c>
      <c r="Z19" s="135">
        <f>INDEX('Cost per Site'!$C$7:$N$33,MATCH($C19,'Cost per Site'!$C$7:$C$33,0),MATCH('Summary Table'!Z$6,'Cost per Site'!$C$7:$N$7,0))</f>
        <v>0</v>
      </c>
      <c r="AA19" s="135">
        <f>INDEX('Cost per Site'!$C$7:$N$33,MATCH($C19,'Cost per Site'!$C$7:$C$33,0),MATCH('Summary Table'!AA$6,'Cost per Site'!$C$7:$N$7,0))</f>
        <v>0</v>
      </c>
      <c r="AB19" s="126" t="str">
        <f>INDEX('Cost per Site'!$C$7:$N$33,MATCH($C19,'Cost per Site'!$C$7:$C$33,0),MATCH('Summary Table'!AB$6,'Cost per Site'!$C$7:$N$7,0))</f>
        <v>Customer</v>
      </c>
      <c r="AC19" s="126">
        <f>INDEX('S6-Summary'!$B$17:$W$43,MATCH($B19,'S6-Summary'!$B$17:$B$43,0),MATCH('Summary Table'!AC$6,'S6-Summary'!$B$17:$W$17,0))</f>
        <v>7.0994352087150769</v>
      </c>
      <c r="AD19" s="126">
        <f>INDEX('S6-Summary'!$B$17:$W$43,MATCH($B19,'S6-Summary'!$B$17:$B$43,0),MATCH('Summary Table'!AD$6,'S6-Summary'!$B$17:$W$17,0))</f>
        <v>0.50710307656030273</v>
      </c>
      <c r="AE19" s="128">
        <f>INDEX(CBI!$B$10:$H$35,MATCH($C19,CBI!$B$10:$B$35,0),MATCH(AE$6,CBI!$B$10:$H$10,0))</f>
        <v>16</v>
      </c>
      <c r="AF19" s="129" t="s">
        <v>128</v>
      </c>
    </row>
    <row r="20" spans="2:32" x14ac:dyDescent="0.35">
      <c r="B20" s="130">
        <v>16</v>
      </c>
      <c r="C20" s="131">
        <v>16</v>
      </c>
      <c r="D20" s="131" t="str">
        <f>INDEX('DER Concepts'!$B$6:$V$31,MATCH($C20,'DER Concepts'!$B$6:$B$31,0),MATCH(D$6,'DER Concepts'!$B$6:$V$6,0))</f>
        <v>3rd Party Distributed Solar PPA (or Solar Lease)</v>
      </c>
      <c r="E20" s="131" t="str">
        <f>INDEX('DER Concepts'!$B$6:$V$31,MATCH($C20,'DER Concepts'!$B$6:$B$31,0),MATCH(E$6,'DER Concepts'!$B$6:$V$6,0))</f>
        <v>Solar</v>
      </c>
      <c r="F20" s="131" t="str">
        <f>INDEX('DER Concepts'!$B$6:$V$31,MATCH($C20,'DER Concepts'!$B$6:$B$31,0),MATCH(F$6,'DER Concepts'!$B$6:$V$6,0))</f>
        <v>FOTM</v>
      </c>
      <c r="G20" s="131" t="str">
        <f>INDEX('DER Concepts'!$B$6:$V$31,MATCH($C20,'DER Concepts'!$B$6:$B$31,0),MATCH(G$6,'DER Concepts'!$B$6:$V$6,0))</f>
        <v>3rd Party</v>
      </c>
      <c r="H20" s="131" t="str">
        <f>INDEX('DER Concepts'!$B$6:$V$31,MATCH($C20,'DER Concepts'!$B$6:$B$31,0),MATCH(H$6,'DER Concepts'!$B$6:$V$6,0))</f>
        <v>Yes</v>
      </c>
      <c r="I20" s="131" t="str">
        <f>INDEX('DER Concepts'!$B$6:$V$31,MATCH($C20,'DER Concepts'!$B$6:$B$31,0),MATCH(I$6,'DER Concepts'!$B$6:$V$6,0))</f>
        <v>3rd Party Offering</v>
      </c>
      <c r="J20" s="131" t="str">
        <f>INDEX('DER Concepts'!$B$6:$V$31,MATCH($C20,'DER Concepts'!$B$6:$B$31,0),MATCH(J$6,'DER Concepts'!$B$6:$V$6,0))</f>
        <v>New</v>
      </c>
      <c r="K20" s="131">
        <f>INDEX('DER Concepts'!$B$6:$V$31,MATCH($C20,'DER Concepts'!$B$6:$B$31,0),MATCH(K$6,'DER Concepts'!$B$6:$V$6,0))</f>
        <v>2.8</v>
      </c>
      <c r="L20" s="131">
        <f>INDEX('DER Concepts'!$B$6:$V$31,MATCH($C20,'DER Concepts'!$B$6:$B$31,0),MATCH(L$6,'DER Concepts'!$B$6:$V$6,0))</f>
        <v>2.8</v>
      </c>
      <c r="M20" s="131">
        <f>INDEX('DER Concepts'!$B$6:$V$31,MATCH($C20,'DER Concepts'!$B$6:$B$31,0),MATCH(M$6,'DER Concepts'!$B$6:$V$6,0))</f>
        <v>2.8</v>
      </c>
      <c r="N20" s="131">
        <f>INDEX('DER Concepts'!$B$6:$V$31,MATCH($C20,'DER Concepts'!$B$6:$B$31,0),MATCH(N$6,'DER Concepts'!$B$6:$V$6,0))</f>
        <v>2.8</v>
      </c>
      <c r="O20" s="131">
        <f>INDEX('DER Concepts'!$B$6:$V$31,MATCH($C20,'DER Concepts'!$B$6:$B$31,0),MATCH(O$6,'DER Concepts'!$B$6:$V$6,0))</f>
        <v>4.8</v>
      </c>
      <c r="P20" s="131">
        <f>INDEX('DER Concepts'!$B$6:$V$31,MATCH($C20,'DER Concepts'!$B$6:$B$31,0),MATCH(P$6,'DER Concepts'!$B$6:$V$6,0))</f>
        <v>6.8</v>
      </c>
      <c r="Q20" s="131">
        <f>INDEX('DER Concepts'!$B$6:$V$31,MATCH($C20,'DER Concepts'!$B$6:$B$31,0),MATCH(Q$6,'DER Concepts'!$B$6:$V$6,0))</f>
        <v>8.8000000000000007</v>
      </c>
      <c r="R20" s="131">
        <f>INDEX('DER Concepts'!$B$6:$V$31,MATCH($C20,'DER Concepts'!$B$6:$B$31,0),MATCH(R$6,'DER Concepts'!$B$6:$V$6,0))</f>
        <v>11.2</v>
      </c>
      <c r="S20" s="131">
        <f>INDEX('DER Concepts'!$B$6:$V$31,MATCH($C20,'DER Concepts'!$B$6:$B$31,0),MATCH(S$6,'DER Concepts'!$B$6:$V$6,0))</f>
        <v>13.2</v>
      </c>
      <c r="T20" s="126">
        <f>INDEX('Cost per Site'!$C$7:$N$33,MATCH($C20,'Cost per Site'!$C$7:$C$33,0),MATCH('Summary Table'!T$6,'Cost per Site'!$C$7:$N$7,0))</f>
        <v>308</v>
      </c>
      <c r="U20" s="126" t="str">
        <f>INDEX('Cost per Site'!$C$7:$N$33,MATCH($C20,'Cost per Site'!$C$7:$C$33,0),MATCH('Summary Table'!U$6,'Cost per Site'!$C$7:$N$7,0))</f>
        <v>-</v>
      </c>
      <c r="V20" s="126">
        <f>INDEX('Cost per Site'!$C$7:$N$33,MATCH($C20,'Cost per Site'!$C$7:$C$33,0),MATCH('Summary Table'!V$6,'Cost per Site'!$C$7:$N$7,0))</f>
        <v>30</v>
      </c>
      <c r="W20" s="135">
        <f>INDEX('Cost per Site'!$C$7:$N$33,MATCH($C20,'Cost per Site'!$C$7:$C$33,0),MATCH('Summary Table'!W$6,'Cost per Site'!$C$7:$N$7,0))</f>
        <v>0</v>
      </c>
      <c r="X20" s="135">
        <f>INDEX('Cost per Site'!$C$7:$N$33,MATCH($C20,'Cost per Site'!$C$7:$C$33,0),MATCH('Summary Table'!X$6,'Cost per Site'!$C$7:$N$7,0))</f>
        <v>0</v>
      </c>
      <c r="Y20" s="135">
        <f>INDEX('Cost per Site'!$C$7:$N$33,MATCH($C20,'Cost per Site'!$C$7:$C$33,0),MATCH('Summary Table'!Y$6,'Cost per Site'!$C$7:$N$7,0))</f>
        <v>6</v>
      </c>
      <c r="Z20" s="135">
        <f>INDEX('Cost per Site'!$C$7:$N$33,MATCH($C20,'Cost per Site'!$C$7:$C$33,0),MATCH('Summary Table'!Z$6,'Cost per Site'!$C$7:$N$7,0))</f>
        <v>2165</v>
      </c>
      <c r="AA20" s="135">
        <f>INDEX('Cost per Site'!$C$7:$N$33,MATCH($C20,'Cost per Site'!$C$7:$C$33,0),MATCH('Summary Table'!AA$6,'Cost per Site'!$C$7:$N$7,0))</f>
        <v>87</v>
      </c>
      <c r="AB20" s="126" t="str">
        <f>INDEX('Cost per Site'!$C$7:$N$33,MATCH($C20,'Cost per Site'!$C$7:$C$33,0),MATCH('Summary Table'!AB$6,'Cost per Site'!$C$7:$N$7,0))</f>
        <v>Third Party</v>
      </c>
      <c r="AC20" s="126">
        <f>INDEX('S6-Summary'!$B$17:$W$43,MATCH($B20,'S6-Summary'!$B$17:$B$43,0),MATCH('Summary Table'!AC$6,'S6-Summary'!$B$17:$W$17,0))</f>
        <v>4.6354712939937226</v>
      </c>
      <c r="AD20" s="126">
        <f>INDEX('S6-Summary'!$B$17:$W$43,MATCH($B20,'S6-Summary'!$B$17:$B$43,0),MATCH('Summary Table'!AD$6,'S6-Summary'!$B$17:$W$17,0))</f>
        <v>0.65399230103020356</v>
      </c>
      <c r="AE20" s="132">
        <f>INDEX(CBI!$B$10:$H$35,MATCH($C20,CBI!$B$10:$B$35,0),MATCH(AE$6,CBI!$B$10:$H$10,0))</f>
        <v>15</v>
      </c>
      <c r="AF20" s="133" t="s">
        <v>128</v>
      </c>
    </row>
    <row r="21" spans="2:32" x14ac:dyDescent="0.35">
      <c r="B21" s="125">
        <v>17</v>
      </c>
      <c r="C21" s="126">
        <v>17</v>
      </c>
      <c r="D21" s="126" t="str">
        <f>INDEX('DER Concepts'!$B$6:$V$31,MATCH($C21,'DER Concepts'!$B$6:$B$31,0),MATCH(D$6,'DER Concepts'!$B$6:$V$6,0))</f>
        <v>C&amp;I Roof-top Solar Incentive</v>
      </c>
      <c r="E21" s="126" t="str">
        <f>INDEX('DER Concepts'!$B$6:$V$31,MATCH($C21,'DER Concepts'!$B$6:$B$31,0),MATCH(E$6,'DER Concepts'!$B$6:$V$6,0))</f>
        <v>Solar</v>
      </c>
      <c r="F21" s="126" t="str">
        <f>INDEX('DER Concepts'!$B$6:$V$31,MATCH($C21,'DER Concepts'!$B$6:$B$31,0),MATCH(F$6,'DER Concepts'!$B$6:$V$6,0))</f>
        <v>BTM</v>
      </c>
      <c r="G21" s="126" t="str">
        <f>INDEX('DER Concepts'!$B$6:$V$31,MATCH($C21,'DER Concepts'!$B$6:$B$31,0),MATCH(G$6,'DER Concepts'!$B$6:$V$6,0))</f>
        <v>Customer(s)</v>
      </c>
      <c r="H21" s="126" t="str">
        <f>INDEX('DER Concepts'!$B$6:$V$31,MATCH($C21,'DER Concepts'!$B$6:$B$31,0),MATCH(H$6,'DER Concepts'!$B$6:$V$6,0))</f>
        <v>Yes</v>
      </c>
      <c r="I21" s="126" t="str">
        <f>INDEX('DER Concepts'!$B$6:$V$31,MATCH($C21,'DER Concepts'!$B$6:$B$31,0),MATCH(I$6,'DER Concepts'!$B$6:$V$6,0))</f>
        <v>PSE Incentive</v>
      </c>
      <c r="J21" s="126" t="str">
        <f>INDEX('DER Concepts'!$B$6:$V$31,MATCH($C21,'DER Concepts'!$B$6:$B$31,0),MATCH(J$6,'DER Concepts'!$B$6:$V$6,0))</f>
        <v>New</v>
      </c>
      <c r="K21" s="131">
        <f>INDEX('DER Concepts'!$B$6:$V$31,MATCH($C21,'DER Concepts'!$B$6:$B$31,0),MATCH(K$6,'DER Concepts'!$B$6:$V$6,0))</f>
        <v>5.2190000000000003</v>
      </c>
      <c r="L21" s="131">
        <f>INDEX('DER Concepts'!$B$6:$V$31,MATCH($C21,'DER Concepts'!$B$6:$B$31,0),MATCH(L$6,'DER Concepts'!$B$6:$V$6,0))</f>
        <v>5.2190000000000003</v>
      </c>
      <c r="M21" s="131">
        <f>INDEX('DER Concepts'!$B$6:$V$31,MATCH($C21,'DER Concepts'!$B$6:$B$31,0),MATCH(M$6,'DER Concepts'!$B$6:$V$6,0))</f>
        <v>5.2190000000000003</v>
      </c>
      <c r="N21" s="131">
        <f>INDEX('DER Concepts'!$B$6:$V$31,MATCH($C21,'DER Concepts'!$B$6:$B$31,0),MATCH(N$6,'DER Concepts'!$B$6:$V$6,0))</f>
        <v>5.2190000000000003</v>
      </c>
      <c r="O21" s="131">
        <f>INDEX('DER Concepts'!$B$6:$V$31,MATCH($C21,'DER Concepts'!$B$6:$B$31,0),MATCH(O$6,'DER Concepts'!$B$6:$V$6,0))</f>
        <v>7.0609999999999999</v>
      </c>
      <c r="P21" s="131">
        <f>INDEX('DER Concepts'!$B$6:$V$31,MATCH($C21,'DER Concepts'!$B$6:$B$31,0),MATCH(P$6,'DER Concepts'!$B$6:$V$6,0))</f>
        <v>8.5960000000000001</v>
      </c>
      <c r="Q21" s="131">
        <f>INDEX('DER Concepts'!$B$6:$V$31,MATCH($C21,'DER Concepts'!$B$6:$B$31,0),MATCH(Q$6,'DER Concepts'!$B$6:$V$6,0))</f>
        <v>10.131</v>
      </c>
      <c r="R21" s="131">
        <f>INDEX('DER Concepts'!$B$6:$V$31,MATCH($C21,'DER Concepts'!$B$6:$B$31,0),MATCH(R$6,'DER Concepts'!$B$6:$V$6,0))</f>
        <v>11.666</v>
      </c>
      <c r="S21" s="131">
        <f>INDEX('DER Concepts'!$B$6:$V$31,MATCH($C21,'DER Concepts'!$B$6:$B$31,0),MATCH(S$6,'DER Concepts'!$B$6:$V$6,0))</f>
        <v>13.201000000000001</v>
      </c>
      <c r="T21" s="126">
        <f>INDEX('Cost per Site'!$C$7:$N$33,MATCH($C21,'Cost per Site'!$C$7:$C$33,0),MATCH('Summary Table'!T$6,'Cost per Site'!$C$7:$N$7,0))</f>
        <v>308</v>
      </c>
      <c r="U21" s="126" t="str">
        <f>INDEX('Cost per Site'!$C$7:$N$33,MATCH($C21,'Cost per Site'!$C$7:$C$33,0),MATCH('Summary Table'!U$6,'Cost per Site'!$C$7:$N$7,0))</f>
        <v>-</v>
      </c>
      <c r="V21" s="126">
        <f>INDEX('Cost per Site'!$C$7:$N$33,MATCH($C21,'Cost per Site'!$C$7:$C$33,0),MATCH('Summary Table'!V$6,'Cost per Site'!$C$7:$N$7,0))</f>
        <v>30</v>
      </c>
      <c r="W21" s="135">
        <f>INDEX('Cost per Site'!$C$7:$N$33,MATCH($C21,'Cost per Site'!$C$7:$C$33,0),MATCH('Summary Table'!W$6,'Cost per Site'!$C$7:$N$7,0))</f>
        <v>0</v>
      </c>
      <c r="X21" s="135">
        <f>INDEX('Cost per Site'!$C$7:$N$33,MATCH($C21,'Cost per Site'!$C$7:$C$33,0),MATCH('Summary Table'!X$6,'Cost per Site'!$C$7:$N$7,0))</f>
        <v>0</v>
      </c>
      <c r="Y21" s="135">
        <f>INDEX('Cost per Site'!$C$7:$N$33,MATCH($C21,'Cost per Site'!$C$7:$C$33,0),MATCH('Summary Table'!Y$6,'Cost per Site'!$C$7:$N$7,0))</f>
        <v>8</v>
      </c>
      <c r="Z21" s="135">
        <f>INDEX('Cost per Site'!$C$7:$N$33,MATCH($C21,'Cost per Site'!$C$7:$C$33,0),MATCH('Summary Table'!Z$6,'Cost per Site'!$C$7:$N$7,0))</f>
        <v>2165</v>
      </c>
      <c r="AA21" s="135">
        <f>INDEX('Cost per Site'!$C$7:$N$33,MATCH($C21,'Cost per Site'!$C$7:$C$33,0),MATCH('Summary Table'!AA$6,'Cost per Site'!$C$7:$N$7,0))</f>
        <v>32</v>
      </c>
      <c r="AB21" s="126" t="str">
        <f>INDEX('Cost per Site'!$C$7:$N$33,MATCH($C21,'Cost per Site'!$C$7:$C$33,0),MATCH('Summary Table'!AB$6,'Cost per Site'!$C$7:$N$7,0))</f>
        <v>Customer</v>
      </c>
      <c r="AC21" s="126">
        <f>INDEX('S6-Summary'!$B$17:$W$43,MATCH($B21,'S6-Summary'!$B$17:$B$43,0),MATCH('Summary Table'!AC$6,'S6-Summary'!$B$17:$W$17,0))</f>
        <v>0.45340382079178365</v>
      </c>
      <c r="AD21" s="126">
        <f>INDEX('S6-Summary'!$B$17:$W$43,MATCH($B21,'S6-Summary'!$B$17:$B$43,0),MATCH('Summary Table'!AD$6,'S6-Summary'!$B$17:$W$17,0))</f>
        <v>0.49574268401292115</v>
      </c>
      <c r="AE21" s="128">
        <f>INDEX(CBI!$B$10:$H$35,MATCH($C21,CBI!$B$10:$B$35,0),MATCH(AE$6,CBI!$B$10:$H$10,0))</f>
        <v>16</v>
      </c>
      <c r="AF21" s="129" t="s">
        <v>128</v>
      </c>
    </row>
    <row r="22" spans="2:32" x14ac:dyDescent="0.35">
      <c r="B22" s="130">
        <v>18</v>
      </c>
      <c r="C22" s="131">
        <v>18</v>
      </c>
      <c r="D22" s="131" t="str">
        <f>INDEX('DER Concepts'!$B$6:$V$31,MATCH($C22,'DER Concepts'!$B$6:$B$31,0),MATCH(D$6,'DER Concepts'!$B$6:$V$6,0))</f>
        <v>C&amp;I Roof-top Solar Leasing</v>
      </c>
      <c r="E22" s="131" t="str">
        <f>INDEX('DER Concepts'!$B$6:$V$31,MATCH($C22,'DER Concepts'!$B$6:$B$31,0),MATCH(E$6,'DER Concepts'!$B$6:$V$6,0))</f>
        <v>Solar</v>
      </c>
      <c r="F22" s="131" t="str">
        <f>INDEX('DER Concepts'!$B$6:$V$31,MATCH($C22,'DER Concepts'!$B$6:$B$31,0),MATCH(F$6,'DER Concepts'!$B$6:$V$6,0))</f>
        <v>FOTM</v>
      </c>
      <c r="G22" s="131" t="str">
        <f>INDEX('DER Concepts'!$B$6:$V$31,MATCH($C22,'DER Concepts'!$B$6:$B$31,0),MATCH(G$6,'DER Concepts'!$B$6:$V$6,0))</f>
        <v>PSE or PPA</v>
      </c>
      <c r="H22" s="131" t="str">
        <f>INDEX('DER Concepts'!$B$6:$V$31,MATCH($C22,'DER Concepts'!$B$6:$B$31,0),MATCH(H$6,'DER Concepts'!$B$6:$V$6,0))</f>
        <v>Yes</v>
      </c>
      <c r="I22" s="131" t="str">
        <f>INDEX('DER Concepts'!$B$6:$V$31,MATCH($C22,'DER Concepts'!$B$6:$B$31,0),MATCH(I$6,'DER Concepts'!$B$6:$V$6,0))</f>
        <v>PSE Program</v>
      </c>
      <c r="J22" s="131" t="str">
        <f>INDEX('DER Concepts'!$B$6:$V$31,MATCH($C22,'DER Concepts'!$B$6:$B$31,0),MATCH(J$6,'DER Concepts'!$B$6:$V$6,0))</f>
        <v>New</v>
      </c>
      <c r="K22" s="131">
        <f>INDEX('DER Concepts'!$B$6:$V$31,MATCH($C22,'DER Concepts'!$B$6:$B$31,0),MATCH(K$6,'DER Concepts'!$B$6:$V$6,0))</f>
        <v>8.4</v>
      </c>
      <c r="L22" s="131">
        <f>INDEX('DER Concepts'!$B$6:$V$31,MATCH($C22,'DER Concepts'!$B$6:$B$31,0),MATCH(L$6,'DER Concepts'!$B$6:$V$6,0))</f>
        <v>12.8</v>
      </c>
      <c r="M22" s="131">
        <f>INDEX('DER Concepts'!$B$6:$V$31,MATCH($C22,'DER Concepts'!$B$6:$B$31,0),MATCH(M$6,'DER Concepts'!$B$6:$V$6,0))</f>
        <v>17.2</v>
      </c>
      <c r="N22" s="131">
        <f>INDEX('DER Concepts'!$B$6:$V$31,MATCH($C22,'DER Concepts'!$B$6:$B$31,0),MATCH(N$6,'DER Concepts'!$B$6:$V$6,0))</f>
        <v>21.6</v>
      </c>
      <c r="O22" s="131">
        <f>INDEX('DER Concepts'!$B$6:$V$31,MATCH($C22,'DER Concepts'!$B$6:$B$31,0),MATCH(O$6,'DER Concepts'!$B$6:$V$6,0))</f>
        <v>21.6</v>
      </c>
      <c r="P22" s="131">
        <f>INDEX('DER Concepts'!$B$6:$V$31,MATCH($C22,'DER Concepts'!$B$6:$B$31,0),MATCH(P$6,'DER Concepts'!$B$6:$V$6,0))</f>
        <v>21.6</v>
      </c>
      <c r="Q22" s="131">
        <f>INDEX('DER Concepts'!$B$6:$V$31,MATCH($C22,'DER Concepts'!$B$6:$B$31,0),MATCH(Q$6,'DER Concepts'!$B$6:$V$6,0))</f>
        <v>21.6</v>
      </c>
      <c r="R22" s="131">
        <f>INDEX('DER Concepts'!$B$6:$V$31,MATCH($C22,'DER Concepts'!$B$6:$B$31,0),MATCH(R$6,'DER Concepts'!$B$6:$V$6,0))</f>
        <v>21.6</v>
      </c>
      <c r="S22" s="131">
        <f>INDEX('DER Concepts'!$B$6:$V$31,MATCH($C22,'DER Concepts'!$B$6:$B$31,0),MATCH(S$6,'DER Concepts'!$B$6:$V$6,0))</f>
        <v>21.6</v>
      </c>
      <c r="T22" s="126">
        <f>INDEX('Cost per Site'!$C$7:$N$33,MATCH($C22,'Cost per Site'!$C$7:$C$33,0),MATCH('Summary Table'!T$6,'Cost per Site'!$C$7:$N$7,0))</f>
        <v>308</v>
      </c>
      <c r="U22" s="126" t="str">
        <f>INDEX('Cost per Site'!$C$7:$N$33,MATCH($C22,'Cost per Site'!$C$7:$C$33,0),MATCH('Summary Table'!U$6,'Cost per Site'!$C$7:$N$7,0))</f>
        <v>-</v>
      </c>
      <c r="V22" s="126">
        <f>INDEX('Cost per Site'!$C$7:$N$33,MATCH($C22,'Cost per Site'!$C$7:$C$33,0),MATCH('Summary Table'!V$6,'Cost per Site'!$C$7:$N$7,0))</f>
        <v>30</v>
      </c>
      <c r="W22" s="135">
        <f>INDEX('Cost per Site'!$C$7:$N$33,MATCH($C22,'Cost per Site'!$C$7:$C$33,0),MATCH('Summary Table'!W$6,'Cost per Site'!$C$7:$N$7,0))</f>
        <v>2162</v>
      </c>
      <c r="X22" s="135">
        <f>INDEX('Cost per Site'!$C$7:$N$33,MATCH($C22,'Cost per Site'!$C$7:$C$33,0),MATCH('Summary Table'!X$6,'Cost per Site'!$C$7:$N$7,0))</f>
        <v>45</v>
      </c>
      <c r="Y22" s="135">
        <f>INDEX('Cost per Site'!$C$7:$N$33,MATCH($C22,'Cost per Site'!$C$7:$C$33,0),MATCH('Summary Table'!Y$6,'Cost per Site'!$C$7:$N$7,0))</f>
        <v>31</v>
      </c>
      <c r="Z22" s="135">
        <f>INDEX('Cost per Site'!$C$7:$N$33,MATCH($C22,'Cost per Site'!$C$7:$C$33,0),MATCH('Summary Table'!Z$6,'Cost per Site'!$C$7:$N$7,0))</f>
        <v>0</v>
      </c>
      <c r="AA22" s="135">
        <f>INDEX('Cost per Site'!$C$7:$N$33,MATCH($C22,'Cost per Site'!$C$7:$C$33,0),MATCH('Summary Table'!AA$6,'Cost per Site'!$C$7:$N$7,0))</f>
        <v>0</v>
      </c>
      <c r="AB22" s="126" t="str">
        <f>INDEX('Cost per Site'!$C$7:$N$33,MATCH($C22,'Cost per Site'!$C$7:$C$33,0),MATCH('Summary Table'!AB$6,'Cost per Site'!$C$7:$N$7,0))</f>
        <v>-</v>
      </c>
      <c r="AC22" s="126">
        <f>INDEX('S6-Summary'!$B$17:$W$43,MATCH($B22,'S6-Summary'!$B$17:$B$43,0),MATCH('Summary Table'!AC$6,'S6-Summary'!$B$17:$W$17,0))</f>
        <v>8.964012775361347</v>
      </c>
      <c r="AD22" s="126">
        <f>INDEX('S6-Summary'!$B$17:$W$43,MATCH($B22,'S6-Summary'!$B$17:$B$43,0),MATCH('Summary Table'!AD$6,'S6-Summary'!$B$17:$W$17,0))</f>
        <v>0.3794284339748269</v>
      </c>
      <c r="AE22" s="132">
        <f>INDEX(CBI!$B$10:$H$35,MATCH($C22,CBI!$B$10:$B$35,0),MATCH(AE$6,CBI!$B$10:$H$10,0))</f>
        <v>16</v>
      </c>
      <c r="AF22" s="133" t="s">
        <v>256</v>
      </c>
    </row>
    <row r="23" spans="2:32" x14ac:dyDescent="0.35">
      <c r="B23" s="125">
        <v>19</v>
      </c>
      <c r="C23" s="126">
        <v>19</v>
      </c>
      <c r="D23" s="126" t="str">
        <f>INDEX('DER Concepts'!$B$6:$V$31,MATCH($C23,'DER Concepts'!$B$6:$B$31,0),MATCH(D$6,'DER Concepts'!$B$6:$V$6,0))</f>
        <v>Multi-Family Solar Partnership</v>
      </c>
      <c r="E23" s="126" t="str">
        <f>INDEX('DER Concepts'!$B$6:$V$31,MATCH($C23,'DER Concepts'!$B$6:$B$31,0),MATCH(E$6,'DER Concepts'!$B$6:$V$6,0))</f>
        <v>Solar</v>
      </c>
      <c r="F23" s="126" t="str">
        <f>INDEX('DER Concepts'!$B$6:$V$31,MATCH($C23,'DER Concepts'!$B$6:$B$31,0),MATCH(F$6,'DER Concepts'!$B$6:$V$6,0))</f>
        <v>BTM</v>
      </c>
      <c r="G23" s="126" t="str">
        <f>INDEX('DER Concepts'!$B$6:$V$31,MATCH($C23,'DER Concepts'!$B$6:$B$31,0),MATCH(G$6,'DER Concepts'!$B$6:$V$6,0))</f>
        <v>Landlord or 3rd Party</v>
      </c>
      <c r="H23" s="126" t="str">
        <f>INDEX('DER Concepts'!$B$6:$V$31,MATCH($C23,'DER Concepts'!$B$6:$B$31,0),MATCH(H$6,'DER Concepts'!$B$6:$V$6,0))</f>
        <v>Yes</v>
      </c>
      <c r="I23" s="126" t="str">
        <f>INDEX('DER Concepts'!$B$6:$V$31,MATCH($C23,'DER Concepts'!$B$6:$B$31,0),MATCH(I$6,'DER Concepts'!$B$6:$V$6,0))</f>
        <v>PSE Program or PSE Rate</v>
      </c>
      <c r="J23" s="126" t="str">
        <f>INDEX('DER Concepts'!$B$6:$V$31,MATCH($C23,'DER Concepts'!$B$6:$B$31,0),MATCH(J$6,'DER Concepts'!$B$6:$V$6,0))</f>
        <v>New</v>
      </c>
      <c r="K23" s="131">
        <f>INDEX('DER Concepts'!$B$6:$V$31,MATCH($C23,'DER Concepts'!$B$6:$B$31,0),MATCH(K$6,'DER Concepts'!$B$6:$V$6,0))</f>
        <v>8.3000000000000004E-2</v>
      </c>
      <c r="L23" s="131">
        <f>INDEX('DER Concepts'!$B$6:$V$31,MATCH($C23,'DER Concepts'!$B$6:$B$31,0),MATCH(L$6,'DER Concepts'!$B$6:$V$6,0))</f>
        <v>8.3000000000000004E-2</v>
      </c>
      <c r="M23" s="131">
        <f>INDEX('DER Concepts'!$B$6:$V$31,MATCH($C23,'DER Concepts'!$B$6:$B$31,0),MATCH(M$6,'DER Concepts'!$B$6:$V$6,0))</f>
        <v>8.3000000000000004E-2</v>
      </c>
      <c r="N23" s="131">
        <f>INDEX('DER Concepts'!$B$6:$V$31,MATCH($C23,'DER Concepts'!$B$6:$B$31,0),MATCH(N$6,'DER Concepts'!$B$6:$V$6,0))</f>
        <v>8.3000000000000004E-2</v>
      </c>
      <c r="O23" s="131">
        <f>INDEX('DER Concepts'!$B$6:$V$31,MATCH($C23,'DER Concepts'!$B$6:$B$31,0),MATCH(O$6,'DER Concepts'!$B$6:$V$6,0))</f>
        <v>8.3000000000000004E-2</v>
      </c>
      <c r="P23" s="131">
        <f>INDEX('DER Concepts'!$B$6:$V$31,MATCH($C23,'DER Concepts'!$B$6:$B$31,0),MATCH(P$6,'DER Concepts'!$B$6:$V$6,0))</f>
        <v>0.16600000000000001</v>
      </c>
      <c r="Q23" s="131">
        <f>INDEX('DER Concepts'!$B$6:$V$31,MATCH($C23,'DER Concepts'!$B$6:$B$31,0),MATCH(Q$6,'DER Concepts'!$B$6:$V$6,0))</f>
        <v>0.249</v>
      </c>
      <c r="R23" s="131">
        <f>INDEX('DER Concepts'!$B$6:$V$31,MATCH($C23,'DER Concepts'!$B$6:$B$31,0),MATCH(R$6,'DER Concepts'!$B$6:$V$6,0))</f>
        <v>0.249</v>
      </c>
      <c r="S23" s="131">
        <f>INDEX('DER Concepts'!$B$6:$V$31,MATCH($C23,'DER Concepts'!$B$6:$B$31,0),MATCH(S$6,'DER Concepts'!$B$6:$V$6,0))</f>
        <v>0.33200000000000002</v>
      </c>
      <c r="T23" s="126">
        <f>INDEX('Cost per Site'!$C$7:$N$33,MATCH($C23,'Cost per Site'!$C$7:$C$33,0),MATCH('Summary Table'!T$6,'Cost per Site'!$C$7:$N$7,0))</f>
        <v>83</v>
      </c>
      <c r="U23" s="126" t="str">
        <f>INDEX('Cost per Site'!$C$7:$N$33,MATCH($C23,'Cost per Site'!$C$7:$C$33,0),MATCH('Summary Table'!U$6,'Cost per Site'!$C$7:$N$7,0))</f>
        <v>-</v>
      </c>
      <c r="V23" s="126">
        <f>INDEX('Cost per Site'!$C$7:$N$33,MATCH($C23,'Cost per Site'!$C$7:$C$33,0),MATCH('Summary Table'!V$6,'Cost per Site'!$C$7:$N$7,0))</f>
        <v>30</v>
      </c>
      <c r="W23" s="135">
        <f>INDEX('Cost per Site'!$C$7:$N$33,MATCH($C23,'Cost per Site'!$C$7:$C$33,0),MATCH('Summary Table'!W$6,'Cost per Site'!$C$7:$N$7,0))</f>
        <v>0</v>
      </c>
      <c r="X23" s="135">
        <f>INDEX('Cost per Site'!$C$7:$N$33,MATCH($C23,'Cost per Site'!$C$7:$C$33,0),MATCH('Summary Table'!X$6,'Cost per Site'!$C$7:$N$7,0))</f>
        <v>0</v>
      </c>
      <c r="Y23" s="135">
        <f>INDEX('Cost per Site'!$C$7:$N$33,MATCH($C23,'Cost per Site'!$C$7:$C$33,0),MATCH('Summary Table'!Y$6,'Cost per Site'!$C$7:$N$7,0))</f>
        <v>47</v>
      </c>
      <c r="Z23" s="135">
        <f>INDEX('Cost per Site'!$C$7:$N$33,MATCH($C23,'Cost per Site'!$C$7:$C$33,0),MATCH('Summary Table'!Z$6,'Cost per Site'!$C$7:$N$7,0))</f>
        <v>4027</v>
      </c>
      <c r="AA23" s="135">
        <f>INDEX('Cost per Site'!$C$7:$N$33,MATCH($C23,'Cost per Site'!$C$7:$C$33,0),MATCH('Summary Table'!AA$6,'Cost per Site'!$C$7:$N$7,0))</f>
        <v>119</v>
      </c>
      <c r="AB23" s="126" t="str">
        <f>INDEX('Cost per Site'!$C$7:$N$33,MATCH($C23,'Cost per Site'!$C$7:$C$33,0),MATCH('Summary Table'!AB$6,'Cost per Site'!$C$7:$N$7,0))</f>
        <v>Customer</v>
      </c>
      <c r="AC23" s="126">
        <f>INDEX('S6-Summary'!$B$17:$W$43,MATCH($B23,'S6-Summary'!$B$17:$B$43,0),MATCH('Summary Table'!AC$6,'S6-Summary'!$B$17:$W$17,0))</f>
        <v>18.531135620948916</v>
      </c>
      <c r="AD23" s="126">
        <f>INDEX('S6-Summary'!$B$17:$W$43,MATCH($B23,'S6-Summary'!$B$17:$B$43,0),MATCH('Summary Table'!AD$6,'S6-Summary'!$B$17:$W$17,0))</f>
        <v>0.16558823561576444</v>
      </c>
      <c r="AE23" s="128">
        <f>INDEX(CBI!$B$10:$H$35,MATCH($C23,CBI!$B$10:$B$35,0),MATCH(AE$6,CBI!$B$10:$H$10,0))</f>
        <v>16</v>
      </c>
      <c r="AF23" s="129" t="s">
        <v>128</v>
      </c>
    </row>
    <row r="24" spans="2:32" x14ac:dyDescent="0.35">
      <c r="B24" s="130">
        <v>20</v>
      </c>
      <c r="C24" s="131">
        <v>20</v>
      </c>
      <c r="D24" s="131" t="str">
        <f>INDEX('DER Concepts'!$B$6:$V$31,MATCH($C24,'DER Concepts'!$B$6:$B$31,0),MATCH(D$6,'DER Concepts'!$B$6:$V$6,0))</f>
        <v>Multi-Family Roof-top Solar Incentive</v>
      </c>
      <c r="E24" s="131" t="str">
        <f>INDEX('DER Concepts'!$B$6:$V$31,MATCH($C24,'DER Concepts'!$B$6:$B$31,0),MATCH(E$6,'DER Concepts'!$B$6:$V$6,0))</f>
        <v>Solar</v>
      </c>
      <c r="F24" s="131" t="str">
        <f>INDEX('DER Concepts'!$B$6:$V$31,MATCH($C24,'DER Concepts'!$B$6:$B$31,0),MATCH(F$6,'DER Concepts'!$B$6:$V$6,0))</f>
        <v>BTM</v>
      </c>
      <c r="G24" s="131" t="str">
        <f>INDEX('DER Concepts'!$B$6:$V$31,MATCH($C24,'DER Concepts'!$B$6:$B$31,0),MATCH(G$6,'DER Concepts'!$B$6:$V$6,0))</f>
        <v>Landlord or 3rd Party</v>
      </c>
      <c r="H24" s="131" t="str">
        <f>INDEX('DER Concepts'!$B$6:$V$31,MATCH($C24,'DER Concepts'!$B$6:$B$31,0),MATCH(H$6,'DER Concepts'!$B$6:$V$6,0))</f>
        <v>Yes</v>
      </c>
      <c r="I24" s="131" t="str">
        <f>INDEX('DER Concepts'!$B$6:$V$31,MATCH($C24,'DER Concepts'!$B$6:$B$31,0),MATCH(I$6,'DER Concepts'!$B$6:$V$6,0))</f>
        <v>PSE Program or PSE Rate</v>
      </c>
      <c r="J24" s="131" t="str">
        <f>INDEX('DER Concepts'!$B$6:$V$31,MATCH($C24,'DER Concepts'!$B$6:$B$31,0),MATCH(J$6,'DER Concepts'!$B$6:$V$6,0))</f>
        <v>New</v>
      </c>
      <c r="K24" s="131">
        <f>INDEX('DER Concepts'!$B$6:$V$31,MATCH($C24,'DER Concepts'!$B$6:$B$31,0),MATCH(K$6,'DER Concepts'!$B$6:$V$6,0))</f>
        <v>0.41499999999999998</v>
      </c>
      <c r="L24" s="131">
        <f>INDEX('DER Concepts'!$B$6:$V$31,MATCH($C24,'DER Concepts'!$B$6:$B$31,0),MATCH(L$6,'DER Concepts'!$B$6:$V$6,0))</f>
        <v>0.41499999999999998</v>
      </c>
      <c r="M24" s="131">
        <f>INDEX('DER Concepts'!$B$6:$V$31,MATCH($C24,'DER Concepts'!$B$6:$B$31,0),MATCH(M$6,'DER Concepts'!$B$6:$V$6,0))</f>
        <v>0.41499999999999998</v>
      </c>
      <c r="N24" s="131">
        <f>INDEX('DER Concepts'!$B$6:$V$31,MATCH($C24,'DER Concepts'!$B$6:$B$31,0),MATCH(N$6,'DER Concepts'!$B$6:$V$6,0))</f>
        <v>0.41499999999999998</v>
      </c>
      <c r="O24" s="131">
        <f>INDEX('DER Concepts'!$B$6:$V$31,MATCH($C24,'DER Concepts'!$B$6:$B$31,0),MATCH(O$6,'DER Concepts'!$B$6:$V$6,0))</f>
        <v>0.498</v>
      </c>
      <c r="P24" s="131">
        <f>INDEX('DER Concepts'!$B$6:$V$31,MATCH($C24,'DER Concepts'!$B$6:$B$31,0),MATCH(P$6,'DER Concepts'!$B$6:$V$6,0))</f>
        <v>0.498</v>
      </c>
      <c r="Q24" s="131">
        <f>INDEX('DER Concepts'!$B$6:$V$31,MATCH($C24,'DER Concepts'!$B$6:$B$31,0),MATCH(Q$6,'DER Concepts'!$B$6:$V$6,0))</f>
        <v>0.58099999999999996</v>
      </c>
      <c r="R24" s="131">
        <f>INDEX('DER Concepts'!$B$6:$V$31,MATCH($C24,'DER Concepts'!$B$6:$B$31,0),MATCH(R$6,'DER Concepts'!$B$6:$V$6,0))</f>
        <v>0.66400000000000003</v>
      </c>
      <c r="S24" s="131">
        <f>INDEX('DER Concepts'!$B$6:$V$31,MATCH($C24,'DER Concepts'!$B$6:$B$31,0),MATCH(S$6,'DER Concepts'!$B$6:$V$6,0))</f>
        <v>0.66400000000000003</v>
      </c>
      <c r="T24" s="126">
        <f>INDEX('Cost per Site'!$C$7:$N$33,MATCH($C24,'Cost per Site'!$C$7:$C$33,0),MATCH('Summary Table'!T$6,'Cost per Site'!$C$7:$N$7,0))</f>
        <v>83</v>
      </c>
      <c r="U24" s="126" t="str">
        <f>INDEX('Cost per Site'!$C$7:$N$33,MATCH($C24,'Cost per Site'!$C$7:$C$33,0),MATCH('Summary Table'!U$6,'Cost per Site'!$C$7:$N$7,0))</f>
        <v>-</v>
      </c>
      <c r="V24" s="126">
        <f>INDEX('Cost per Site'!$C$7:$N$33,MATCH($C24,'Cost per Site'!$C$7:$C$33,0),MATCH('Summary Table'!V$6,'Cost per Site'!$C$7:$N$7,0))</f>
        <v>30</v>
      </c>
      <c r="W24" s="135">
        <f>INDEX('Cost per Site'!$C$7:$N$33,MATCH($C24,'Cost per Site'!$C$7:$C$33,0),MATCH('Summary Table'!W$6,'Cost per Site'!$C$7:$N$7,0))</f>
        <v>0</v>
      </c>
      <c r="X24" s="135">
        <f>INDEX('Cost per Site'!$C$7:$N$33,MATCH($C24,'Cost per Site'!$C$7:$C$33,0),MATCH('Summary Table'!X$6,'Cost per Site'!$C$7:$N$7,0))</f>
        <v>0</v>
      </c>
      <c r="Y24" s="135">
        <f>INDEX('Cost per Site'!$C$7:$N$33,MATCH($C24,'Cost per Site'!$C$7:$C$33,0),MATCH('Summary Table'!Y$6,'Cost per Site'!$C$7:$N$7,0))</f>
        <v>172</v>
      </c>
      <c r="Z24" s="135">
        <f>INDEX('Cost per Site'!$C$7:$N$33,MATCH($C24,'Cost per Site'!$C$7:$C$33,0),MATCH('Summary Table'!Z$6,'Cost per Site'!$C$7:$N$7,0))</f>
        <v>4027</v>
      </c>
      <c r="AA24" s="135">
        <f>INDEX('Cost per Site'!$C$7:$N$33,MATCH($C24,'Cost per Site'!$C$7:$C$33,0),MATCH('Summary Table'!AA$6,'Cost per Site'!$C$7:$N$7,0))</f>
        <v>119</v>
      </c>
      <c r="AB24" s="126" t="str">
        <f>INDEX('Cost per Site'!$C$7:$N$33,MATCH($C24,'Cost per Site'!$C$7:$C$33,0),MATCH('Summary Table'!AB$6,'Cost per Site'!$C$7:$N$7,0))</f>
        <v>Customer</v>
      </c>
      <c r="AC24" s="126">
        <f>INDEX('S6-Summary'!$B$17:$W$43,MATCH($B24,'S6-Summary'!$B$17:$B$43,0),MATCH('Summary Table'!AC$6,'S6-Summary'!$B$17:$W$17,0))</f>
        <v>9.2076025756029747</v>
      </c>
      <c r="AD24" s="126">
        <f>INDEX('S6-Summary'!$B$17:$W$43,MATCH($B24,'S6-Summary'!$B$17:$B$43,0),MATCH('Summary Table'!AD$6,'S6-Summary'!$B$17:$W$17,0))</f>
        <v>0.1173427519052541</v>
      </c>
      <c r="AE24" s="132">
        <f>INDEX(CBI!$B$10:$H$35,MATCH($C24,CBI!$B$10:$B$35,0),MATCH(AE$6,CBI!$B$10:$H$10,0))</f>
        <v>16</v>
      </c>
      <c r="AF24" s="133" t="s">
        <v>128</v>
      </c>
    </row>
    <row r="25" spans="2:32" x14ac:dyDescent="0.35">
      <c r="B25" s="125" t="s">
        <v>86</v>
      </c>
      <c r="C25" s="126" t="s">
        <v>86</v>
      </c>
      <c r="D25" s="126" t="str">
        <f>INDEX('DER Concepts'!$B$6:$V$31,MATCH($C25,'DER Concepts'!$B$6:$B$31,0),MATCH(D$6,'DER Concepts'!$B$6:$V$6,0))</f>
        <v>PSE Customer-Sited Solar+Storage Offering (Solar)</v>
      </c>
      <c r="E25" s="126" t="str">
        <f>INDEX('DER Concepts'!$B$6:$V$31,MATCH($C25,'DER Concepts'!$B$6:$B$31,0),MATCH(E$6,'DER Concepts'!$B$6:$V$6,0))</f>
        <v>Solar</v>
      </c>
      <c r="F25" s="126" t="str">
        <f>INDEX('DER Concepts'!$B$6:$V$31,MATCH($C25,'DER Concepts'!$B$6:$B$31,0),MATCH(F$6,'DER Concepts'!$B$6:$V$6,0))</f>
        <v>BTM</v>
      </c>
      <c r="G25" s="126" t="str">
        <f>INDEX('DER Concepts'!$B$6:$V$31,MATCH($C25,'DER Concepts'!$B$6:$B$31,0),MATCH(G$6,'DER Concepts'!$B$6:$V$6,0))</f>
        <v>Customer(s)</v>
      </c>
      <c r="H25" s="126" t="str">
        <f>INDEX('DER Concepts'!$B$6:$V$31,MATCH($C25,'DER Concepts'!$B$6:$B$31,0),MATCH(H$6,'DER Concepts'!$B$6:$V$6,0))</f>
        <v>Yes</v>
      </c>
      <c r="I25" s="126" t="str">
        <f>INDEX('DER Concepts'!$B$6:$V$31,MATCH($C25,'DER Concepts'!$B$6:$B$31,0),MATCH(I$6,'DER Concepts'!$B$6:$V$6,0))</f>
        <v>PSE Program</v>
      </c>
      <c r="J25" s="126" t="str">
        <f>INDEX('DER Concepts'!$B$6:$V$31,MATCH($C25,'DER Concepts'!$B$6:$B$31,0),MATCH(J$6,'DER Concepts'!$B$6:$V$6,0))</f>
        <v>New</v>
      </c>
      <c r="K25" s="131">
        <f>INDEX('DER Concepts'!$B$6:$V$31,MATCH($C25,'DER Concepts'!$B$6:$B$31,0),MATCH(K$6,'DER Concepts'!$B$6:$V$6,0))</f>
        <v>2.8679999999999999</v>
      </c>
      <c r="L25" s="131">
        <f>INDEX('DER Concepts'!$B$6:$V$31,MATCH($C25,'DER Concepts'!$B$6:$B$31,0),MATCH(L$6,'DER Concepts'!$B$6:$V$6,0))</f>
        <v>3.456</v>
      </c>
      <c r="M25" s="131">
        <f>INDEX('DER Concepts'!$B$6:$V$31,MATCH($C25,'DER Concepts'!$B$6:$B$31,0),MATCH(M$6,'DER Concepts'!$B$6:$V$6,0))</f>
        <v>4.1159999999999997</v>
      </c>
      <c r="N25" s="131">
        <f>INDEX('DER Concepts'!$B$6:$V$31,MATCH($C25,'DER Concepts'!$B$6:$B$31,0),MATCH(N$6,'DER Concepts'!$B$6:$V$6,0))</f>
        <v>4.8419999999999996</v>
      </c>
      <c r="O25" s="131">
        <f>INDEX('DER Concepts'!$B$6:$V$31,MATCH($C25,'DER Concepts'!$B$6:$B$31,0),MATCH(O$6,'DER Concepts'!$B$6:$V$6,0))</f>
        <v>5.64</v>
      </c>
      <c r="P25" s="131">
        <f>INDEX('DER Concepts'!$B$6:$V$31,MATCH($C25,'DER Concepts'!$B$6:$B$31,0),MATCH(P$6,'DER Concepts'!$B$6:$V$6,0))</f>
        <v>6.5039999999999996</v>
      </c>
      <c r="Q25" s="131">
        <f>INDEX('DER Concepts'!$B$6:$V$31,MATCH($C25,'DER Concepts'!$B$6:$B$31,0),MATCH(Q$6,'DER Concepts'!$B$6:$V$6,0))</f>
        <v>7.4340000000000002</v>
      </c>
      <c r="R25" s="131">
        <f>INDEX('DER Concepts'!$B$6:$V$31,MATCH($C25,'DER Concepts'!$B$6:$B$31,0),MATCH(R$6,'DER Concepts'!$B$6:$V$6,0))</f>
        <v>8.4179999999999993</v>
      </c>
      <c r="S25" s="131">
        <f>INDEX('DER Concepts'!$B$6:$V$31,MATCH($C25,'DER Concepts'!$B$6:$B$31,0),MATCH(S$6,'DER Concepts'!$B$6:$V$6,0))</f>
        <v>9.4559999999999995</v>
      </c>
      <c r="T25" s="126" t="str">
        <f>INDEX('Cost per Site'!$C$7:$N$33,MATCH($C25,'Cost per Site'!$C$7:$C$33,0),MATCH('Summary Table'!T$6,'Cost per Site'!$C$7:$N$7,0))</f>
        <v>6 Solar</v>
      </c>
      <c r="U25" s="126">
        <f>INDEX('Cost per Site'!$C$7:$N$33,MATCH($C25,'Cost per Site'!$C$7:$C$33,0),MATCH('Summary Table'!U$6,'Cost per Site'!$C$7:$N$7,0))</f>
        <v>3</v>
      </c>
      <c r="V25" s="126">
        <f>INDEX('Cost per Site'!$C$7:$N$33,MATCH($C25,'Cost per Site'!$C$7:$C$33,0),MATCH('Summary Table'!V$6,'Cost per Site'!$C$7:$N$7,0))</f>
        <v>5</v>
      </c>
      <c r="W25" s="135">
        <f>INDEX('Cost per Site'!$C$7:$N$33,MATCH($C25,'Cost per Site'!$C$7:$C$33,0),MATCH('Summary Table'!W$6,'Cost per Site'!$C$7:$N$7,0))</f>
        <v>0</v>
      </c>
      <c r="X25" s="135">
        <f>INDEX('Cost per Site'!$C$7:$N$33,MATCH($C25,'Cost per Site'!$C$7:$C$33,0),MATCH('Summary Table'!X$6,'Cost per Site'!$C$7:$N$7,0))</f>
        <v>0</v>
      </c>
      <c r="Y25" s="135">
        <f>INDEX('Cost per Site'!$C$7:$N$33,MATCH($C25,'Cost per Site'!$C$7:$C$33,0),MATCH('Summary Table'!Y$6,'Cost per Site'!$C$7:$N$7,0))</f>
        <v>88</v>
      </c>
      <c r="Z25" s="135">
        <f>INDEX('Cost per Site'!$C$7:$N$33,MATCH($C25,'Cost per Site'!$C$7:$C$33,0),MATCH('Summary Table'!Z$6,'Cost per Site'!$C$7:$N$7,0))</f>
        <v>3394.5</v>
      </c>
      <c r="AA25" s="135">
        <f>INDEX('Cost per Site'!$C$7:$N$33,MATCH($C25,'Cost per Site'!$C$7:$C$33,0),MATCH('Summary Table'!AA$6,'Cost per Site'!$C$7:$N$7,0))</f>
        <v>40</v>
      </c>
      <c r="AB25" s="126" t="str">
        <f>INDEX('Cost per Site'!$C$7:$N$33,MATCH($C25,'Cost per Site'!$C$7:$C$33,0),MATCH('Summary Table'!AB$6,'Cost per Site'!$C$7:$N$7,0))</f>
        <v>Customer</v>
      </c>
      <c r="AC25" s="126">
        <f>INDEX('S6-Summary'!$B$17:$W$43,MATCH($B25,'S6-Summary'!$B$17:$B$43,0),MATCH('Summary Table'!AC$6,'S6-Summary'!$B$17:$W$17,0))</f>
        <v>6.4572802308164361</v>
      </c>
      <c r="AD25" s="126">
        <f>INDEX('S6-Summary'!$B$17:$W$43,MATCH($B25,'S6-Summary'!$B$17:$B$43,0),MATCH('Summary Table'!AD$6,'S6-Summary'!$B$17:$W$17,0))</f>
        <v>0.17516959361661694</v>
      </c>
      <c r="AE25" s="128">
        <f>INDEX(CBI!$B$10:$H$35,MATCH($C25,CBI!$B$10:$B$35,0),MATCH(AE$6,CBI!$B$10:$H$10,0))</f>
        <v>19</v>
      </c>
      <c r="AF25" s="129" t="s">
        <v>128</v>
      </c>
    </row>
    <row r="26" spans="2:32" x14ac:dyDescent="0.35">
      <c r="B26" s="130" t="s">
        <v>87</v>
      </c>
      <c r="C26" s="131" t="s">
        <v>87</v>
      </c>
      <c r="D26" s="131" t="str">
        <f>INDEX('DER Concepts'!$B$6:$V$31,MATCH($C26,'DER Concepts'!$B$6:$B$31,0),MATCH(D$6,'DER Concepts'!$B$6:$V$6,0))</f>
        <v>PSE Customer-Sited Solar+Storage Offering (Battery)</v>
      </c>
      <c r="E26" s="131" t="str">
        <f>INDEX('DER Concepts'!$B$6:$V$31,MATCH($C26,'DER Concepts'!$B$6:$B$31,0),MATCH(E$6,'DER Concepts'!$B$6:$V$6,0))</f>
        <v>Battery</v>
      </c>
      <c r="F26" s="131" t="str">
        <f>INDEX('DER Concepts'!$B$6:$V$31,MATCH($C26,'DER Concepts'!$B$6:$B$31,0),MATCH(F$6,'DER Concepts'!$B$6:$V$6,0))</f>
        <v>BTM</v>
      </c>
      <c r="G26" s="131" t="str">
        <f>INDEX('DER Concepts'!$B$6:$V$31,MATCH($C26,'DER Concepts'!$B$6:$B$31,0),MATCH(G$6,'DER Concepts'!$B$6:$V$6,0))</f>
        <v>Customer(s)</v>
      </c>
      <c r="H26" s="131" t="str">
        <f>INDEX('DER Concepts'!$B$6:$V$31,MATCH($C26,'DER Concepts'!$B$6:$B$31,0),MATCH(H$6,'DER Concepts'!$B$6:$V$6,0))</f>
        <v>Yes</v>
      </c>
      <c r="I26" s="131" t="str">
        <f>INDEX('DER Concepts'!$B$6:$V$31,MATCH($C26,'DER Concepts'!$B$6:$B$31,0),MATCH(I$6,'DER Concepts'!$B$6:$V$6,0))</f>
        <v>PSE Program</v>
      </c>
      <c r="J26" s="131" t="str">
        <f>INDEX('DER Concepts'!$B$6:$V$31,MATCH($C26,'DER Concepts'!$B$6:$B$31,0),MATCH(J$6,'DER Concepts'!$B$6:$V$6,0))</f>
        <v>New</v>
      </c>
      <c r="K26" s="131">
        <f>INDEX('DER Concepts'!$B$6:$V$31,MATCH($C26,'DER Concepts'!$B$6:$B$31,0),MATCH(K$6,'DER Concepts'!$B$6:$V$6,0))</f>
        <v>2.39</v>
      </c>
      <c r="L26" s="131">
        <f>INDEX('DER Concepts'!$B$6:$V$31,MATCH($C26,'DER Concepts'!$B$6:$B$31,0),MATCH(L$6,'DER Concepts'!$B$6:$V$6,0))</f>
        <v>2.88</v>
      </c>
      <c r="M26" s="131">
        <f>INDEX('DER Concepts'!$B$6:$V$31,MATCH($C26,'DER Concepts'!$B$6:$B$31,0),MATCH(M$6,'DER Concepts'!$B$6:$V$6,0))</f>
        <v>3.43</v>
      </c>
      <c r="N26" s="131">
        <f>INDEX('DER Concepts'!$B$6:$V$31,MATCH($C26,'DER Concepts'!$B$6:$B$31,0),MATCH(N$6,'DER Concepts'!$B$6:$V$6,0))</f>
        <v>4.0350000000000001</v>
      </c>
      <c r="O26" s="131">
        <f>INDEX('DER Concepts'!$B$6:$V$31,MATCH($C26,'DER Concepts'!$B$6:$B$31,0),MATCH(O$6,'DER Concepts'!$B$6:$V$6,0))</f>
        <v>4.7</v>
      </c>
      <c r="P26" s="131">
        <f>INDEX('DER Concepts'!$B$6:$V$31,MATCH($C26,'DER Concepts'!$B$6:$B$31,0),MATCH(P$6,'DER Concepts'!$B$6:$V$6,0))</f>
        <v>5.42</v>
      </c>
      <c r="Q26" s="131">
        <f>INDEX('DER Concepts'!$B$6:$V$31,MATCH($C26,'DER Concepts'!$B$6:$B$31,0),MATCH(Q$6,'DER Concepts'!$B$6:$V$6,0))</f>
        <v>6.1950000000000003</v>
      </c>
      <c r="R26" s="131">
        <f>INDEX('DER Concepts'!$B$6:$V$31,MATCH($C26,'DER Concepts'!$B$6:$B$31,0),MATCH(R$6,'DER Concepts'!$B$6:$V$6,0))</f>
        <v>7.0149999999999997</v>
      </c>
      <c r="S26" s="131">
        <f>INDEX('DER Concepts'!$B$6:$V$31,MATCH($C26,'DER Concepts'!$B$6:$B$31,0),MATCH(S$6,'DER Concepts'!$B$6:$V$6,0))</f>
        <v>7.88</v>
      </c>
      <c r="T26" s="126" t="str">
        <f>INDEX('Cost per Site'!$C$7:$N$33,MATCH($C26,'Cost per Site'!$C$7:$C$33,0),MATCH('Summary Table'!T$6,'Cost per Site'!$C$7:$N$7,0))</f>
        <v>6 Solar</v>
      </c>
      <c r="U26" s="126">
        <f>INDEX('Cost per Site'!$C$7:$N$33,MATCH($C26,'Cost per Site'!$C$7:$C$33,0),MATCH('Summary Table'!U$6,'Cost per Site'!$C$7:$N$7,0))</f>
        <v>3</v>
      </c>
      <c r="V26" s="126">
        <f>INDEX('Cost per Site'!$C$7:$N$33,MATCH($C26,'Cost per Site'!$C$7:$C$33,0),MATCH('Summary Table'!V$6,'Cost per Site'!$C$7:$N$7,0))</f>
        <v>5</v>
      </c>
      <c r="W26" s="135">
        <f>INDEX('Cost per Site'!$C$7:$N$33,MATCH($C26,'Cost per Site'!$C$7:$C$33,0),MATCH('Summary Table'!W$6,'Cost per Site'!$C$7:$N$7,0))</f>
        <v>0</v>
      </c>
      <c r="X26" s="135">
        <f>INDEX('Cost per Site'!$C$7:$N$33,MATCH($C26,'Cost per Site'!$C$7:$C$33,0),MATCH('Summary Table'!X$6,'Cost per Site'!$C$7:$N$7,0))</f>
        <v>0</v>
      </c>
      <c r="Y26" s="135">
        <f>INDEX('Cost per Site'!$C$7:$N$33,MATCH($C26,'Cost per Site'!$C$7:$C$33,0),MATCH('Summary Table'!Y$6,'Cost per Site'!$C$7:$N$7,0))</f>
        <v>88</v>
      </c>
      <c r="Z26" s="135">
        <f>INDEX('Cost per Site'!$C$7:$N$33,MATCH($C26,'Cost per Site'!$C$7:$C$33,0),MATCH('Summary Table'!Z$6,'Cost per Site'!$C$7:$N$7,0))</f>
        <v>3394.5</v>
      </c>
      <c r="AA26" s="135">
        <f>INDEX('Cost per Site'!$C$7:$N$33,MATCH($C26,'Cost per Site'!$C$7:$C$33,0),MATCH('Summary Table'!AA$6,'Cost per Site'!$C$7:$N$7,0))</f>
        <v>40</v>
      </c>
      <c r="AB26" s="126" t="str">
        <f>INDEX('Cost per Site'!$C$7:$N$33,MATCH($C26,'Cost per Site'!$C$7:$C$33,0),MATCH('Summary Table'!AB$6,'Cost per Site'!$C$7:$N$7,0))</f>
        <v>Customer</v>
      </c>
      <c r="AC26" s="126">
        <f>INDEX('S6-Summary'!$B$17:$W$43,MATCH($B26,'S6-Summary'!$B$17:$B$43,0),MATCH('Summary Table'!AC$6,'S6-Summary'!$B$17:$W$17,0))</f>
        <v>6.4572802308164361</v>
      </c>
      <c r="AD26" s="126">
        <f>INDEX('S6-Summary'!$B$17:$W$43,MATCH($B26,'S6-Summary'!$B$17:$B$43,0),MATCH('Summary Table'!AD$6,'S6-Summary'!$B$17:$W$17,0))</f>
        <v>0.17516959361661694</v>
      </c>
      <c r="AE26" s="132">
        <f>INDEX(CBI!$B$10:$H$35,MATCH($C26,CBI!$B$10:$B$35,0),MATCH(AE$6,CBI!$B$10:$H$10,0))</f>
        <v>19</v>
      </c>
      <c r="AF26" s="133" t="s">
        <v>128</v>
      </c>
    </row>
    <row r="27" spans="2:32" x14ac:dyDescent="0.35">
      <c r="B27" s="125">
        <v>22</v>
      </c>
      <c r="C27" s="126">
        <v>22</v>
      </c>
      <c r="D27" s="126" t="str">
        <f>INDEX('DER Concepts'!$B$6:$V$31,MATCH($C27,'DER Concepts'!$B$6:$B$31,0),MATCH(D$6,'DER Concepts'!$B$6:$V$6,0))</f>
        <v>Residential Roof-top Solar Leasing</v>
      </c>
      <c r="E27" s="126" t="str">
        <f>INDEX('DER Concepts'!$B$6:$V$31,MATCH($C27,'DER Concepts'!$B$6:$B$31,0),MATCH(E$6,'DER Concepts'!$B$6:$V$6,0))</f>
        <v>Solar</v>
      </c>
      <c r="F27" s="126" t="str">
        <f>INDEX('DER Concepts'!$B$6:$V$31,MATCH($C27,'DER Concepts'!$B$6:$B$31,0),MATCH(F$6,'DER Concepts'!$B$6:$V$6,0))</f>
        <v>FOTM</v>
      </c>
      <c r="G27" s="126" t="str">
        <f>INDEX('DER Concepts'!$B$6:$V$31,MATCH($C27,'DER Concepts'!$B$6:$B$31,0),MATCH(G$6,'DER Concepts'!$B$6:$V$6,0))</f>
        <v>PSE or PPA</v>
      </c>
      <c r="H27" s="126" t="str">
        <f>INDEX('DER Concepts'!$B$6:$V$31,MATCH($C27,'DER Concepts'!$B$6:$B$31,0),MATCH(H$6,'DER Concepts'!$B$6:$V$6,0))</f>
        <v>Yes</v>
      </c>
      <c r="I27" s="126" t="str">
        <f>INDEX('DER Concepts'!$B$6:$V$31,MATCH($C27,'DER Concepts'!$B$6:$B$31,0),MATCH(I$6,'DER Concepts'!$B$6:$V$6,0))</f>
        <v>PSE Program</v>
      </c>
      <c r="J27" s="126" t="str">
        <f>INDEX('DER Concepts'!$B$6:$V$31,MATCH($C27,'DER Concepts'!$B$6:$B$31,0),MATCH(J$6,'DER Concepts'!$B$6:$V$6,0))</f>
        <v>New</v>
      </c>
      <c r="K27" s="131">
        <f>INDEX('DER Concepts'!$B$6:$V$31,MATCH($C27,'DER Concepts'!$B$6:$B$31,0),MATCH(K$6,'DER Concepts'!$B$6:$V$6,0))</f>
        <v>0.64800000000000002</v>
      </c>
      <c r="L27" s="131">
        <f>INDEX('DER Concepts'!$B$6:$V$31,MATCH($C27,'DER Concepts'!$B$6:$B$31,0),MATCH(L$6,'DER Concepts'!$B$6:$V$6,0))</f>
        <v>0.97799999999999998</v>
      </c>
      <c r="M27" s="131">
        <f>INDEX('DER Concepts'!$B$6:$V$31,MATCH($C27,'DER Concepts'!$B$6:$B$31,0),MATCH(M$6,'DER Concepts'!$B$6:$V$6,0))</f>
        <v>1.38</v>
      </c>
      <c r="N27" s="131">
        <f>INDEX('DER Concepts'!$B$6:$V$31,MATCH($C27,'DER Concepts'!$B$6:$B$31,0),MATCH(N$6,'DER Concepts'!$B$6:$V$6,0))</f>
        <v>1.788</v>
      </c>
      <c r="O27" s="131">
        <f>INDEX('DER Concepts'!$B$6:$V$31,MATCH($C27,'DER Concepts'!$B$6:$B$31,0),MATCH(O$6,'DER Concepts'!$B$6:$V$6,0))</f>
        <v>2.4660000000000002</v>
      </c>
      <c r="P27" s="131">
        <f>INDEX('DER Concepts'!$B$6:$V$31,MATCH($C27,'DER Concepts'!$B$6:$B$31,0),MATCH(P$6,'DER Concepts'!$B$6:$V$6,0))</f>
        <v>3.2759999999999998</v>
      </c>
      <c r="Q27" s="131">
        <f>INDEX('DER Concepts'!$B$6:$V$31,MATCH($C27,'DER Concepts'!$B$6:$B$31,0),MATCH(Q$6,'DER Concepts'!$B$6:$V$6,0))</f>
        <v>4.1820000000000004</v>
      </c>
      <c r="R27" s="131">
        <f>INDEX('DER Concepts'!$B$6:$V$31,MATCH($C27,'DER Concepts'!$B$6:$B$31,0),MATCH(R$6,'DER Concepts'!$B$6:$V$6,0))</f>
        <v>5.2859999999999996</v>
      </c>
      <c r="S27" s="131">
        <f>INDEX('DER Concepts'!$B$6:$V$31,MATCH($C27,'DER Concepts'!$B$6:$B$31,0),MATCH(S$6,'DER Concepts'!$B$6:$V$6,0))</f>
        <v>6.6779999999999999</v>
      </c>
      <c r="T27" s="126">
        <f>INDEX('Cost per Site'!$C$7:$N$33,MATCH($C27,'Cost per Site'!$C$7:$C$33,0),MATCH('Summary Table'!T$6,'Cost per Site'!$C$7:$N$7,0))</f>
        <v>6</v>
      </c>
      <c r="U27" s="126" t="str">
        <f>INDEX('Cost per Site'!$C$7:$N$33,MATCH($C27,'Cost per Site'!$C$7:$C$33,0),MATCH('Summary Table'!U$6,'Cost per Site'!$C$7:$N$7,0))</f>
        <v>-</v>
      </c>
      <c r="V27" s="126">
        <f>INDEX('Cost per Site'!$C$7:$N$33,MATCH($C27,'Cost per Site'!$C$7:$C$33,0),MATCH('Summary Table'!V$6,'Cost per Site'!$C$7:$N$7,0))</f>
        <v>30</v>
      </c>
      <c r="W27" s="135">
        <f>INDEX('Cost per Site'!$C$7:$N$33,MATCH($C27,'Cost per Site'!$C$7:$C$33,0),MATCH('Summary Table'!W$6,'Cost per Site'!$C$7:$N$7,0))</f>
        <v>3547</v>
      </c>
      <c r="X27" s="135">
        <f>INDEX('Cost per Site'!$C$7:$N$33,MATCH($C27,'Cost per Site'!$C$7:$C$33,0),MATCH('Summary Table'!X$6,'Cost per Site'!$C$7:$N$7,0))</f>
        <v>163</v>
      </c>
      <c r="Y27" s="135">
        <f>INDEX('Cost per Site'!$C$7:$N$33,MATCH($C27,'Cost per Site'!$C$7:$C$33,0),MATCH('Summary Table'!Y$6,'Cost per Site'!$C$7:$N$7,0))</f>
        <v>46</v>
      </c>
      <c r="Z27" s="135">
        <f>INDEX('Cost per Site'!$C$7:$N$33,MATCH($C27,'Cost per Site'!$C$7:$C$33,0),MATCH('Summary Table'!Z$6,'Cost per Site'!$C$7:$N$7,0))</f>
        <v>0</v>
      </c>
      <c r="AA27" s="135">
        <f>INDEX('Cost per Site'!$C$7:$N$33,MATCH($C27,'Cost per Site'!$C$7:$C$33,0),MATCH('Summary Table'!AA$6,'Cost per Site'!$C$7:$N$7,0))</f>
        <v>0</v>
      </c>
      <c r="AB27" s="126" t="str">
        <f>INDEX('Cost per Site'!$C$7:$N$33,MATCH($C27,'Cost per Site'!$C$7:$C$33,0),MATCH('Summary Table'!AB$6,'Cost per Site'!$C$7:$N$7,0))</f>
        <v>-</v>
      </c>
      <c r="AC27" s="126">
        <f>INDEX('S6-Summary'!$B$17:$W$43,MATCH($B27,'S6-Summary'!$B$17:$B$43,0),MATCH('Summary Table'!AC$6,'S6-Summary'!$B$17:$W$17,0))</f>
        <v>18.415985147405596</v>
      </c>
      <c r="AD27" s="126">
        <f>INDEX('S6-Summary'!$B$17:$W$43,MATCH($B27,'S6-Summary'!$B$17:$B$43,0),MATCH('Summary Table'!AD$6,'S6-Summary'!$B$17:$W$17,0))</f>
        <v>0.21121505752351757</v>
      </c>
      <c r="AE27" s="128">
        <f>INDEX(CBI!$B$10:$H$35,MATCH($C27,CBI!$B$10:$B$35,0),MATCH(AE$6,CBI!$B$10:$H$10,0))</f>
        <v>16</v>
      </c>
      <c r="AF27" s="129" t="s">
        <v>128</v>
      </c>
    </row>
    <row r="28" spans="2:32" x14ac:dyDescent="0.35">
      <c r="B28" s="130">
        <v>23</v>
      </c>
      <c r="C28" s="131">
        <v>23</v>
      </c>
      <c r="D28" s="131" t="str">
        <f>INDEX('DER Concepts'!$B$6:$V$31,MATCH($C28,'DER Concepts'!$B$6:$B$31,0),MATCH(D$6,'DER Concepts'!$B$6:$V$6,0))</f>
        <v>Residential Roof-top Solar Leasing - Low Income</v>
      </c>
      <c r="E28" s="131" t="str">
        <f>INDEX('DER Concepts'!$B$6:$V$31,MATCH($C28,'DER Concepts'!$B$6:$B$31,0),MATCH(E$6,'DER Concepts'!$B$6:$V$6,0))</f>
        <v>Solar</v>
      </c>
      <c r="F28" s="131" t="str">
        <f>INDEX('DER Concepts'!$B$6:$V$31,MATCH($C28,'DER Concepts'!$B$6:$B$31,0),MATCH(F$6,'DER Concepts'!$B$6:$V$6,0))</f>
        <v>FOTM</v>
      </c>
      <c r="G28" s="131" t="str">
        <f>INDEX('DER Concepts'!$B$6:$V$31,MATCH($C28,'DER Concepts'!$B$6:$B$31,0),MATCH(G$6,'DER Concepts'!$B$6:$V$6,0))</f>
        <v>PSE or PPA</v>
      </c>
      <c r="H28" s="131" t="str">
        <f>INDEX('DER Concepts'!$B$6:$V$31,MATCH($C28,'DER Concepts'!$B$6:$B$31,0),MATCH(H$6,'DER Concepts'!$B$6:$V$6,0))</f>
        <v>Yes</v>
      </c>
      <c r="I28" s="131" t="str">
        <f>INDEX('DER Concepts'!$B$6:$V$31,MATCH($C28,'DER Concepts'!$B$6:$B$31,0),MATCH(I$6,'DER Concepts'!$B$6:$V$6,0))</f>
        <v>PSE Program</v>
      </c>
      <c r="J28" s="131" t="str">
        <f>INDEX('DER Concepts'!$B$6:$V$31,MATCH($C28,'DER Concepts'!$B$6:$B$31,0),MATCH(J$6,'DER Concepts'!$B$6:$V$6,0))</f>
        <v>New</v>
      </c>
      <c r="K28" s="131">
        <f>INDEX('DER Concepts'!$B$6:$V$31,MATCH($C28,'DER Concepts'!$B$6:$B$31,0),MATCH(K$6,'DER Concepts'!$B$6:$V$6,0))</f>
        <v>0.09</v>
      </c>
      <c r="L28" s="131">
        <f>INDEX('DER Concepts'!$B$6:$V$31,MATCH($C28,'DER Concepts'!$B$6:$B$31,0),MATCH(L$6,'DER Concepts'!$B$6:$V$6,0))</f>
        <v>0.13800000000000001</v>
      </c>
      <c r="M28" s="131">
        <f>INDEX('DER Concepts'!$B$6:$V$31,MATCH($C28,'DER Concepts'!$B$6:$B$31,0),MATCH(M$6,'DER Concepts'!$B$6:$V$6,0))</f>
        <v>0.19800000000000001</v>
      </c>
      <c r="N28" s="131">
        <f>INDEX('DER Concepts'!$B$6:$V$31,MATCH($C28,'DER Concepts'!$B$6:$B$31,0),MATCH(N$6,'DER Concepts'!$B$6:$V$6,0))</f>
        <v>0.252</v>
      </c>
      <c r="O28" s="131">
        <f>INDEX('DER Concepts'!$B$6:$V$31,MATCH($C28,'DER Concepts'!$B$6:$B$31,0),MATCH(O$6,'DER Concepts'!$B$6:$V$6,0))</f>
        <v>0.34799999999999998</v>
      </c>
      <c r="P28" s="131">
        <f>INDEX('DER Concepts'!$B$6:$V$31,MATCH($C28,'DER Concepts'!$B$6:$B$31,0),MATCH(P$6,'DER Concepts'!$B$6:$V$6,0))</f>
        <v>0.46200000000000002</v>
      </c>
      <c r="Q28" s="131">
        <f>INDEX('DER Concepts'!$B$6:$V$31,MATCH($C28,'DER Concepts'!$B$6:$B$31,0),MATCH(Q$6,'DER Concepts'!$B$6:$V$6,0))</f>
        <v>0.59399999999999997</v>
      </c>
      <c r="R28" s="131">
        <f>INDEX('DER Concepts'!$B$6:$V$31,MATCH($C28,'DER Concepts'!$B$6:$B$31,0),MATCH(R$6,'DER Concepts'!$B$6:$V$6,0))</f>
        <v>0.75</v>
      </c>
      <c r="S28" s="131">
        <f>INDEX('DER Concepts'!$B$6:$V$31,MATCH($C28,'DER Concepts'!$B$6:$B$31,0),MATCH(S$6,'DER Concepts'!$B$6:$V$6,0))</f>
        <v>0.94799999999999995</v>
      </c>
      <c r="T28" s="126">
        <f>INDEX('Cost per Site'!$C$7:$N$33,MATCH($C28,'Cost per Site'!$C$7:$C$33,0),MATCH('Summary Table'!T$6,'Cost per Site'!$C$7:$N$7,0))</f>
        <v>6</v>
      </c>
      <c r="U28" s="126" t="str">
        <f>INDEX('Cost per Site'!$C$7:$N$33,MATCH($C28,'Cost per Site'!$C$7:$C$33,0),MATCH('Summary Table'!U$6,'Cost per Site'!$C$7:$N$7,0))</f>
        <v>-</v>
      </c>
      <c r="V28" s="126">
        <f>INDEX('Cost per Site'!$C$7:$N$33,MATCH($C28,'Cost per Site'!$C$7:$C$33,0),MATCH('Summary Table'!V$6,'Cost per Site'!$C$7:$N$7,0))</f>
        <v>30</v>
      </c>
      <c r="W28" s="135">
        <f>INDEX('Cost per Site'!$C$7:$N$33,MATCH($C28,'Cost per Site'!$C$7:$C$33,0),MATCH('Summary Table'!W$6,'Cost per Site'!$C$7:$N$7,0))</f>
        <v>4439</v>
      </c>
      <c r="X28" s="135">
        <f>INDEX('Cost per Site'!$C$7:$N$33,MATCH($C28,'Cost per Site'!$C$7:$C$33,0),MATCH('Summary Table'!X$6,'Cost per Site'!$C$7:$N$7,0))</f>
        <v>204</v>
      </c>
      <c r="Y28" s="135">
        <f>INDEX('Cost per Site'!$C$7:$N$33,MATCH($C28,'Cost per Site'!$C$7:$C$33,0),MATCH('Summary Table'!Y$6,'Cost per Site'!$C$7:$N$7,0))</f>
        <v>46</v>
      </c>
      <c r="Z28" s="135">
        <f>INDEX('Cost per Site'!$C$7:$N$33,MATCH($C28,'Cost per Site'!$C$7:$C$33,0),MATCH('Summary Table'!Z$6,'Cost per Site'!$C$7:$N$7,0))</f>
        <v>0</v>
      </c>
      <c r="AA28" s="135">
        <f>INDEX('Cost per Site'!$C$7:$N$33,MATCH($C28,'Cost per Site'!$C$7:$C$33,0),MATCH('Summary Table'!AA$6,'Cost per Site'!$C$7:$N$7,0))</f>
        <v>0</v>
      </c>
      <c r="AB28" s="126" t="str">
        <f>INDEX('Cost per Site'!$C$7:$N$33,MATCH($C28,'Cost per Site'!$C$7:$C$33,0),MATCH('Summary Table'!AB$6,'Cost per Site'!$C$7:$N$7,0))</f>
        <v>-</v>
      </c>
      <c r="AC28" s="126">
        <f>INDEX('S6-Summary'!$B$17:$W$43,MATCH($B28,'S6-Summary'!$B$17:$B$43,0),MATCH('Summary Table'!AC$6,'S6-Summary'!$B$17:$W$17,0))</f>
        <v>22.472664936145215</v>
      </c>
      <c r="AD28" s="126">
        <f>INDEX('S6-Summary'!$B$17:$W$43,MATCH($B28,'S6-Summary'!$B$17:$B$43,0),MATCH('Summary Table'!AD$6,'S6-Summary'!$B$17:$W$17,0))</f>
        <v>0.17595976874201763</v>
      </c>
      <c r="AE28" s="132">
        <f>INDEX(CBI!$B$10:$H$35,MATCH($C28,CBI!$B$10:$B$35,0),MATCH(AE$6,CBI!$B$10:$H$10,0))</f>
        <v>17</v>
      </c>
      <c r="AF28" s="133" t="s">
        <v>128</v>
      </c>
    </row>
    <row r="29" spans="2:32" x14ac:dyDescent="0.35">
      <c r="B29" s="125">
        <v>24</v>
      </c>
      <c r="C29" s="126">
        <v>24</v>
      </c>
      <c r="D29" s="126" t="str">
        <f>INDEX('DER Concepts'!$B$6:$V$31,MATCH($C29,'DER Concepts'!$B$6:$B$31,0),MATCH(D$6,'DER Concepts'!$B$6:$V$6,0))</f>
        <v>C&amp;I Battery BYO</v>
      </c>
      <c r="E29" s="126" t="str">
        <f>INDEX('DER Concepts'!$B$6:$V$31,MATCH($C29,'DER Concepts'!$B$6:$B$31,0),MATCH(E$6,'DER Concepts'!$B$6:$V$6,0))</f>
        <v>Battery</v>
      </c>
      <c r="F29" s="126" t="str">
        <f>INDEX('DER Concepts'!$B$6:$V$31,MATCH($C29,'DER Concepts'!$B$6:$B$31,0),MATCH(F$6,'DER Concepts'!$B$6:$V$6,0))</f>
        <v>BTM</v>
      </c>
      <c r="G29" s="126" t="str">
        <f>INDEX('DER Concepts'!$B$6:$V$31,MATCH($C29,'DER Concepts'!$B$6:$B$31,0),MATCH(G$6,'DER Concepts'!$B$6:$V$6,0))</f>
        <v>Customer(s)</v>
      </c>
      <c r="H29" s="126" t="str">
        <f>INDEX('DER Concepts'!$B$6:$V$31,MATCH($C29,'DER Concepts'!$B$6:$B$31,0),MATCH(H$6,'DER Concepts'!$B$6:$V$6,0))</f>
        <v>Yes</v>
      </c>
      <c r="I29" s="126" t="str">
        <f>INDEX('DER Concepts'!$B$6:$V$31,MATCH($C29,'DER Concepts'!$B$6:$B$31,0),MATCH(I$6,'DER Concepts'!$B$6:$V$6,0))</f>
        <v>PSE Incentive</v>
      </c>
      <c r="J29" s="126" t="str">
        <f>INDEX('DER Concepts'!$B$6:$V$31,MATCH($C29,'DER Concepts'!$B$6:$B$31,0),MATCH(J$6,'DER Concepts'!$B$6:$V$6,0))</f>
        <v>New</v>
      </c>
      <c r="K29" s="131">
        <f>INDEX('DER Concepts'!$B$6:$V$31,MATCH($C29,'DER Concepts'!$B$6:$B$31,0),MATCH(K$6,'DER Concepts'!$B$6:$V$6,0))</f>
        <v>0.2</v>
      </c>
      <c r="L29" s="131">
        <f>INDEX('DER Concepts'!$B$6:$V$31,MATCH($C29,'DER Concepts'!$B$6:$B$31,0),MATCH(L$6,'DER Concepts'!$B$6:$V$6,0))</f>
        <v>0.4</v>
      </c>
      <c r="M29" s="131">
        <f>INDEX('DER Concepts'!$B$6:$V$31,MATCH($C29,'DER Concepts'!$B$6:$B$31,0),MATCH(M$6,'DER Concepts'!$B$6:$V$6,0))</f>
        <v>0.4</v>
      </c>
      <c r="N29" s="131">
        <f>INDEX('DER Concepts'!$B$6:$V$31,MATCH($C29,'DER Concepts'!$B$6:$B$31,0),MATCH(N$6,'DER Concepts'!$B$6:$V$6,0))</f>
        <v>0.6</v>
      </c>
      <c r="O29" s="131">
        <f>INDEX('DER Concepts'!$B$6:$V$31,MATCH($C29,'DER Concepts'!$B$6:$B$31,0),MATCH(O$6,'DER Concepts'!$B$6:$V$6,0))</f>
        <v>0.8</v>
      </c>
      <c r="P29" s="131">
        <f>INDEX('DER Concepts'!$B$6:$V$31,MATCH($C29,'DER Concepts'!$B$6:$B$31,0),MATCH(P$6,'DER Concepts'!$B$6:$V$6,0))</f>
        <v>1</v>
      </c>
      <c r="Q29" s="131">
        <f>INDEX('DER Concepts'!$B$6:$V$31,MATCH($C29,'DER Concepts'!$B$6:$B$31,0),MATCH(Q$6,'DER Concepts'!$B$6:$V$6,0))</f>
        <v>1.2</v>
      </c>
      <c r="R29" s="131">
        <f>INDEX('DER Concepts'!$B$6:$V$31,MATCH($C29,'DER Concepts'!$B$6:$B$31,0),MATCH(R$6,'DER Concepts'!$B$6:$V$6,0))</f>
        <v>1.4</v>
      </c>
      <c r="S29" s="131">
        <f>INDEX('DER Concepts'!$B$6:$V$31,MATCH($C29,'DER Concepts'!$B$6:$B$31,0),MATCH(S$6,'DER Concepts'!$B$6:$V$6,0))</f>
        <v>1.8</v>
      </c>
      <c r="T29" s="126">
        <f>INDEX('Cost per Site'!$C$7:$N$33,MATCH($C29,'Cost per Site'!$C$7:$C$33,0),MATCH('Summary Table'!T$6,'Cost per Site'!$C$7:$N$7,0))</f>
        <v>200</v>
      </c>
      <c r="U29" s="126">
        <f>INDEX('Cost per Site'!$C$7:$N$33,MATCH($C29,'Cost per Site'!$C$7:$C$33,0),MATCH('Summary Table'!U$6,'Cost per Site'!$C$7:$N$7,0))</f>
        <v>2</v>
      </c>
      <c r="V29" s="126">
        <f>INDEX('Cost per Site'!$C$7:$N$33,MATCH($C29,'Cost per Site'!$C$7:$C$33,0),MATCH('Summary Table'!V$6,'Cost per Site'!$C$7:$N$7,0))</f>
        <v>10</v>
      </c>
      <c r="W29" s="135">
        <f>INDEX('Cost per Site'!$C$7:$N$33,MATCH($C29,'Cost per Site'!$C$7:$C$33,0),MATCH('Summary Table'!W$6,'Cost per Site'!$C$7:$N$7,0))</f>
        <v>0</v>
      </c>
      <c r="X29" s="135">
        <f>INDEX('Cost per Site'!$C$7:$N$33,MATCH($C29,'Cost per Site'!$C$7:$C$33,0),MATCH('Summary Table'!X$6,'Cost per Site'!$C$7:$N$7,0))</f>
        <v>0</v>
      </c>
      <c r="Y29" s="135">
        <f>INDEX('Cost per Site'!$C$7:$N$33,MATCH($C29,'Cost per Site'!$C$7:$C$33,0),MATCH('Summary Table'!Y$6,'Cost per Site'!$C$7:$N$7,0))</f>
        <v>7</v>
      </c>
      <c r="Z29" s="135">
        <f>INDEX('Cost per Site'!$C$7:$N$33,MATCH($C29,'Cost per Site'!$C$7:$C$33,0),MATCH('Summary Table'!Z$6,'Cost per Site'!$C$7:$N$7,0))</f>
        <v>3072</v>
      </c>
      <c r="AA29" s="135">
        <f>INDEX('Cost per Site'!$C$7:$N$33,MATCH($C29,'Cost per Site'!$C$7:$C$33,0),MATCH('Summary Table'!AA$6,'Cost per Site'!$C$7:$N$7,0))</f>
        <v>23</v>
      </c>
      <c r="AB29" s="126" t="str">
        <f>INDEX('Cost per Site'!$C$7:$N$33,MATCH($C29,'Cost per Site'!$C$7:$C$33,0),MATCH('Summary Table'!AB$6,'Cost per Site'!$C$7:$N$7,0))</f>
        <v>Customer</v>
      </c>
      <c r="AC29" s="126">
        <f>INDEX('S6-Summary'!$B$17:$W$43,MATCH($B29,'S6-Summary'!$B$17:$B$43,0),MATCH('Summary Table'!AC$6,'S6-Summary'!$B$17:$W$17,0))</f>
        <v>-0.52515932611883698</v>
      </c>
      <c r="AD29" s="126">
        <f>INDEX('S6-Summary'!$B$17:$W$43,MATCH($B29,'S6-Summary'!$B$17:$B$43,0),MATCH('Summary Table'!AD$6,'S6-Summary'!$B$17:$W$17,0))</f>
        <v>0.25758908336664499</v>
      </c>
      <c r="AE29" s="128">
        <f>INDEX(CBI!$B$10:$H$35,MATCH($C29,CBI!$B$10:$B$35,0),MATCH(AE$6,CBI!$B$10:$H$10,0))</f>
        <v>13</v>
      </c>
      <c r="AF29" s="129" t="s">
        <v>256</v>
      </c>
    </row>
    <row r="30" spans="2:32" x14ac:dyDescent="0.35">
      <c r="B30" s="147">
        <v>25</v>
      </c>
      <c r="C30" s="134">
        <v>14</v>
      </c>
      <c r="D30" s="134" t="s">
        <v>258</v>
      </c>
      <c r="E30" s="134" t="s">
        <v>0</v>
      </c>
      <c r="F30" s="134" t="s">
        <v>26</v>
      </c>
      <c r="G30" s="134" t="s">
        <v>39</v>
      </c>
      <c r="H30" s="134" t="s">
        <v>20</v>
      </c>
      <c r="I30" s="134" t="s">
        <v>36</v>
      </c>
      <c r="J30" s="134" t="s">
        <v>43</v>
      </c>
      <c r="K30" s="134">
        <f>INDEX('DER Concepts'!$B$6:$V$31,MATCH($C30,'DER Concepts'!$B$6:$B$31,0),MATCH(K$6,'DER Concepts'!$B$6:$V$6,0))</f>
        <v>19</v>
      </c>
      <c r="L30" s="134">
        <f>INDEX('DER Concepts'!$B$6:$V$31,MATCH($C30,'DER Concepts'!$B$6:$B$31,0),MATCH(L$6,'DER Concepts'!$B$6:$V$6,0))</f>
        <v>19</v>
      </c>
      <c r="M30" s="134">
        <f>INDEX('DER Concepts'!$B$6:$V$31,MATCH($C30,'DER Concepts'!$B$6:$B$31,0),MATCH(M$6,'DER Concepts'!$B$6:$V$6,0))</f>
        <v>19</v>
      </c>
      <c r="N30" s="134">
        <f>INDEX('DER Concepts'!$B$6:$V$31,MATCH($C30,'DER Concepts'!$B$6:$B$31,0),MATCH(N$6,'DER Concepts'!$B$6:$V$6,0))</f>
        <v>19</v>
      </c>
      <c r="O30" s="134">
        <f>INDEX('DER Concepts'!$B$6:$V$31,MATCH($C30,'DER Concepts'!$B$6:$B$31,0),MATCH(O$6,'DER Concepts'!$B$6:$V$6,0))</f>
        <v>19</v>
      </c>
      <c r="P30" s="134">
        <f>INDEX('DER Concepts'!$B$6:$V$31,MATCH($C30,'DER Concepts'!$B$6:$B$31,0),MATCH(P$6,'DER Concepts'!$B$6:$V$6,0))</f>
        <v>22.8</v>
      </c>
      <c r="Q30" s="134">
        <f>INDEX('DER Concepts'!$B$6:$V$31,MATCH($C30,'DER Concepts'!$B$6:$B$31,0),MATCH(Q$6,'DER Concepts'!$B$6:$V$6,0))</f>
        <v>22.8</v>
      </c>
      <c r="R30" s="134">
        <f>INDEX('DER Concepts'!$B$6:$V$31,MATCH($C30,'DER Concepts'!$B$6:$B$31,0),MATCH(R$6,'DER Concepts'!$B$6:$V$6,0))</f>
        <v>22.8</v>
      </c>
      <c r="S30" s="134">
        <f>INDEX('DER Concepts'!$B$6:$V$31,MATCH($C30,'DER Concepts'!$B$6:$B$31,0),MATCH(S$6,'DER Concepts'!$B$6:$V$6,0))</f>
        <v>22.8</v>
      </c>
      <c r="T30" s="148">
        <f>INDEX('Cost per Site'!$C$7:$N$33,MATCH($C30,'Cost per Site'!$C$7:$C$33,0),MATCH('Summary Table'!T$6,'Cost per Site'!$C$7:$N$7,0))</f>
        <v>3850</v>
      </c>
      <c r="U30" s="148" t="str">
        <f>INDEX('Cost per Site'!$C$7:$N$33,MATCH($C30,'Cost per Site'!$C$7:$C$33,0),MATCH('Summary Table'!U$6,'Cost per Site'!$C$7:$N$7,0))</f>
        <v>-</v>
      </c>
      <c r="V30" s="148">
        <f>INDEX('Cost per Site'!$C$7:$N$33,MATCH($C30,'Cost per Site'!$C$7:$C$33,0),MATCH('Summary Table'!V$6,'Cost per Site'!$C$7:$N$7,0))</f>
        <v>15</v>
      </c>
      <c r="W30" s="149">
        <f>INDEX('Cost per Site'!$C$7:$N$33,MATCH($C30,'Cost per Site'!$C$7:$C$33,0),MATCH('Summary Table'!W$6,'Cost per Site'!$C$7:$N$7,0))</f>
        <v>1408</v>
      </c>
      <c r="X30" s="149">
        <f>INDEX('Cost per Site'!$C$7:$N$33,MATCH($C30,'Cost per Site'!$C$7:$C$33,0),MATCH('Summary Table'!X$6,'Cost per Site'!$C$7:$N$7,0))</f>
        <v>21</v>
      </c>
      <c r="Y30" s="149">
        <f>INDEX('Cost per Site'!$C$7:$N$33,MATCH($C30,'Cost per Site'!$C$7:$C$33,0),MATCH('Summary Table'!Y$6,'Cost per Site'!$C$7:$N$7,0))</f>
        <v>20</v>
      </c>
      <c r="Z30" s="149">
        <f>INDEX('Cost per Site'!$C$7:$N$33,MATCH($C30,'Cost per Site'!$C$7:$C$33,0),MATCH('Summary Table'!Z$6,'Cost per Site'!$C$7:$N$7,0))</f>
        <v>0</v>
      </c>
      <c r="AA30" s="149" t="str">
        <f>INDEX('Cost per Site'!$C$7:$N$33,MATCH($C30,'Cost per Site'!$C$7:$C$33,0),MATCH('Summary Table'!AA$6,'Cost per Site'!$C$7:$N$7,0))</f>
        <v>$164 /
$31</v>
      </c>
      <c r="AB30" s="148" t="str">
        <f>INDEX('Cost per Site'!$C$7:$N$33,MATCH($C30,'Cost per Site'!$C$7:$C$33,0),MATCH('Summary Table'!AB$6,'Cost per Site'!$C$7:$N$7,0))</f>
        <v>Customer</v>
      </c>
      <c r="AC30" s="148">
        <f>INDEX('S6-Summary'!$B$17:$W$43,MATCH($B30,'S6-Summary'!$B$17:$B$43,0),MATCH('Summary Table'!AC$6,'S6-Summary'!$B$17:$W$17,0))</f>
        <v>3.08</v>
      </c>
      <c r="AD30" s="148">
        <f>INDEX('S6-Summary'!$B$17:$W$43,MATCH($B30,'S6-Summary'!$B$17:$B$43,0),MATCH('Summary Table'!AD$6,'S6-Summary'!$B$17:$W$17,0))</f>
        <v>0.49127613822504879</v>
      </c>
      <c r="AE30" s="150">
        <f>INDEX(CBI!$B$10:$H$35,MATCH($C30,CBI!$B$10:$B$35,0),MATCH(AE$6,CBI!$B$10:$H$10,0))</f>
        <v>14</v>
      </c>
      <c r="AF30" s="151" t="s">
        <v>256</v>
      </c>
    </row>
    <row r="31" spans="2:32" x14ac:dyDescent="0.35">
      <c r="B31" s="125">
        <v>12</v>
      </c>
      <c r="C31" s="126">
        <v>12</v>
      </c>
      <c r="D31" s="126" t="str">
        <f>INDEX('DER Concepts'!$B$6:$V$31,MATCH($C31,'DER Concepts'!$B$6:$B$31,0),MATCH(D$6,'DER Concepts'!$B$6:$V$6,0))</f>
        <v>Net Metering (Existing)</v>
      </c>
      <c r="E31" s="126" t="str">
        <f>INDEX('DER Concepts'!$B$6:$V$31,MATCH($C31,'DER Concepts'!$B$6:$B$31,0),MATCH(E$6,'DER Concepts'!$B$6:$V$6,0))</f>
        <v>Solar</v>
      </c>
      <c r="F31" s="126" t="str">
        <f>INDEX('DER Concepts'!$B$6:$V$31,MATCH($C31,'DER Concepts'!$B$6:$B$31,0),MATCH(F$6,'DER Concepts'!$B$6:$V$6,0))</f>
        <v>BTM</v>
      </c>
      <c r="G31" s="126" t="str">
        <f>INDEX('DER Concepts'!$B$6:$V$31,MATCH($C31,'DER Concepts'!$B$6:$B$31,0),MATCH(G$6,'DER Concepts'!$B$6:$V$6,0))</f>
        <v>Customer(s)</v>
      </c>
      <c r="H31" s="126" t="str">
        <f>INDEX('DER Concepts'!$B$6:$V$31,MATCH($C31,'DER Concepts'!$B$6:$B$31,0),MATCH(H$6,'DER Concepts'!$B$6:$V$6,0))</f>
        <v>Yes</v>
      </c>
      <c r="I31" s="126" t="str">
        <f>INDEX('DER Concepts'!$B$6:$V$31,MATCH($C31,'DER Concepts'!$B$6:$B$31,0),MATCH(I$6,'DER Concepts'!$B$6:$V$6,0))</f>
        <v>PSE Program</v>
      </c>
      <c r="J31" s="126" t="str">
        <f>INDEX('DER Concepts'!$B$6:$V$31,MATCH($C31,'DER Concepts'!$B$6:$B$31,0),MATCH(J$6,'DER Concepts'!$B$6:$V$6,0))</f>
        <v>In Operation</v>
      </c>
      <c r="K31" s="131">
        <f>INDEX('DER Concepts'!$B$6:$V$31,MATCH($C31,'DER Concepts'!$B$6:$B$31,0),MATCH(K$6,'DER Concepts'!$B$6:$V$6,0))</f>
        <v>13.87</v>
      </c>
      <c r="L31" s="131">
        <f>INDEX('DER Concepts'!$B$6:$V$31,MATCH($C31,'DER Concepts'!$B$6:$B$31,0),MATCH(L$6,'DER Concepts'!$B$6:$V$6,0))</f>
        <v>15</v>
      </c>
      <c r="M31" s="131">
        <f>INDEX('DER Concepts'!$B$6:$V$31,MATCH($C31,'DER Concepts'!$B$6:$B$31,0),MATCH(M$6,'DER Concepts'!$B$6:$V$6,0))</f>
        <v>17.5</v>
      </c>
      <c r="N31" s="131">
        <f>INDEX('DER Concepts'!$B$6:$V$31,MATCH($C31,'DER Concepts'!$B$6:$B$31,0),MATCH(N$6,'DER Concepts'!$B$6:$V$6,0))</f>
        <v>10.7</v>
      </c>
      <c r="O31" s="131">
        <f>INDEX('DER Concepts'!$B$6:$V$31,MATCH($C31,'DER Concepts'!$B$6:$B$31,0),MATCH(O$6,'DER Concepts'!$B$6:$V$6,0))</f>
        <v>0</v>
      </c>
      <c r="P31" s="131">
        <f>INDEX('DER Concepts'!$B$6:$V$31,MATCH($C31,'DER Concepts'!$B$6:$B$31,0),MATCH(P$6,'DER Concepts'!$B$6:$V$6,0))</f>
        <v>0</v>
      </c>
      <c r="Q31" s="131">
        <f>INDEX('DER Concepts'!$B$6:$V$31,MATCH($C31,'DER Concepts'!$B$6:$B$31,0),MATCH(Q$6,'DER Concepts'!$B$6:$V$6,0))</f>
        <v>0</v>
      </c>
      <c r="R31" s="131">
        <f>INDEX('DER Concepts'!$B$6:$V$31,MATCH($C31,'DER Concepts'!$B$6:$B$31,0),MATCH(R$6,'DER Concepts'!$B$6:$V$6,0))</f>
        <v>0</v>
      </c>
      <c r="S31" s="131">
        <f>INDEX('DER Concepts'!$B$6:$V$31,MATCH($C31,'DER Concepts'!$B$6:$B$31,0),MATCH(S$6,'DER Concepts'!$B$6:$V$6,0))</f>
        <v>0</v>
      </c>
      <c r="T31" s="126" t="e">
        <f>INDEX('Cost per Site'!$C$7:$N$32,MATCH($C31,'Cost per Site'!$C$7:$C$32,0),MATCH('Summary Table'!T$6,'Cost per Site'!$C$7:$N$7,0))</f>
        <v>#N/A</v>
      </c>
      <c r="U31" s="126" t="e">
        <f>INDEX('Cost per Site'!$C$7:$N$32,MATCH($C31,'Cost per Site'!$C$7:$C$32,0),MATCH('Summary Table'!U$6,'Cost per Site'!$C$7:$N$7,0))</f>
        <v>#N/A</v>
      </c>
      <c r="V31" s="126" t="e">
        <f>INDEX('Cost per Site'!$C$7:$N$32,MATCH($C31,'Cost per Site'!$C$7:$C$32,0),MATCH('Summary Table'!V$6,'Cost per Site'!$C$7:$N$7,0))</f>
        <v>#N/A</v>
      </c>
      <c r="W31" s="127" t="e">
        <f>INDEX('Cost per Site'!$C$7:$N$32,MATCH($C31,'Cost per Site'!$C$7:$C$32,0),MATCH('Summary Table'!W$6,'Cost per Site'!$C$7:$N$7,0))</f>
        <v>#N/A</v>
      </c>
      <c r="X31" s="127" t="e">
        <f>INDEX('Cost per Site'!$C$7:$N$32,MATCH($C31,'Cost per Site'!$C$7:$C$32,0),MATCH('Summary Table'!X$6,'Cost per Site'!$C$7:$N$7,0))</f>
        <v>#N/A</v>
      </c>
      <c r="Y31" s="127" t="e">
        <f>INDEX('Cost per Site'!$C$7:$N$32,MATCH($C31,'Cost per Site'!$C$7:$C$32,0),MATCH('Summary Table'!Y$6,'Cost per Site'!$C$7:$N$7,0))</f>
        <v>#N/A</v>
      </c>
      <c r="Z31" s="127" t="e">
        <f>INDEX('Cost per Site'!$C$7:$N$32,MATCH($C31,'Cost per Site'!$C$7:$C$32,0),MATCH('Summary Table'!Z$6,'Cost per Site'!$C$7:$N$7,0))</f>
        <v>#N/A</v>
      </c>
      <c r="AA31" s="127" t="e">
        <f>INDEX('Cost per Site'!$C$7:$N$32,MATCH($C31,'Cost per Site'!$C$7:$C$32,0),MATCH('Summary Table'!AA$6,'Cost per Site'!$C$7:$N$7,0))</f>
        <v>#N/A</v>
      </c>
      <c r="AB31" s="126" t="e">
        <f>INDEX('Cost per Site'!$C$7:$N$32,MATCH($C31,'Cost per Site'!$C$7:$C$32,0),MATCH('Summary Table'!AB$6,'Cost per Site'!$C$7:$N$7,0))</f>
        <v>#N/A</v>
      </c>
      <c r="AC31" s="126">
        <f>INDEX('S6-Summary'!$B$17:$W$43,MATCH($B31,'S6-Summary'!$B$17:$B$43,0),MATCH('Summary Table'!AC$6,'S6-Summary'!$B$17:$W$17,0))</f>
        <v>0</v>
      </c>
      <c r="AD31" s="126">
        <f>INDEX('S6-Summary'!$B$17:$W$43,MATCH($B31,'S6-Summary'!$B$17:$B$43,0),MATCH('Summary Table'!AD$6,'S6-Summary'!$B$17:$W$17,0))</f>
        <v>0.27591767984729265</v>
      </c>
      <c r="AE31" s="128">
        <f>INDEX(CBI!$B$10:$H$35,MATCH($C31,CBI!$B$10:$B$35,0),MATCH(AE$6,CBI!$B$10:$H$10,0))</f>
        <v>0</v>
      </c>
      <c r="AF31" s="129" t="s">
        <v>128</v>
      </c>
    </row>
    <row r="32" spans="2:32" x14ac:dyDescent="0.35">
      <c r="B32" s="115">
        <v>13</v>
      </c>
      <c r="C32" s="116">
        <v>13</v>
      </c>
      <c r="D32" s="116" t="str">
        <f>INDEX('DER Concepts'!$B$6:$V$31,MATCH($C32,'DER Concepts'!$B$6:$B$31,0),MATCH(D$6,'DER Concepts'!$B$6:$V$6,0))</f>
        <v>Net Metering (Successor)</v>
      </c>
      <c r="E32" s="116" t="str">
        <f>INDEX('DER Concepts'!$B$6:$V$31,MATCH($C32,'DER Concepts'!$B$6:$B$31,0),MATCH(E$6,'DER Concepts'!$B$6:$V$6,0))</f>
        <v>Solar</v>
      </c>
      <c r="F32" s="116" t="str">
        <f>INDEX('DER Concepts'!$B$6:$V$31,MATCH($C32,'DER Concepts'!$B$6:$B$31,0),MATCH(F$6,'DER Concepts'!$B$6:$V$6,0))</f>
        <v>BTM</v>
      </c>
      <c r="G32" s="116" t="str">
        <f>INDEX('DER Concepts'!$B$6:$V$31,MATCH($C32,'DER Concepts'!$B$6:$B$31,0),MATCH(G$6,'DER Concepts'!$B$6:$V$6,0))</f>
        <v>Customer(s)</v>
      </c>
      <c r="H32" s="116" t="str">
        <f>INDEX('DER Concepts'!$B$6:$V$31,MATCH($C32,'DER Concepts'!$B$6:$B$31,0),MATCH(H$6,'DER Concepts'!$B$6:$V$6,0))</f>
        <v>Yes</v>
      </c>
      <c r="I32" s="116" t="str">
        <f>INDEX('DER Concepts'!$B$6:$V$31,MATCH($C32,'DER Concepts'!$B$6:$B$31,0),MATCH(I$6,'DER Concepts'!$B$6:$V$6,0))</f>
        <v>PSE Program</v>
      </c>
      <c r="J32" s="116" t="str">
        <f>INDEX('DER Concepts'!$B$6:$V$31,MATCH($C32,'DER Concepts'!$B$6:$B$31,0),MATCH(J$6,'DER Concepts'!$B$6:$V$6,0))</f>
        <v>New</v>
      </c>
      <c r="K32" s="131">
        <f>INDEX('DER Concepts'!$B$6:$V$31,MATCH($C32,'DER Concepts'!$B$6:$B$31,0),MATCH(K$6,'DER Concepts'!$B$6:$V$6,0))</f>
        <v>0</v>
      </c>
      <c r="L32" s="131">
        <f>INDEX('DER Concepts'!$B$6:$V$31,MATCH($C32,'DER Concepts'!$B$6:$B$31,0),MATCH(L$6,'DER Concepts'!$B$6:$V$6,0))</f>
        <v>0</v>
      </c>
      <c r="M32" s="131">
        <f>INDEX('DER Concepts'!$B$6:$V$31,MATCH($C32,'DER Concepts'!$B$6:$B$31,0),MATCH(M$6,'DER Concepts'!$B$6:$V$6,0))</f>
        <v>0</v>
      </c>
      <c r="N32" s="131">
        <f>INDEX('DER Concepts'!$B$6:$V$31,MATCH($C32,'DER Concepts'!$B$6:$B$31,0),MATCH(N$6,'DER Concepts'!$B$6:$V$6,0))</f>
        <v>6.8</v>
      </c>
      <c r="O32" s="131">
        <f>INDEX('DER Concepts'!$B$6:$V$31,MATCH($C32,'DER Concepts'!$B$6:$B$31,0),MATCH(O$6,'DER Concepts'!$B$6:$V$6,0))</f>
        <v>18.267490903690632</v>
      </c>
      <c r="P32" s="131">
        <f>INDEX('DER Concepts'!$B$6:$V$31,MATCH($C32,'DER Concepts'!$B$6:$B$31,0),MATCH(P$6,'DER Concepts'!$B$6:$V$6,0))</f>
        <v>19.081447983960388</v>
      </c>
      <c r="Q32" s="131">
        <f>INDEX('DER Concepts'!$B$6:$V$31,MATCH($C32,'DER Concepts'!$B$6:$B$31,0),MATCH(Q$6,'DER Concepts'!$B$6:$V$6,0))</f>
        <v>19.895405064230726</v>
      </c>
      <c r="R32" s="131">
        <f>INDEX('DER Concepts'!$B$6:$V$31,MATCH($C32,'DER Concepts'!$B$6:$B$31,0),MATCH(R$6,'DER Concepts'!$B$6:$V$6,0))</f>
        <v>20.709362144501064</v>
      </c>
      <c r="S32" s="131">
        <f>INDEX('DER Concepts'!$B$6:$V$31,MATCH($C32,'DER Concepts'!$B$6:$B$31,0),MATCH(S$6,'DER Concepts'!$B$6:$V$6,0))</f>
        <v>21.523319224771694</v>
      </c>
      <c r="T32" s="116" t="e">
        <f>INDEX('Cost per Site'!$C$7:$N$32,MATCH($C32,'Cost per Site'!$C$7:$C$32,0),MATCH('Summary Table'!T$6,'Cost per Site'!$C$7:$N$7,0))</f>
        <v>#N/A</v>
      </c>
      <c r="U32" s="116" t="e">
        <f>INDEX('Cost per Site'!$C$7:$N$32,MATCH($C32,'Cost per Site'!$C$7:$C$32,0),MATCH('Summary Table'!U$6,'Cost per Site'!$C$7:$N$7,0))</f>
        <v>#N/A</v>
      </c>
      <c r="V32" s="116" t="e">
        <f>INDEX('Cost per Site'!$C$7:$N$32,MATCH($C32,'Cost per Site'!$C$7:$C$32,0),MATCH('Summary Table'!V$6,'Cost per Site'!$C$7:$N$7,0))</f>
        <v>#N/A</v>
      </c>
      <c r="W32" s="117" t="e">
        <f>INDEX('Cost per Site'!$C$7:$N$32,MATCH($C32,'Cost per Site'!$C$7:$C$32,0),MATCH('Summary Table'!W$6,'Cost per Site'!$C$7:$N$7,0))</f>
        <v>#N/A</v>
      </c>
      <c r="X32" s="117" t="e">
        <f>INDEX('Cost per Site'!$C$7:$N$32,MATCH($C32,'Cost per Site'!$C$7:$C$32,0),MATCH('Summary Table'!X$6,'Cost per Site'!$C$7:$N$7,0))</f>
        <v>#N/A</v>
      </c>
      <c r="Y32" s="117" t="e">
        <f>INDEX('Cost per Site'!$C$7:$N$32,MATCH($C32,'Cost per Site'!$C$7:$C$32,0),MATCH('Summary Table'!Y$6,'Cost per Site'!$C$7:$N$7,0))</f>
        <v>#N/A</v>
      </c>
      <c r="Z32" s="117" t="e">
        <f>INDEX('Cost per Site'!$C$7:$N$32,MATCH($C32,'Cost per Site'!$C$7:$C$32,0),MATCH('Summary Table'!Z$6,'Cost per Site'!$C$7:$N$7,0))</f>
        <v>#N/A</v>
      </c>
      <c r="AA32" s="117" t="e">
        <f>INDEX('Cost per Site'!$C$7:$N$32,MATCH($C32,'Cost per Site'!$C$7:$C$32,0),MATCH('Summary Table'!AA$6,'Cost per Site'!$C$7:$N$7,0))</f>
        <v>#N/A</v>
      </c>
      <c r="AB32" s="116" t="e">
        <f>INDEX('Cost per Site'!$C$7:$N$32,MATCH($C32,'Cost per Site'!$C$7:$C$32,0),MATCH('Summary Table'!AB$6,'Cost per Site'!$C$7:$N$7,0))</f>
        <v>#N/A</v>
      </c>
      <c r="AC32" s="126">
        <f>INDEX('S6-Summary'!$B$17:$W$43,MATCH($B32,'S6-Summary'!$B$17:$B$43,0),MATCH('Summary Table'!AC$6,'S6-Summary'!$B$17:$W$17,0))</f>
        <v>0</v>
      </c>
      <c r="AD32" s="126">
        <f>INDEX('S6-Summary'!$B$17:$W$43,MATCH($B32,'S6-Summary'!$B$17:$B$43,0),MATCH('Summary Table'!AD$6,'S6-Summary'!$B$17:$W$17,0))</f>
        <v>0.27591767984729254</v>
      </c>
      <c r="AE32" s="119">
        <f>INDEX(CBI!$B$10:$H$35,MATCH($C32,CBI!$B$10:$B$35,0),MATCH(AE$6,CBI!$B$10:$H$10,0))</f>
        <v>0</v>
      </c>
      <c r="AF32" s="118" t="s">
        <v>128</v>
      </c>
    </row>
  </sheetData>
  <dataConsolidate/>
  <mergeCells count="1">
    <mergeCell ref="B3:T3"/>
  </mergeCells>
  <conditionalFormatting sqref="B7:AF32">
    <cfRule type="expression" dxfId="0" priority="2">
      <formula>$AF7="Selected"</formula>
    </cfRule>
  </conditionalFormatting>
  <pageMargins left="0.7" right="0.7" top="0.75" bottom="0.75" header="0.3" footer="0.3"/>
  <pageSetup scale="27"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B1:T58"/>
  <sheetViews>
    <sheetView workbookViewId="0">
      <selection activeCell="H18" sqref="H18"/>
    </sheetView>
  </sheetViews>
  <sheetFormatPr defaultRowHeight="14.5" x14ac:dyDescent="0.35"/>
  <cols>
    <col min="1" max="1" width="6" customWidth="1"/>
    <col min="2" max="2" width="10.81640625" customWidth="1"/>
    <col min="3" max="3" width="10" customWidth="1"/>
    <col min="4" max="4" width="11.7265625" customWidth="1"/>
    <col min="5" max="5" width="39" bestFit="1" customWidth="1"/>
    <col min="6" max="6" width="20.6328125" bestFit="1" customWidth="1"/>
    <col min="7" max="7" width="19.26953125" bestFit="1" customWidth="1"/>
    <col min="8" max="8" width="14.7265625" bestFit="1" customWidth="1"/>
    <col min="9" max="9" width="10.08984375" bestFit="1" customWidth="1"/>
    <col min="10" max="10" width="8.6328125" bestFit="1" customWidth="1"/>
    <col min="11" max="11" width="15.54296875" bestFit="1" customWidth="1"/>
    <col min="12" max="12" width="10.08984375" bestFit="1" customWidth="1"/>
    <col min="13" max="13" width="11.36328125" bestFit="1" customWidth="1"/>
    <col min="14" max="14" width="12.453125" bestFit="1" customWidth="1"/>
    <col min="15" max="17" width="4.81640625" customWidth="1"/>
    <col min="18" max="19" width="2.81640625" customWidth="1"/>
    <col min="20" max="20" width="4.81640625" customWidth="1"/>
    <col min="21" max="23" width="2.81640625" customWidth="1"/>
    <col min="24" max="25" width="4.81640625" customWidth="1"/>
    <col min="26" max="26" width="2.81640625" customWidth="1"/>
    <col min="27" max="27" width="4.81640625" customWidth="1"/>
    <col min="28" max="28" width="10.7265625" bestFit="1" customWidth="1"/>
  </cols>
  <sheetData>
    <row r="1" spans="2:20" s="142" customFormat="1" x14ac:dyDescent="0.35"/>
    <row r="2" spans="2:20" s="142" customFormat="1" ht="46" x14ac:dyDescent="1">
      <c r="B2" s="144" t="s">
        <v>288</v>
      </c>
    </row>
    <row r="3" spans="2:20" s="142" customFormat="1" ht="29.5" customHeight="1" x14ac:dyDescent="0.35">
      <c r="B3" s="152" t="s">
        <v>291</v>
      </c>
      <c r="C3" s="152"/>
      <c r="D3" s="152"/>
      <c r="E3" s="152"/>
      <c r="F3" s="152"/>
      <c r="G3" s="152"/>
      <c r="H3" s="152"/>
      <c r="I3" s="152"/>
      <c r="J3" s="152"/>
      <c r="K3" s="152"/>
      <c r="L3" s="152"/>
      <c r="M3" s="152"/>
      <c r="N3" s="152"/>
      <c r="O3" s="152"/>
      <c r="P3" s="152"/>
      <c r="Q3" s="152"/>
      <c r="R3" s="152"/>
      <c r="S3" s="152"/>
      <c r="T3" s="152"/>
    </row>
    <row r="4" spans="2:20" s="142" customFormat="1" x14ac:dyDescent="0.35"/>
    <row r="6" spans="2:20" x14ac:dyDescent="0.35">
      <c r="B6" s="90" t="s">
        <v>205</v>
      </c>
      <c r="C6" s="90"/>
      <c r="D6" s="90"/>
      <c r="E6" s="90" t="s">
        <v>206</v>
      </c>
      <c r="F6" s="90" t="s">
        <v>207</v>
      </c>
      <c r="G6" s="90" t="s">
        <v>208</v>
      </c>
      <c r="H6" s="90" t="s">
        <v>209</v>
      </c>
      <c r="I6" s="153" t="s">
        <v>210</v>
      </c>
      <c r="J6" s="153"/>
      <c r="K6" s="153"/>
      <c r="L6" s="153" t="s">
        <v>211</v>
      </c>
      <c r="M6" s="153"/>
      <c r="N6" s="153"/>
    </row>
    <row r="7" spans="2:20" x14ac:dyDescent="0.35">
      <c r="B7" s="97" t="s">
        <v>259</v>
      </c>
      <c r="C7" s="97" t="s">
        <v>7</v>
      </c>
      <c r="D7" s="97" t="s">
        <v>257</v>
      </c>
      <c r="E7" s="89" t="s">
        <v>206</v>
      </c>
      <c r="F7" s="89" t="s">
        <v>207</v>
      </c>
      <c r="G7" s="89" t="s">
        <v>208</v>
      </c>
      <c r="H7" s="89" t="s">
        <v>209</v>
      </c>
      <c r="I7" s="97" t="s">
        <v>246</v>
      </c>
      <c r="J7" s="97" t="s">
        <v>247</v>
      </c>
      <c r="K7" s="97" t="s">
        <v>248</v>
      </c>
      <c r="L7" s="97" t="s">
        <v>249</v>
      </c>
      <c r="M7" s="97" t="s">
        <v>250</v>
      </c>
      <c r="N7" s="97" t="s">
        <v>251</v>
      </c>
    </row>
    <row r="8" spans="2:20" x14ac:dyDescent="0.35">
      <c r="B8" s="88">
        <v>1</v>
      </c>
      <c r="C8" s="88">
        <f>VLOOKUP('Cost per Site'!$B8,Metadata!$D$2:$I$29,4, FALSE)</f>
        <v>1</v>
      </c>
      <c r="D8" s="88">
        <f>VLOOKUP('Cost per Site'!$B8,Metadata!$D$2:$I$29,6, FALSE)</f>
        <v>1</v>
      </c>
      <c r="E8" s="88" t="s">
        <v>212</v>
      </c>
      <c r="F8" s="92">
        <v>200</v>
      </c>
      <c r="G8" s="93">
        <v>2</v>
      </c>
      <c r="H8" s="91">
        <v>10</v>
      </c>
      <c r="I8" s="91">
        <v>0</v>
      </c>
      <c r="J8" s="91">
        <v>0</v>
      </c>
      <c r="K8" s="91">
        <v>5</v>
      </c>
      <c r="L8" s="91">
        <v>3072</v>
      </c>
      <c r="M8" s="91">
        <v>265</v>
      </c>
      <c r="N8" s="88" t="s">
        <v>213</v>
      </c>
    </row>
    <row r="9" spans="2:20" x14ac:dyDescent="0.35">
      <c r="B9" s="88">
        <v>2</v>
      </c>
      <c r="C9" s="88">
        <f>VLOOKUP('Cost per Site'!$B9,Metadata!$D$2:$I$29,4, FALSE)</f>
        <v>2</v>
      </c>
      <c r="D9" s="88">
        <f>VLOOKUP('Cost per Site'!$B9,Metadata!$D$2:$I$29,6, FALSE)</f>
        <v>2</v>
      </c>
      <c r="E9" s="88" t="s">
        <v>214</v>
      </c>
      <c r="F9" s="92">
        <v>5000</v>
      </c>
      <c r="G9" s="93">
        <v>4</v>
      </c>
      <c r="H9" s="91">
        <v>10</v>
      </c>
      <c r="I9" s="91">
        <v>0</v>
      </c>
      <c r="J9" s="91">
        <v>0</v>
      </c>
      <c r="K9" s="91">
        <v>5</v>
      </c>
      <c r="L9" s="91">
        <v>2292</v>
      </c>
      <c r="M9" s="91">
        <v>67</v>
      </c>
      <c r="N9" s="88" t="s">
        <v>213</v>
      </c>
    </row>
    <row r="10" spans="2:20" x14ac:dyDescent="0.35">
      <c r="B10" s="88">
        <v>3</v>
      </c>
      <c r="C10" s="88">
        <f>VLOOKUP('Cost per Site'!$B10,Metadata!$D$2:$I$29,4, FALSE)</f>
        <v>3</v>
      </c>
      <c r="D10" s="88">
        <f>VLOOKUP('Cost per Site'!$B10,Metadata!$D$2:$I$29,6, FALSE)</f>
        <v>3</v>
      </c>
      <c r="E10" s="88" t="s">
        <v>215</v>
      </c>
      <c r="F10" s="92">
        <v>200</v>
      </c>
      <c r="G10" s="93">
        <v>2</v>
      </c>
      <c r="H10" s="91">
        <v>10</v>
      </c>
      <c r="I10" s="91">
        <v>0</v>
      </c>
      <c r="J10" s="91">
        <v>0</v>
      </c>
      <c r="K10" s="91">
        <v>63</v>
      </c>
      <c r="L10" s="91">
        <v>3072</v>
      </c>
      <c r="M10" s="91">
        <v>23</v>
      </c>
      <c r="N10" s="88" t="s">
        <v>216</v>
      </c>
    </row>
    <row r="11" spans="2:20" x14ac:dyDescent="0.35">
      <c r="B11" s="88">
        <v>4</v>
      </c>
      <c r="C11" s="88">
        <f>VLOOKUP('Cost per Site'!$B11,Metadata!$D$2:$I$29,4, FALSE)</f>
        <v>4</v>
      </c>
      <c r="D11" s="88">
        <f>VLOOKUP('Cost per Site'!$B11,Metadata!$D$2:$I$29,6, FALSE)</f>
        <v>4</v>
      </c>
      <c r="E11" s="88" t="s">
        <v>217</v>
      </c>
      <c r="F11" s="92">
        <v>200</v>
      </c>
      <c r="G11" s="93">
        <v>4</v>
      </c>
      <c r="H11" s="91">
        <v>10</v>
      </c>
      <c r="I11" s="91">
        <v>4802</v>
      </c>
      <c r="J11" s="91">
        <v>217</v>
      </c>
      <c r="K11" s="91">
        <v>77</v>
      </c>
      <c r="L11" s="91">
        <v>0</v>
      </c>
      <c r="M11" s="91">
        <v>0</v>
      </c>
      <c r="N11" s="88" t="s">
        <v>218</v>
      </c>
    </row>
    <row r="12" spans="2:20" x14ac:dyDescent="0.35">
      <c r="B12" s="88">
        <v>5</v>
      </c>
      <c r="C12" s="88">
        <f>VLOOKUP('Cost per Site'!$B12,Metadata!$D$2:$I$29,4, FALSE)</f>
        <v>5</v>
      </c>
      <c r="D12" s="88">
        <f>VLOOKUP('Cost per Site'!$B12,Metadata!$D$2:$I$29,6, FALSE)</f>
        <v>5</v>
      </c>
      <c r="E12" s="88" t="s">
        <v>219</v>
      </c>
      <c r="F12" s="92">
        <v>250</v>
      </c>
      <c r="G12" s="93">
        <v>3</v>
      </c>
      <c r="H12" s="91">
        <v>10</v>
      </c>
      <c r="I12" s="91">
        <v>3782</v>
      </c>
      <c r="J12" s="91">
        <v>11</v>
      </c>
      <c r="K12" s="91">
        <v>61</v>
      </c>
      <c r="L12" s="91">
        <v>0</v>
      </c>
      <c r="M12" s="91">
        <v>0</v>
      </c>
      <c r="N12" s="88" t="s">
        <v>216</v>
      </c>
    </row>
    <row r="13" spans="2:20" x14ac:dyDescent="0.35">
      <c r="B13" s="88">
        <v>6</v>
      </c>
      <c r="C13" s="88">
        <f>VLOOKUP('Cost per Site'!$B13,Metadata!$D$2:$I$29,4, FALSE)</f>
        <v>6</v>
      </c>
      <c r="D13" s="88">
        <f>VLOOKUP('Cost per Site'!$B13,Metadata!$D$2:$I$29,6, FALSE)</f>
        <v>6</v>
      </c>
      <c r="E13" s="88" t="s">
        <v>220</v>
      </c>
      <c r="F13" s="92">
        <v>500</v>
      </c>
      <c r="G13" s="93">
        <v>2</v>
      </c>
      <c r="H13" s="91">
        <v>10</v>
      </c>
      <c r="I13" s="91">
        <v>1784</v>
      </c>
      <c r="J13" s="91">
        <v>19</v>
      </c>
      <c r="K13" s="91">
        <v>28</v>
      </c>
      <c r="L13" s="91">
        <v>0</v>
      </c>
      <c r="M13" s="91">
        <v>0</v>
      </c>
      <c r="N13" s="88" t="s">
        <v>218</v>
      </c>
    </row>
    <row r="14" spans="2:20" x14ac:dyDescent="0.35">
      <c r="B14" s="88">
        <v>7</v>
      </c>
      <c r="C14" s="88">
        <f>VLOOKUP('Cost per Site'!$B14,Metadata!$D$2:$I$29,4, FALSE)</f>
        <v>7</v>
      </c>
      <c r="D14" s="88">
        <f>VLOOKUP('Cost per Site'!$B14,Metadata!$D$2:$I$29,6, FALSE)</f>
        <v>7</v>
      </c>
      <c r="E14" s="88" t="s">
        <v>221</v>
      </c>
      <c r="F14" s="92">
        <v>3300</v>
      </c>
      <c r="G14" s="93">
        <v>2</v>
      </c>
      <c r="H14" s="91">
        <v>10</v>
      </c>
      <c r="I14" s="91">
        <v>1339</v>
      </c>
      <c r="J14" s="91">
        <v>20</v>
      </c>
      <c r="K14" s="91">
        <v>18</v>
      </c>
      <c r="L14" s="91">
        <v>0</v>
      </c>
      <c r="M14" s="91">
        <v>0</v>
      </c>
      <c r="N14" s="88" t="s">
        <v>218</v>
      </c>
    </row>
    <row r="15" spans="2:20" x14ac:dyDescent="0.35">
      <c r="B15" s="88">
        <v>8</v>
      </c>
      <c r="C15" s="88">
        <f>VLOOKUP('Cost per Site'!$B15,Metadata!$D$2:$I$29,4, FALSE)</f>
        <v>8</v>
      </c>
      <c r="D15" s="88">
        <f>VLOOKUP('Cost per Site'!$B15,Metadata!$D$2:$I$29,6, FALSE)</f>
        <v>8</v>
      </c>
      <c r="E15" s="88" t="s">
        <v>222</v>
      </c>
      <c r="F15" s="92">
        <v>1000</v>
      </c>
      <c r="G15" s="93">
        <v>2</v>
      </c>
      <c r="H15" s="91">
        <v>10</v>
      </c>
      <c r="I15" s="91">
        <v>1365</v>
      </c>
      <c r="J15" s="91">
        <v>92</v>
      </c>
      <c r="K15" s="91">
        <v>26</v>
      </c>
      <c r="L15" s="91">
        <v>0</v>
      </c>
      <c r="M15" s="91">
        <v>0</v>
      </c>
      <c r="N15" s="88" t="s">
        <v>218</v>
      </c>
    </row>
    <row r="16" spans="2:20" x14ac:dyDescent="0.35">
      <c r="B16" s="88">
        <v>9</v>
      </c>
      <c r="C16" s="88">
        <f>VLOOKUP('Cost per Site'!$B16,Metadata!$D$2:$I$29,4, FALSE)</f>
        <v>9</v>
      </c>
      <c r="D16" s="88">
        <f>VLOOKUP('Cost per Site'!$B16,Metadata!$D$2:$I$29,6, FALSE)</f>
        <v>9</v>
      </c>
      <c r="E16" s="88" t="s">
        <v>223</v>
      </c>
      <c r="F16" s="92">
        <v>5</v>
      </c>
      <c r="G16" s="93">
        <v>3</v>
      </c>
      <c r="H16" s="91">
        <v>10</v>
      </c>
      <c r="I16" s="91">
        <v>0</v>
      </c>
      <c r="J16" s="91">
        <v>0</v>
      </c>
      <c r="K16" s="91">
        <v>70</v>
      </c>
      <c r="L16" s="91">
        <v>3782</v>
      </c>
      <c r="M16" s="91">
        <v>42</v>
      </c>
      <c r="N16" s="88" t="s">
        <v>216</v>
      </c>
    </row>
    <row r="17" spans="2:14" x14ac:dyDescent="0.35">
      <c r="B17" s="88">
        <v>10</v>
      </c>
      <c r="C17" s="88">
        <f>VLOOKUP('Cost per Site'!$B17,Metadata!$D$2:$I$29,4, FALSE)</f>
        <v>10</v>
      </c>
      <c r="D17" s="88">
        <f>VLOOKUP('Cost per Site'!$B17,Metadata!$D$2:$I$29,6, FALSE)</f>
        <v>10</v>
      </c>
      <c r="E17" s="88" t="s">
        <v>224</v>
      </c>
      <c r="F17" s="92">
        <v>5</v>
      </c>
      <c r="G17" s="93">
        <v>3</v>
      </c>
      <c r="H17" s="91">
        <v>10</v>
      </c>
      <c r="I17" s="91">
        <v>3782</v>
      </c>
      <c r="J17" s="91">
        <v>42</v>
      </c>
      <c r="K17" s="91">
        <v>96</v>
      </c>
      <c r="L17" s="91">
        <v>0</v>
      </c>
      <c r="M17" s="91">
        <v>60</v>
      </c>
      <c r="N17" s="88" t="s">
        <v>216</v>
      </c>
    </row>
    <row r="18" spans="2:14" x14ac:dyDescent="0.35">
      <c r="B18" s="88">
        <v>11</v>
      </c>
      <c r="C18" s="88">
        <f>VLOOKUP('Cost per Site'!$B18,Metadata!$D$2:$I$29,4, FALSE)</f>
        <v>11</v>
      </c>
      <c r="D18" s="88">
        <f>VLOOKUP('Cost per Site'!$B18,Metadata!$D$2:$I$29,6, FALSE)</f>
        <v>11</v>
      </c>
      <c r="E18" s="88" t="s">
        <v>225</v>
      </c>
      <c r="F18" s="92">
        <v>5</v>
      </c>
      <c r="G18" s="93">
        <v>3</v>
      </c>
      <c r="H18" s="91">
        <v>10</v>
      </c>
      <c r="I18" s="91">
        <v>3782</v>
      </c>
      <c r="J18" s="91">
        <v>42</v>
      </c>
      <c r="K18" s="91">
        <v>96</v>
      </c>
      <c r="L18" s="91">
        <v>0</v>
      </c>
      <c r="M18" s="91">
        <v>10</v>
      </c>
      <c r="N18" s="88" t="s">
        <v>216</v>
      </c>
    </row>
    <row r="19" spans="2:14" ht="14.5" customHeight="1" x14ac:dyDescent="0.35">
      <c r="B19" s="88">
        <v>12</v>
      </c>
      <c r="C19" s="88">
        <f>VLOOKUP('Cost per Site'!$B19,Metadata!$D$2:$I$29,4, FALSE)</f>
        <v>14</v>
      </c>
      <c r="D19" s="88">
        <f>VLOOKUP('Cost per Site'!$B19,Metadata!$D$2:$I$29,6, FALSE)</f>
        <v>14</v>
      </c>
      <c r="E19" s="88" t="s">
        <v>228</v>
      </c>
      <c r="F19" s="92">
        <v>3850</v>
      </c>
      <c r="G19" s="93" t="s">
        <v>229</v>
      </c>
      <c r="H19" s="91">
        <v>15</v>
      </c>
      <c r="I19" s="91">
        <v>1408</v>
      </c>
      <c r="J19" s="91">
        <v>21</v>
      </c>
      <c r="K19" s="91">
        <v>20</v>
      </c>
      <c r="L19" s="91">
        <v>0</v>
      </c>
      <c r="M19" s="91" t="s">
        <v>230</v>
      </c>
      <c r="N19" s="88" t="s">
        <v>231</v>
      </c>
    </row>
    <row r="20" spans="2:14" ht="14.5" customHeight="1" x14ac:dyDescent="0.35">
      <c r="B20" s="88">
        <v>13</v>
      </c>
      <c r="C20" s="88">
        <f>VLOOKUP('Cost per Site'!$B20,Metadata!$D$2:$I$29,4, FALSE)</f>
        <v>15</v>
      </c>
      <c r="D20" s="88">
        <f>VLOOKUP('Cost per Site'!$B20,Metadata!$D$2:$I$29,6, FALSE)</f>
        <v>15</v>
      </c>
      <c r="E20" s="88" t="s">
        <v>232</v>
      </c>
      <c r="F20" s="92">
        <v>3850</v>
      </c>
      <c r="G20" s="93" t="s">
        <v>229</v>
      </c>
      <c r="H20" s="91">
        <v>15</v>
      </c>
      <c r="I20" s="91">
        <v>1408</v>
      </c>
      <c r="J20" s="91">
        <v>21</v>
      </c>
      <c r="K20" s="91">
        <v>20</v>
      </c>
      <c r="L20" s="91">
        <v>0</v>
      </c>
      <c r="M20" s="91">
        <v>0</v>
      </c>
      <c r="N20" s="88" t="s">
        <v>231</v>
      </c>
    </row>
    <row r="21" spans="2:14" x14ac:dyDescent="0.35">
      <c r="B21" s="88">
        <v>14</v>
      </c>
      <c r="C21" s="88">
        <f>VLOOKUP('Cost per Site'!$B21,Metadata!$D$2:$I$29,4, FALSE)</f>
        <v>16</v>
      </c>
      <c r="D21" s="88">
        <f>VLOOKUP('Cost per Site'!$B21,Metadata!$D$2:$I$29,6, FALSE)</f>
        <v>16</v>
      </c>
      <c r="E21" s="88" t="s">
        <v>233</v>
      </c>
      <c r="F21" s="92">
        <v>308</v>
      </c>
      <c r="G21" s="93" t="s">
        <v>229</v>
      </c>
      <c r="H21" s="91">
        <v>30</v>
      </c>
      <c r="I21" s="91">
        <v>0</v>
      </c>
      <c r="J21" s="91">
        <v>0</v>
      </c>
      <c r="K21" s="91">
        <v>6</v>
      </c>
      <c r="L21" s="91">
        <v>2165</v>
      </c>
      <c r="M21" s="91">
        <v>87</v>
      </c>
      <c r="N21" s="88" t="s">
        <v>234</v>
      </c>
    </row>
    <row r="22" spans="2:14" x14ac:dyDescent="0.35">
      <c r="B22" s="88">
        <v>15</v>
      </c>
      <c r="C22" s="88">
        <f>VLOOKUP('Cost per Site'!$B22,Metadata!$D$2:$I$29,4, FALSE)</f>
        <v>17</v>
      </c>
      <c r="D22" s="88">
        <f>VLOOKUP('Cost per Site'!$B22,Metadata!$D$2:$I$29,6, FALSE)</f>
        <v>17</v>
      </c>
      <c r="E22" s="88" t="s">
        <v>235</v>
      </c>
      <c r="F22" s="92">
        <v>308</v>
      </c>
      <c r="G22" s="93" t="s">
        <v>229</v>
      </c>
      <c r="H22" s="91">
        <v>30</v>
      </c>
      <c r="I22" s="91">
        <v>0</v>
      </c>
      <c r="J22" s="91">
        <v>0</v>
      </c>
      <c r="K22" s="91">
        <v>8</v>
      </c>
      <c r="L22" s="91">
        <v>2165</v>
      </c>
      <c r="M22" s="91">
        <v>32</v>
      </c>
      <c r="N22" s="88" t="s">
        <v>231</v>
      </c>
    </row>
    <row r="23" spans="2:14" x14ac:dyDescent="0.35">
      <c r="B23" s="88">
        <v>16</v>
      </c>
      <c r="C23" s="88">
        <f>VLOOKUP('Cost per Site'!$B23,Metadata!$D$2:$I$29,4, FALSE)</f>
        <v>18</v>
      </c>
      <c r="D23" s="88">
        <f>VLOOKUP('Cost per Site'!$B23,Metadata!$D$2:$I$29,6, FALSE)</f>
        <v>18</v>
      </c>
      <c r="E23" s="88" t="s">
        <v>236</v>
      </c>
      <c r="F23" s="92">
        <v>308</v>
      </c>
      <c r="G23" s="93" t="s">
        <v>229</v>
      </c>
      <c r="H23" s="91">
        <v>30</v>
      </c>
      <c r="I23" s="91">
        <v>2162</v>
      </c>
      <c r="J23" s="91">
        <v>45</v>
      </c>
      <c r="K23" s="91">
        <v>31</v>
      </c>
      <c r="L23" s="91">
        <v>0</v>
      </c>
      <c r="M23" s="91">
        <v>0</v>
      </c>
      <c r="N23" s="88" t="s">
        <v>229</v>
      </c>
    </row>
    <row r="24" spans="2:14" ht="14.5" customHeight="1" x14ac:dyDescent="0.35">
      <c r="B24" s="88">
        <v>17</v>
      </c>
      <c r="C24" s="88">
        <f>VLOOKUP('Cost per Site'!$B24,Metadata!$D$2:$I$29,4, FALSE)</f>
        <v>19</v>
      </c>
      <c r="D24" s="88">
        <f>VLOOKUP('Cost per Site'!$B24,Metadata!$D$2:$I$29,6, FALSE)</f>
        <v>19</v>
      </c>
      <c r="E24" s="88" t="s">
        <v>237</v>
      </c>
      <c r="F24" s="92">
        <v>83</v>
      </c>
      <c r="G24" s="93" t="s">
        <v>229</v>
      </c>
      <c r="H24" s="91">
        <v>30</v>
      </c>
      <c r="I24" s="91">
        <v>0</v>
      </c>
      <c r="J24" s="91">
        <v>0</v>
      </c>
      <c r="K24" s="91">
        <v>47</v>
      </c>
      <c r="L24" s="91">
        <v>4027</v>
      </c>
      <c r="M24" s="91">
        <v>119</v>
      </c>
      <c r="N24" s="88" t="s">
        <v>231</v>
      </c>
    </row>
    <row r="25" spans="2:14" ht="14.5" customHeight="1" x14ac:dyDescent="0.35">
      <c r="B25" s="88">
        <v>18</v>
      </c>
      <c r="C25" s="88">
        <f>VLOOKUP('Cost per Site'!$B25,Metadata!$D$2:$I$29,4, FALSE)</f>
        <v>20</v>
      </c>
      <c r="D25" s="88">
        <f>VLOOKUP('Cost per Site'!$B25,Metadata!$D$2:$I$29,6, FALSE)</f>
        <v>20</v>
      </c>
      <c r="E25" s="88" t="s">
        <v>238</v>
      </c>
      <c r="F25" s="92">
        <v>83</v>
      </c>
      <c r="G25" s="93" t="s">
        <v>229</v>
      </c>
      <c r="H25" s="91">
        <v>30</v>
      </c>
      <c r="I25" s="91">
        <v>0</v>
      </c>
      <c r="J25" s="91">
        <v>0</v>
      </c>
      <c r="K25" s="91">
        <v>172</v>
      </c>
      <c r="L25" s="91">
        <v>4027</v>
      </c>
      <c r="M25" s="91">
        <v>119</v>
      </c>
      <c r="N25" s="88" t="s">
        <v>231</v>
      </c>
    </row>
    <row r="26" spans="2:14" ht="14.5" customHeight="1" x14ac:dyDescent="0.35">
      <c r="B26" s="110"/>
      <c r="C26" s="110"/>
      <c r="D26" s="110"/>
      <c r="E26" s="110" t="s">
        <v>262</v>
      </c>
      <c r="F26" s="111" t="s">
        <v>265</v>
      </c>
      <c r="G26" s="112">
        <v>3</v>
      </c>
      <c r="H26" s="113">
        <v>10</v>
      </c>
      <c r="I26" s="113">
        <v>0</v>
      </c>
      <c r="J26" s="113">
        <v>0</v>
      </c>
      <c r="K26" s="113">
        <v>176</v>
      </c>
      <c r="L26" s="113">
        <v>6789</v>
      </c>
      <c r="M26" s="113">
        <v>80</v>
      </c>
      <c r="N26" s="110" t="s">
        <v>216</v>
      </c>
    </row>
    <row r="27" spans="2:14" ht="14.5" customHeight="1" x14ac:dyDescent="0.35">
      <c r="B27" s="110" t="s">
        <v>263</v>
      </c>
      <c r="C27" s="110" t="str">
        <f>VLOOKUP('Cost per Site'!$B27,Metadata!$D$2:$I$29,4, FALSE)</f>
        <v>21a</v>
      </c>
      <c r="D27" s="110" t="str">
        <f>VLOOKUP('Cost per Site'!$B27,Metadata!$D$2:$I$29,6, FALSE)</f>
        <v>21a</v>
      </c>
      <c r="E27" s="110" t="s">
        <v>262</v>
      </c>
      <c r="F27" s="111" t="s">
        <v>265</v>
      </c>
      <c r="G27" s="112">
        <v>3</v>
      </c>
      <c r="H27" s="113">
        <f>H$26/2</f>
        <v>5</v>
      </c>
      <c r="I27" s="113">
        <f t="shared" ref="I27:M28" si="0">I$26/2</f>
        <v>0</v>
      </c>
      <c r="J27" s="113">
        <f t="shared" si="0"/>
        <v>0</v>
      </c>
      <c r="K27" s="113">
        <f t="shared" si="0"/>
        <v>88</v>
      </c>
      <c r="L27" s="113">
        <f t="shared" si="0"/>
        <v>3394.5</v>
      </c>
      <c r="M27" s="113">
        <f t="shared" si="0"/>
        <v>40</v>
      </c>
      <c r="N27" s="110" t="s">
        <v>216</v>
      </c>
    </row>
    <row r="28" spans="2:14" ht="14.5" customHeight="1" x14ac:dyDescent="0.35">
      <c r="B28" s="110" t="s">
        <v>264</v>
      </c>
      <c r="C28" s="110" t="str">
        <f>VLOOKUP('Cost per Site'!$B28,Metadata!$D$2:$I$29,4, FALSE)</f>
        <v>21b</v>
      </c>
      <c r="D28" s="110" t="str">
        <f>VLOOKUP('Cost per Site'!$B28,Metadata!$D$2:$I$29,6, FALSE)</f>
        <v>21b</v>
      </c>
      <c r="E28" s="110" t="s">
        <v>262</v>
      </c>
      <c r="F28" s="111" t="s">
        <v>265</v>
      </c>
      <c r="G28" s="112">
        <v>3</v>
      </c>
      <c r="H28" s="113">
        <f>H$26/2</f>
        <v>5</v>
      </c>
      <c r="I28" s="113">
        <f t="shared" si="0"/>
        <v>0</v>
      </c>
      <c r="J28" s="113">
        <f t="shared" si="0"/>
        <v>0</v>
      </c>
      <c r="K28" s="113">
        <f t="shared" si="0"/>
        <v>88</v>
      </c>
      <c r="L28" s="113">
        <f t="shared" si="0"/>
        <v>3394.5</v>
      </c>
      <c r="M28" s="113">
        <f t="shared" si="0"/>
        <v>40</v>
      </c>
      <c r="N28" s="110" t="s">
        <v>216</v>
      </c>
    </row>
    <row r="29" spans="2:14" ht="14.5" customHeight="1" x14ac:dyDescent="0.35">
      <c r="B29" s="88">
        <v>20</v>
      </c>
      <c r="C29" s="88">
        <f>VLOOKUP('Cost per Site'!$B29,Metadata!$D$2:$I$29,4, FALSE)</f>
        <v>22</v>
      </c>
      <c r="D29" s="88">
        <f>VLOOKUP('Cost per Site'!$B29,Metadata!$D$2:$I$29,6, FALSE)</f>
        <v>22</v>
      </c>
      <c r="E29" s="88" t="s">
        <v>240</v>
      </c>
      <c r="F29" s="92">
        <v>6</v>
      </c>
      <c r="G29" s="93" t="s">
        <v>229</v>
      </c>
      <c r="H29" s="91">
        <v>30</v>
      </c>
      <c r="I29" s="91">
        <v>3547</v>
      </c>
      <c r="J29" s="91">
        <v>163</v>
      </c>
      <c r="K29" s="91">
        <v>46</v>
      </c>
      <c r="L29" s="91">
        <v>0</v>
      </c>
      <c r="M29" s="91">
        <v>0</v>
      </c>
      <c r="N29" s="88" t="s">
        <v>229</v>
      </c>
    </row>
    <row r="30" spans="2:14" ht="14.5" customHeight="1" x14ac:dyDescent="0.35">
      <c r="B30" s="88">
        <v>21</v>
      </c>
      <c r="C30" s="88">
        <f>VLOOKUP('Cost per Site'!$B30,Metadata!$D$2:$I$29,4, FALSE)</f>
        <v>23</v>
      </c>
      <c r="D30" s="88">
        <f>VLOOKUP('Cost per Site'!$B30,Metadata!$D$2:$I$29,6, FALSE)</f>
        <v>23</v>
      </c>
      <c r="E30" s="88" t="s">
        <v>241</v>
      </c>
      <c r="F30" s="92">
        <v>6</v>
      </c>
      <c r="G30" s="93" t="s">
        <v>229</v>
      </c>
      <c r="H30" s="91">
        <v>30</v>
      </c>
      <c r="I30" s="91">
        <v>4439</v>
      </c>
      <c r="J30" s="91">
        <v>204</v>
      </c>
      <c r="K30" s="91">
        <v>46</v>
      </c>
      <c r="L30" s="91">
        <v>0</v>
      </c>
      <c r="M30" s="91">
        <v>0</v>
      </c>
      <c r="N30" s="88" t="s">
        <v>229</v>
      </c>
    </row>
    <row r="31" spans="2:14" x14ac:dyDescent="0.35">
      <c r="B31" s="88">
        <v>22</v>
      </c>
      <c r="C31" s="88">
        <f>VLOOKUP('Cost per Site'!$B31,Metadata!$D$2:$I$29,4, FALSE)</f>
        <v>24</v>
      </c>
      <c r="D31" s="88">
        <f>VLOOKUP('Cost per Site'!$B31,Metadata!$D$2:$I$29,6, FALSE)</f>
        <v>24</v>
      </c>
      <c r="E31" s="88" t="s">
        <v>226</v>
      </c>
      <c r="F31" s="92">
        <v>200</v>
      </c>
      <c r="G31" s="93">
        <v>2</v>
      </c>
      <c r="H31" s="91">
        <v>10</v>
      </c>
      <c r="I31" s="91">
        <v>0</v>
      </c>
      <c r="J31" s="91">
        <v>0</v>
      </c>
      <c r="K31" s="91">
        <v>7</v>
      </c>
      <c r="L31" s="91">
        <v>3072</v>
      </c>
      <c r="M31" s="91">
        <v>23</v>
      </c>
      <c r="N31" s="88" t="s">
        <v>216</v>
      </c>
    </row>
    <row r="32" spans="2:14" x14ac:dyDescent="0.35">
      <c r="B32" s="88">
        <v>23</v>
      </c>
      <c r="C32" s="88">
        <f>VLOOKUP('Cost per Site'!$B32,Metadata!$D$2:$I$29,4, FALSE)</f>
        <v>27</v>
      </c>
      <c r="D32" s="88">
        <f>VLOOKUP('Cost per Site'!$B32,Metadata!$D$2:$I$29,6, FALSE)</f>
        <v>0</v>
      </c>
      <c r="E32" t="s">
        <v>227</v>
      </c>
      <c r="F32" s="92">
        <v>6</v>
      </c>
      <c r="G32" s="93" t="s">
        <v>218</v>
      </c>
      <c r="H32" s="91">
        <v>15</v>
      </c>
      <c r="I32" s="91">
        <v>2847</v>
      </c>
      <c r="J32" s="91">
        <v>39</v>
      </c>
      <c r="K32" s="91">
        <v>14</v>
      </c>
      <c r="L32" s="91">
        <v>0</v>
      </c>
      <c r="M32" s="91">
        <v>127</v>
      </c>
      <c r="N32" s="88" t="s">
        <v>216</v>
      </c>
    </row>
    <row r="33" spans="2:14" x14ac:dyDescent="0.35">
      <c r="B33" s="88">
        <v>12</v>
      </c>
      <c r="C33" s="88">
        <f>VLOOKUP('Cost per Site'!$B33,Metadata!$D$2:$I$29,4, FALSE)</f>
        <v>14</v>
      </c>
      <c r="D33" s="88">
        <f>VLOOKUP('Cost per Site'!$B33,Metadata!$D$2:$I$29,6, FALSE)</f>
        <v>14</v>
      </c>
      <c r="E33" s="88" t="s">
        <v>228</v>
      </c>
      <c r="F33" s="92">
        <v>3850</v>
      </c>
      <c r="G33" s="93" t="s">
        <v>229</v>
      </c>
      <c r="H33" s="91">
        <v>15</v>
      </c>
      <c r="I33" s="91">
        <v>1408</v>
      </c>
      <c r="J33" s="91">
        <v>21</v>
      </c>
      <c r="K33" s="91">
        <v>20</v>
      </c>
      <c r="L33" s="91">
        <v>0</v>
      </c>
      <c r="M33" s="91" t="s">
        <v>230</v>
      </c>
      <c r="N33" s="88" t="s">
        <v>231</v>
      </c>
    </row>
    <row r="35" spans="2:14" x14ac:dyDescent="0.35">
      <c r="B35" s="100"/>
      <c r="C35" s="100"/>
      <c r="D35" s="100"/>
      <c r="E35" s="98"/>
      <c r="F35" s="98"/>
    </row>
    <row r="36" spans="2:14" x14ac:dyDescent="0.35">
      <c r="B36" s="100"/>
      <c r="C36" s="100"/>
      <c r="D36" s="100"/>
      <c r="E36" s="98"/>
      <c r="F36" s="98"/>
    </row>
    <row r="37" spans="2:14" x14ac:dyDescent="0.35">
      <c r="B37" s="100"/>
      <c r="C37" s="100"/>
      <c r="D37" s="100"/>
      <c r="E37" s="98"/>
      <c r="F37" s="98"/>
    </row>
    <row r="38" spans="2:14" x14ac:dyDescent="0.35">
      <c r="B38" s="100"/>
      <c r="C38" s="100"/>
      <c r="D38" s="100"/>
      <c r="E38" s="98"/>
      <c r="F38" s="98"/>
    </row>
    <row r="39" spans="2:14" x14ac:dyDescent="0.35">
      <c r="B39" s="100"/>
      <c r="C39" s="100"/>
      <c r="D39" s="100"/>
      <c r="E39" s="98"/>
      <c r="F39" s="98"/>
    </row>
    <row r="40" spans="2:14" x14ac:dyDescent="0.35">
      <c r="B40" s="100"/>
      <c r="C40" s="100"/>
      <c r="D40" s="100"/>
      <c r="E40" s="98"/>
      <c r="F40" s="98"/>
    </row>
    <row r="41" spans="2:14" x14ac:dyDescent="0.35">
      <c r="B41" s="100"/>
      <c r="C41" s="100"/>
      <c r="D41" s="100"/>
      <c r="E41" s="98"/>
      <c r="F41" s="98"/>
    </row>
    <row r="42" spans="2:14" x14ac:dyDescent="0.35">
      <c r="B42" s="100"/>
      <c r="C42" s="100"/>
      <c r="D42" s="100"/>
      <c r="E42" s="98"/>
      <c r="F42" s="98"/>
    </row>
    <row r="43" spans="2:14" x14ac:dyDescent="0.35">
      <c r="B43" s="100"/>
      <c r="C43" s="100"/>
      <c r="D43" s="100"/>
      <c r="E43" s="98"/>
      <c r="F43" s="98"/>
    </row>
    <row r="44" spans="2:14" x14ac:dyDescent="0.35">
      <c r="B44" s="100"/>
      <c r="C44" s="100"/>
      <c r="D44" s="100"/>
      <c r="E44" s="98"/>
      <c r="F44" s="98"/>
    </row>
    <row r="45" spans="2:14" x14ac:dyDescent="0.35">
      <c r="B45" s="100"/>
      <c r="C45" s="100"/>
      <c r="D45" s="100"/>
      <c r="E45" s="98"/>
      <c r="F45" s="98"/>
    </row>
    <row r="46" spans="2:14" x14ac:dyDescent="0.35">
      <c r="B46" s="100"/>
      <c r="C46" s="100"/>
      <c r="D46" s="100"/>
      <c r="E46" s="98"/>
      <c r="F46" s="98"/>
    </row>
    <row r="47" spans="2:14" x14ac:dyDescent="0.35">
      <c r="B47" s="100"/>
      <c r="C47" s="100"/>
      <c r="D47" s="100"/>
      <c r="E47" s="98"/>
      <c r="F47" s="98"/>
    </row>
    <row r="48" spans="2:14" x14ac:dyDescent="0.35">
      <c r="B48" s="100"/>
      <c r="C48" s="100"/>
      <c r="D48" s="100"/>
      <c r="E48" s="98"/>
      <c r="F48" s="98"/>
    </row>
    <row r="49" spans="2:6" x14ac:dyDescent="0.35">
      <c r="B49" s="100"/>
      <c r="C49" s="100"/>
      <c r="D49" s="100"/>
      <c r="E49" s="98"/>
      <c r="F49" s="98"/>
    </row>
    <row r="50" spans="2:6" x14ac:dyDescent="0.35">
      <c r="B50" s="100"/>
      <c r="C50" s="100"/>
      <c r="D50" s="100"/>
      <c r="E50" s="98"/>
      <c r="F50" s="98"/>
    </row>
    <row r="51" spans="2:6" x14ac:dyDescent="0.35">
      <c r="B51" s="100"/>
      <c r="C51" s="100"/>
      <c r="D51" s="100"/>
      <c r="E51" s="98"/>
      <c r="F51" s="98"/>
    </row>
    <row r="52" spans="2:6" x14ac:dyDescent="0.35">
      <c r="B52" s="100"/>
      <c r="C52" s="100"/>
      <c r="D52" s="100"/>
      <c r="E52" s="98"/>
      <c r="F52" s="98"/>
    </row>
    <row r="53" spans="2:6" x14ac:dyDescent="0.35">
      <c r="B53" s="100"/>
      <c r="C53" s="100"/>
      <c r="D53" s="100"/>
      <c r="E53" s="98"/>
      <c r="F53" s="98"/>
    </row>
    <row r="54" spans="2:6" x14ac:dyDescent="0.35">
      <c r="B54" s="100"/>
      <c r="C54" s="100"/>
      <c r="D54" s="100"/>
      <c r="E54" s="98"/>
      <c r="F54" s="98"/>
    </row>
    <row r="55" spans="2:6" x14ac:dyDescent="0.35">
      <c r="B55" s="100"/>
      <c r="C55" s="100"/>
      <c r="D55" s="100"/>
      <c r="E55" s="98"/>
      <c r="F55" s="98"/>
    </row>
    <row r="56" spans="2:6" x14ac:dyDescent="0.35">
      <c r="B56" s="100"/>
      <c r="C56" s="100"/>
      <c r="D56" s="100"/>
      <c r="E56" s="98"/>
      <c r="F56" s="98"/>
    </row>
    <row r="57" spans="2:6" x14ac:dyDescent="0.35">
      <c r="B57" s="100"/>
      <c r="C57" s="100"/>
      <c r="D57" s="100"/>
      <c r="E57" s="98"/>
      <c r="F57" s="98"/>
    </row>
    <row r="58" spans="2:6" x14ac:dyDescent="0.35">
      <c r="B58" s="100"/>
      <c r="C58" s="100"/>
      <c r="D58" s="100"/>
      <c r="E58" s="98"/>
      <c r="F58" s="98"/>
    </row>
  </sheetData>
  <mergeCells count="3">
    <mergeCell ref="I6:K6"/>
    <mergeCell ref="L6:N6"/>
    <mergeCell ref="B3:T3"/>
  </mergeCells>
  <pageMargins left="0.7" right="0.7" top="0.75" bottom="0.75" header="0.3" footer="0.3"/>
  <pageSetup scale="54"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1:I29"/>
  <sheetViews>
    <sheetView topLeftCell="C1" workbookViewId="0">
      <selection activeCell="G38" sqref="G38"/>
    </sheetView>
  </sheetViews>
  <sheetFormatPr defaultRowHeight="14.5" x14ac:dyDescent="0.35"/>
  <cols>
    <col min="1" max="2" width="0" hidden="1" customWidth="1"/>
    <col min="5" max="5" width="52.36328125" customWidth="1"/>
  </cols>
  <sheetData>
    <row r="1" spans="1:9" ht="39" x14ac:dyDescent="0.35">
      <c r="A1" s="7" t="s">
        <v>7</v>
      </c>
      <c r="B1" s="7" t="s">
        <v>8</v>
      </c>
      <c r="C1" s="7" t="s">
        <v>9</v>
      </c>
      <c r="D1" s="7" t="s">
        <v>259</v>
      </c>
      <c r="E1" s="7" t="s">
        <v>242</v>
      </c>
      <c r="F1" s="7" t="s">
        <v>243</v>
      </c>
      <c r="G1" s="7" t="s">
        <v>279</v>
      </c>
      <c r="H1" s="94" t="s">
        <v>255</v>
      </c>
      <c r="I1" s="94" t="s">
        <v>257</v>
      </c>
    </row>
    <row r="2" spans="1:9" ht="78" x14ac:dyDescent="0.35">
      <c r="A2" s="8">
        <v>1</v>
      </c>
      <c r="B2" s="9" t="s">
        <v>16</v>
      </c>
      <c r="C2" s="8" t="s">
        <v>1</v>
      </c>
      <c r="D2" s="86">
        <v>1</v>
      </c>
      <c r="E2" s="86" t="s">
        <v>212</v>
      </c>
      <c r="F2" s="86" t="s">
        <v>244</v>
      </c>
      <c r="G2" s="86">
        <f>D2</f>
        <v>1</v>
      </c>
      <c r="H2" s="9" t="s">
        <v>16</v>
      </c>
      <c r="I2" s="87">
        <v>1</v>
      </c>
    </row>
    <row r="3" spans="1:9" ht="78" x14ac:dyDescent="0.35">
      <c r="A3" s="8">
        <v>2</v>
      </c>
      <c r="B3" s="9" t="s">
        <v>24</v>
      </c>
      <c r="C3" s="8" t="s">
        <v>1</v>
      </c>
      <c r="D3" s="86">
        <v>2</v>
      </c>
      <c r="E3" s="86" t="s">
        <v>214</v>
      </c>
      <c r="F3" s="86" t="s">
        <v>244</v>
      </c>
      <c r="G3" s="86">
        <f t="shared" ref="G3:G12" si="0">D3</f>
        <v>2</v>
      </c>
      <c r="H3" s="9" t="s">
        <v>24</v>
      </c>
      <c r="I3" s="87">
        <v>2</v>
      </c>
    </row>
    <row r="4" spans="1:9" ht="52" x14ac:dyDescent="0.35">
      <c r="A4" s="8">
        <v>3</v>
      </c>
      <c r="B4" s="9" t="s">
        <v>29</v>
      </c>
      <c r="C4" s="8" t="s">
        <v>1</v>
      </c>
      <c r="D4" s="86">
        <v>3</v>
      </c>
      <c r="E4" s="86" t="s">
        <v>215</v>
      </c>
      <c r="F4" s="86" t="s">
        <v>244</v>
      </c>
      <c r="G4" s="86">
        <f t="shared" si="0"/>
        <v>3</v>
      </c>
      <c r="H4" s="9" t="s">
        <v>29</v>
      </c>
      <c r="I4" s="87">
        <v>3</v>
      </c>
    </row>
    <row r="5" spans="1:9" ht="52" x14ac:dyDescent="0.35">
      <c r="A5" s="8">
        <v>4</v>
      </c>
      <c r="B5" s="9" t="s">
        <v>33</v>
      </c>
      <c r="C5" s="8" t="s">
        <v>1</v>
      </c>
      <c r="D5" s="86">
        <v>4</v>
      </c>
      <c r="E5" s="86" t="s">
        <v>217</v>
      </c>
      <c r="F5" s="86" t="s">
        <v>244</v>
      </c>
      <c r="G5" s="86">
        <f t="shared" si="0"/>
        <v>4</v>
      </c>
      <c r="H5" s="9" t="s">
        <v>33</v>
      </c>
      <c r="I5" s="87">
        <v>4</v>
      </c>
    </row>
    <row r="6" spans="1:9" ht="65" x14ac:dyDescent="0.35">
      <c r="A6" s="8">
        <v>5</v>
      </c>
      <c r="B6" s="9" t="s">
        <v>37</v>
      </c>
      <c r="C6" s="8" t="s">
        <v>1</v>
      </c>
      <c r="D6" s="86">
        <v>5</v>
      </c>
      <c r="E6" s="86" t="s">
        <v>219</v>
      </c>
      <c r="F6" s="86" t="s">
        <v>244</v>
      </c>
      <c r="G6" s="86">
        <f t="shared" si="0"/>
        <v>5</v>
      </c>
      <c r="H6" s="9" t="s">
        <v>37</v>
      </c>
      <c r="I6" s="87">
        <v>5</v>
      </c>
    </row>
    <row r="7" spans="1:9" ht="39" x14ac:dyDescent="0.35">
      <c r="A7" s="8">
        <v>6</v>
      </c>
      <c r="B7" s="9" t="s">
        <v>41</v>
      </c>
      <c r="C7" s="8" t="s">
        <v>1</v>
      </c>
      <c r="D7" s="86">
        <v>6</v>
      </c>
      <c r="E7" s="86" t="s">
        <v>220</v>
      </c>
      <c r="F7" s="86" t="s">
        <v>244</v>
      </c>
      <c r="G7" s="86">
        <f t="shared" si="0"/>
        <v>6</v>
      </c>
      <c r="H7" s="9" t="s">
        <v>41</v>
      </c>
      <c r="I7" s="87">
        <v>6</v>
      </c>
    </row>
    <row r="8" spans="1:9" ht="52" x14ac:dyDescent="0.35">
      <c r="A8" s="8">
        <v>7</v>
      </c>
      <c r="B8" s="9" t="s">
        <v>44</v>
      </c>
      <c r="C8" s="8" t="s">
        <v>1</v>
      </c>
      <c r="D8" s="86">
        <v>7</v>
      </c>
      <c r="E8" s="86" t="s">
        <v>221</v>
      </c>
      <c r="F8" s="86" t="s">
        <v>244</v>
      </c>
      <c r="G8" s="86">
        <f t="shared" si="0"/>
        <v>7</v>
      </c>
      <c r="H8" s="9" t="s">
        <v>44</v>
      </c>
      <c r="I8" s="87">
        <v>7</v>
      </c>
    </row>
    <row r="9" spans="1:9" ht="65" x14ac:dyDescent="0.35">
      <c r="A9" s="8">
        <v>8</v>
      </c>
      <c r="B9" s="9" t="s">
        <v>47</v>
      </c>
      <c r="C9" s="8" t="s">
        <v>1</v>
      </c>
      <c r="D9" s="86">
        <v>8</v>
      </c>
      <c r="E9" s="86" t="s">
        <v>222</v>
      </c>
      <c r="F9" s="86" t="s">
        <v>244</v>
      </c>
      <c r="G9" s="86">
        <f t="shared" si="0"/>
        <v>8</v>
      </c>
      <c r="H9" s="9" t="s">
        <v>47</v>
      </c>
      <c r="I9" s="87">
        <v>8</v>
      </c>
    </row>
    <row r="10" spans="1:9" ht="52" x14ac:dyDescent="0.35">
      <c r="A10" s="8">
        <v>9</v>
      </c>
      <c r="B10" s="9" t="s">
        <v>49</v>
      </c>
      <c r="C10" s="8" t="s">
        <v>1</v>
      </c>
      <c r="D10" s="86">
        <v>9</v>
      </c>
      <c r="E10" s="86" t="s">
        <v>223</v>
      </c>
      <c r="F10" s="86" t="s">
        <v>244</v>
      </c>
      <c r="G10" s="86">
        <f t="shared" si="0"/>
        <v>9</v>
      </c>
      <c r="H10" s="9" t="s">
        <v>49</v>
      </c>
      <c r="I10" s="87">
        <v>9</v>
      </c>
    </row>
    <row r="11" spans="1:9" ht="52" x14ac:dyDescent="0.35">
      <c r="A11" s="8">
        <v>10</v>
      </c>
      <c r="B11" s="9" t="s">
        <v>51</v>
      </c>
      <c r="C11" s="8" t="s">
        <v>1</v>
      </c>
      <c r="D11" s="86">
        <v>10</v>
      </c>
      <c r="E11" s="86" t="s">
        <v>224</v>
      </c>
      <c r="F11" s="86" t="s">
        <v>244</v>
      </c>
      <c r="G11" s="86">
        <f t="shared" si="0"/>
        <v>10</v>
      </c>
      <c r="H11" s="9" t="s">
        <v>51</v>
      </c>
      <c r="I11" s="87">
        <v>10</v>
      </c>
    </row>
    <row r="12" spans="1:9" ht="78" x14ac:dyDescent="0.35">
      <c r="A12" s="8">
        <v>11</v>
      </c>
      <c r="B12" s="9" t="s">
        <v>53</v>
      </c>
      <c r="C12" s="8" t="s">
        <v>1</v>
      </c>
      <c r="D12" s="86">
        <v>11</v>
      </c>
      <c r="E12" s="86" t="s">
        <v>225</v>
      </c>
      <c r="F12" s="86" t="s">
        <v>244</v>
      </c>
      <c r="G12" s="86">
        <f t="shared" si="0"/>
        <v>11</v>
      </c>
      <c r="H12" s="9" t="s">
        <v>53</v>
      </c>
      <c r="I12" s="87">
        <v>11</v>
      </c>
    </row>
    <row r="13" spans="1:9" ht="39" x14ac:dyDescent="0.35">
      <c r="A13" s="8">
        <v>12</v>
      </c>
      <c r="B13" s="95" t="s">
        <v>55</v>
      </c>
      <c r="C13" s="8" t="s">
        <v>0</v>
      </c>
      <c r="D13" s="86">
        <v>12</v>
      </c>
      <c r="E13" s="86" t="s">
        <v>228</v>
      </c>
      <c r="F13" s="86" t="s">
        <v>245</v>
      </c>
      <c r="G13" s="86">
        <v>14</v>
      </c>
      <c r="H13" s="9" t="s">
        <v>60</v>
      </c>
      <c r="I13" s="87">
        <v>14</v>
      </c>
    </row>
    <row r="14" spans="1:9" ht="65" x14ac:dyDescent="0.35">
      <c r="A14" s="8">
        <v>13</v>
      </c>
      <c r="B14" s="95" t="s">
        <v>58</v>
      </c>
      <c r="C14" s="8" t="s">
        <v>0</v>
      </c>
      <c r="D14" s="86">
        <v>13</v>
      </c>
      <c r="E14" s="86" t="s">
        <v>232</v>
      </c>
      <c r="F14" s="86" t="s">
        <v>245</v>
      </c>
      <c r="G14" s="86">
        <v>15</v>
      </c>
      <c r="H14" s="9" t="s">
        <v>62</v>
      </c>
      <c r="I14" s="87">
        <v>15</v>
      </c>
    </row>
    <row r="15" spans="1:9" ht="78" x14ac:dyDescent="0.35">
      <c r="A15" s="8">
        <v>14</v>
      </c>
      <c r="B15" s="9" t="s">
        <v>60</v>
      </c>
      <c r="C15" s="8" t="s">
        <v>0</v>
      </c>
      <c r="D15" s="86">
        <v>14</v>
      </c>
      <c r="E15" s="86" t="s">
        <v>233</v>
      </c>
      <c r="F15" s="86" t="s">
        <v>245</v>
      </c>
      <c r="G15" s="86">
        <v>16</v>
      </c>
      <c r="H15" s="9" t="s">
        <v>65</v>
      </c>
      <c r="I15" s="87">
        <v>16</v>
      </c>
    </row>
    <row r="16" spans="1:9" ht="65" x14ac:dyDescent="0.35">
      <c r="A16" s="8">
        <v>15</v>
      </c>
      <c r="B16" s="9" t="s">
        <v>62</v>
      </c>
      <c r="C16" s="8" t="s">
        <v>0</v>
      </c>
      <c r="D16" s="86">
        <v>15</v>
      </c>
      <c r="E16" s="86" t="s">
        <v>235</v>
      </c>
      <c r="F16" s="86" t="s">
        <v>245</v>
      </c>
      <c r="G16" s="86">
        <v>17</v>
      </c>
      <c r="H16" s="9" t="s">
        <v>67</v>
      </c>
      <c r="I16" s="87">
        <v>17</v>
      </c>
    </row>
    <row r="17" spans="1:9" ht="78" x14ac:dyDescent="0.35">
      <c r="A17" s="8">
        <v>16</v>
      </c>
      <c r="B17" s="9" t="s">
        <v>65</v>
      </c>
      <c r="C17" s="8" t="s">
        <v>0</v>
      </c>
      <c r="D17" s="86">
        <v>16</v>
      </c>
      <c r="E17" s="86" t="s">
        <v>236</v>
      </c>
      <c r="F17" s="86" t="s">
        <v>245</v>
      </c>
      <c r="G17" s="86">
        <v>18</v>
      </c>
      <c r="H17" s="9" t="s">
        <v>69</v>
      </c>
      <c r="I17" s="87">
        <v>18</v>
      </c>
    </row>
    <row r="18" spans="1:9" ht="65" x14ac:dyDescent="0.35">
      <c r="A18" s="8">
        <v>17</v>
      </c>
      <c r="B18" s="9" t="s">
        <v>67</v>
      </c>
      <c r="C18" s="8" t="s">
        <v>0</v>
      </c>
      <c r="D18" s="86">
        <v>17</v>
      </c>
      <c r="E18" s="86" t="s">
        <v>237</v>
      </c>
      <c r="F18" s="86" t="s">
        <v>245</v>
      </c>
      <c r="G18" s="86">
        <v>19</v>
      </c>
      <c r="H18" s="9" t="s">
        <v>71</v>
      </c>
      <c r="I18" s="87">
        <v>19</v>
      </c>
    </row>
    <row r="19" spans="1:9" ht="65" x14ac:dyDescent="0.35">
      <c r="A19" s="8">
        <v>18</v>
      </c>
      <c r="B19" s="9" t="s">
        <v>69</v>
      </c>
      <c r="C19" s="8" t="s">
        <v>0</v>
      </c>
      <c r="D19" s="86">
        <v>18</v>
      </c>
      <c r="E19" s="86" t="s">
        <v>238</v>
      </c>
      <c r="F19" s="86" t="s">
        <v>245</v>
      </c>
      <c r="G19" s="86">
        <v>20</v>
      </c>
      <c r="H19" s="9" t="s">
        <v>75</v>
      </c>
      <c r="I19" s="87">
        <v>20</v>
      </c>
    </row>
    <row r="20" spans="1:9" ht="91" x14ac:dyDescent="0.35">
      <c r="A20" s="8">
        <v>19</v>
      </c>
      <c r="B20" s="9" t="s">
        <v>71</v>
      </c>
      <c r="C20" s="8" t="s">
        <v>0</v>
      </c>
      <c r="D20" s="86" t="s">
        <v>263</v>
      </c>
      <c r="E20" s="86" t="s">
        <v>239</v>
      </c>
      <c r="F20" s="86" t="s">
        <v>245</v>
      </c>
      <c r="G20" s="86" t="s">
        <v>86</v>
      </c>
      <c r="H20" s="9" t="s">
        <v>260</v>
      </c>
      <c r="I20" s="87" t="s">
        <v>86</v>
      </c>
    </row>
    <row r="21" spans="1:9" ht="91" x14ac:dyDescent="0.35">
      <c r="A21" s="8">
        <v>19</v>
      </c>
      <c r="B21" s="9" t="s">
        <v>71</v>
      </c>
      <c r="C21" s="8" t="s">
        <v>0</v>
      </c>
      <c r="D21" s="102" t="s">
        <v>264</v>
      </c>
      <c r="E21" s="102" t="s">
        <v>239</v>
      </c>
      <c r="F21" s="102" t="s">
        <v>245</v>
      </c>
      <c r="G21" s="102" t="s">
        <v>87</v>
      </c>
      <c r="H21" s="9" t="s">
        <v>261</v>
      </c>
      <c r="I21" s="102" t="s">
        <v>87</v>
      </c>
    </row>
    <row r="22" spans="1:9" ht="65" x14ac:dyDescent="0.35">
      <c r="A22" s="8">
        <v>20</v>
      </c>
      <c r="B22" s="9" t="s">
        <v>75</v>
      </c>
      <c r="C22" s="8" t="s">
        <v>0</v>
      </c>
      <c r="D22" s="86">
        <v>20</v>
      </c>
      <c r="E22" s="86" t="s">
        <v>240</v>
      </c>
      <c r="F22" s="86" t="s">
        <v>245</v>
      </c>
      <c r="G22" s="86">
        <v>22</v>
      </c>
      <c r="H22" s="9" t="s">
        <v>79</v>
      </c>
      <c r="I22" s="87">
        <v>22</v>
      </c>
    </row>
    <row r="23" spans="1:9" ht="14.5" customHeight="1" x14ac:dyDescent="0.35">
      <c r="A23" s="84">
        <v>21</v>
      </c>
      <c r="B23" s="83" t="s">
        <v>77</v>
      </c>
      <c r="C23" s="85" t="s">
        <v>2</v>
      </c>
      <c r="D23" s="86">
        <v>21</v>
      </c>
      <c r="E23" s="86" t="s">
        <v>241</v>
      </c>
      <c r="F23" s="86" t="s">
        <v>245</v>
      </c>
      <c r="G23" s="86">
        <v>23</v>
      </c>
      <c r="H23" s="9" t="s">
        <v>81</v>
      </c>
      <c r="I23" s="87">
        <v>23</v>
      </c>
    </row>
    <row r="24" spans="1:9" ht="52" x14ac:dyDescent="0.35">
      <c r="A24" s="8">
        <v>22</v>
      </c>
      <c r="B24" s="9" t="s">
        <v>79</v>
      </c>
      <c r="C24" s="8" t="s">
        <v>0</v>
      </c>
      <c r="D24" s="86">
        <v>22</v>
      </c>
      <c r="E24" s="86" t="s">
        <v>226</v>
      </c>
      <c r="F24" s="86" t="s">
        <v>245</v>
      </c>
      <c r="G24" s="86">
        <v>24</v>
      </c>
      <c r="H24" s="9" t="s">
        <v>83</v>
      </c>
      <c r="I24" s="87">
        <v>24</v>
      </c>
    </row>
    <row r="25" spans="1:9" ht="78" x14ac:dyDescent="0.35">
      <c r="A25" s="8">
        <v>23</v>
      </c>
      <c r="B25" s="9" t="s">
        <v>81</v>
      </c>
      <c r="C25" s="8" t="s">
        <v>0</v>
      </c>
      <c r="D25" s="103">
        <v>23</v>
      </c>
      <c r="E25" s="96" t="s">
        <v>227</v>
      </c>
      <c r="F25" s="103" t="s">
        <v>245</v>
      </c>
      <c r="G25" s="96">
        <v>27</v>
      </c>
      <c r="H25" s="96" t="s">
        <v>227</v>
      </c>
      <c r="I25" s="137"/>
    </row>
    <row r="26" spans="1:9" ht="39" x14ac:dyDescent="0.35">
      <c r="A26" s="8"/>
      <c r="B26" s="95" t="s">
        <v>55</v>
      </c>
      <c r="C26" s="8" t="s">
        <v>0</v>
      </c>
      <c r="D26" s="103"/>
      <c r="E26" s="96" t="s">
        <v>55</v>
      </c>
      <c r="F26" s="103" t="s">
        <v>245</v>
      </c>
      <c r="G26" s="103">
        <v>12</v>
      </c>
      <c r="H26" s="9" t="s">
        <v>55</v>
      </c>
      <c r="I26" s="103">
        <v>12</v>
      </c>
    </row>
    <row r="27" spans="1:9" ht="52" x14ac:dyDescent="0.35">
      <c r="A27" s="109"/>
      <c r="B27" s="95" t="s">
        <v>58</v>
      </c>
      <c r="C27" s="8" t="s">
        <v>0</v>
      </c>
      <c r="D27" s="103"/>
      <c r="E27" s="96" t="s">
        <v>58</v>
      </c>
      <c r="F27" s="103" t="s">
        <v>245</v>
      </c>
      <c r="G27" s="103">
        <v>13</v>
      </c>
      <c r="H27" s="9" t="s">
        <v>58</v>
      </c>
      <c r="I27" s="103">
        <v>13</v>
      </c>
    </row>
    <row r="28" spans="1:9" ht="52" x14ac:dyDescent="0.35">
      <c r="A28" s="138">
        <v>12</v>
      </c>
      <c r="B28" s="9" t="s">
        <v>60</v>
      </c>
      <c r="C28" s="8" t="s">
        <v>0</v>
      </c>
      <c r="D28" s="22">
        <v>14</v>
      </c>
      <c r="E28" s="136" t="s">
        <v>133</v>
      </c>
      <c r="F28" s="22" t="s">
        <v>245</v>
      </c>
      <c r="G28" s="22">
        <v>14</v>
      </c>
      <c r="H28" s="9" t="s">
        <v>133</v>
      </c>
      <c r="I28" s="103">
        <v>25</v>
      </c>
    </row>
    <row r="29" spans="1:9" ht="78" x14ac:dyDescent="0.35">
      <c r="A29" s="138">
        <v>21</v>
      </c>
      <c r="B29" s="83" t="s">
        <v>77</v>
      </c>
      <c r="C29" s="8" t="s">
        <v>0</v>
      </c>
      <c r="D29" s="22">
        <v>19</v>
      </c>
      <c r="E29" s="103" t="s">
        <v>239</v>
      </c>
      <c r="F29" s="22" t="s">
        <v>245</v>
      </c>
      <c r="G29" s="22">
        <v>21</v>
      </c>
      <c r="H29" s="9" t="s">
        <v>77</v>
      </c>
      <c r="I29" s="103" t="s">
        <v>86</v>
      </c>
    </row>
  </sheetData>
  <pageMargins left="0.7" right="0.7" top="0.75" bottom="0.75" header="0.3" footer="0.3"/>
  <pageSetup scale="28"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34"/>
  <sheetViews>
    <sheetView view="pageLayout" zoomScaleNormal="100" workbookViewId="0">
      <selection activeCell="C8" sqref="C8:U8"/>
    </sheetView>
  </sheetViews>
  <sheetFormatPr defaultColWidth="10.7265625" defaultRowHeight="13" outlineLevelCol="1" x14ac:dyDescent="0.3"/>
  <cols>
    <col min="1" max="1" width="2.7265625" style="1" customWidth="1"/>
    <col min="2" max="2" width="5.7265625" style="1" customWidth="1"/>
    <col min="3" max="3" width="30.7265625" style="2" customWidth="1"/>
    <col min="4" max="4" width="15.7265625" style="1" customWidth="1"/>
    <col min="5" max="5" width="60.7265625" style="1" customWidth="1"/>
    <col min="6" max="7" width="10.7265625" style="1" customWidth="1" outlineLevel="1"/>
    <col min="8" max="10" width="15.7265625" style="1" customWidth="1" outlineLevel="1"/>
    <col min="11" max="13" width="5.7265625" style="1" customWidth="1"/>
    <col min="14" max="22" width="7.7265625" style="1" customWidth="1" outlineLevel="1"/>
    <col min="23" max="23" width="2.7265625" style="3" customWidth="1"/>
    <col min="24" max="16384" width="10.7265625" style="3"/>
  </cols>
  <sheetData>
    <row r="1" spans="2:22" x14ac:dyDescent="0.3">
      <c r="C1" s="2" t="s">
        <v>0</v>
      </c>
      <c r="D1" s="1">
        <f>COUNTIF($D$7:$D$31,$C1)</f>
        <v>12</v>
      </c>
    </row>
    <row r="2" spans="2:22" x14ac:dyDescent="0.3">
      <c r="C2" s="2" t="s">
        <v>1</v>
      </c>
      <c r="D2" s="1">
        <f>COUNTIF($D$7:$D$31,$C2)</f>
        <v>13</v>
      </c>
    </row>
    <row r="3" spans="2:22" x14ac:dyDescent="0.3">
      <c r="C3" s="2" t="s">
        <v>2</v>
      </c>
      <c r="D3" s="1">
        <f>COUNTIF($D$7:$D$31,$C3)</f>
        <v>0</v>
      </c>
    </row>
    <row r="4" spans="2:22" x14ac:dyDescent="0.3">
      <c r="C4" s="4" t="s">
        <v>3</v>
      </c>
      <c r="D4" s="5">
        <f>SUM(D1:D3)</f>
        <v>25</v>
      </c>
      <c r="N4" s="6" t="s">
        <v>4</v>
      </c>
      <c r="O4" s="2"/>
      <c r="P4" s="2"/>
      <c r="Q4" s="2"/>
      <c r="R4" s="2"/>
      <c r="S4" s="2"/>
      <c r="T4" s="2"/>
      <c r="U4" s="2"/>
      <c r="V4" s="2"/>
    </row>
    <row r="5" spans="2:22" x14ac:dyDescent="0.3">
      <c r="K5" s="154" t="s">
        <v>5</v>
      </c>
      <c r="L5" s="154"/>
      <c r="M5" s="154"/>
      <c r="N5" s="154" t="s">
        <v>6</v>
      </c>
      <c r="O5" s="154"/>
      <c r="P5" s="154"/>
      <c r="Q5" s="154"/>
      <c r="R5" s="154"/>
      <c r="S5" s="154"/>
      <c r="T5" s="154"/>
      <c r="U5" s="154"/>
      <c r="V5" s="154"/>
    </row>
    <row r="6" spans="2:22" ht="52" x14ac:dyDescent="0.3">
      <c r="B6" s="7" t="s">
        <v>7</v>
      </c>
      <c r="C6" s="7" t="s">
        <v>8</v>
      </c>
      <c r="D6" s="7" t="s">
        <v>9</v>
      </c>
      <c r="E6" s="7" t="s">
        <v>10</v>
      </c>
      <c r="F6" s="7" t="s">
        <v>11</v>
      </c>
      <c r="G6" s="7" t="s">
        <v>12</v>
      </c>
      <c r="H6" s="7" t="s">
        <v>13</v>
      </c>
      <c r="I6" s="7" t="s">
        <v>14</v>
      </c>
      <c r="J6" s="7" t="s">
        <v>15</v>
      </c>
      <c r="K6" s="7">
        <v>2</v>
      </c>
      <c r="L6" s="7">
        <v>3</v>
      </c>
      <c r="M6" s="7">
        <v>4</v>
      </c>
      <c r="N6" s="7">
        <v>2022</v>
      </c>
      <c r="O6" s="7">
        <v>2023</v>
      </c>
      <c r="P6" s="7">
        <v>2024</v>
      </c>
      <c r="Q6" s="7">
        <v>2025</v>
      </c>
      <c r="R6" s="7">
        <v>2026</v>
      </c>
      <c r="S6" s="7">
        <v>2027</v>
      </c>
      <c r="T6" s="7">
        <v>2028</v>
      </c>
      <c r="U6" s="7">
        <v>2029</v>
      </c>
      <c r="V6" s="7">
        <v>2030</v>
      </c>
    </row>
    <row r="7" spans="2:22" ht="52" x14ac:dyDescent="0.3">
      <c r="B7" s="8">
        <v>1</v>
      </c>
      <c r="C7" s="9" t="s">
        <v>16</v>
      </c>
      <c r="D7" s="8" t="s">
        <v>1</v>
      </c>
      <c r="E7" s="10" t="s">
        <v>17</v>
      </c>
      <c r="F7" s="11" t="s">
        <v>18</v>
      </c>
      <c r="G7" s="11" t="s">
        <v>19</v>
      </c>
      <c r="H7" s="11" t="s">
        <v>20</v>
      </c>
      <c r="I7" s="11" t="s">
        <v>21</v>
      </c>
      <c r="J7" s="11" t="s">
        <v>22</v>
      </c>
      <c r="K7" s="11" t="s">
        <v>23</v>
      </c>
      <c r="L7" s="11"/>
      <c r="M7" s="11"/>
      <c r="N7" s="12">
        <v>6.8</v>
      </c>
      <c r="O7" s="12">
        <v>7</v>
      </c>
      <c r="P7" s="12">
        <v>7.2</v>
      </c>
      <c r="Q7" s="12">
        <v>7.4</v>
      </c>
      <c r="R7" s="12">
        <v>7.4</v>
      </c>
      <c r="S7" s="12">
        <v>7.6</v>
      </c>
      <c r="T7" s="12">
        <v>7.6</v>
      </c>
      <c r="U7" s="12">
        <v>7.8</v>
      </c>
      <c r="V7" s="12">
        <v>7.8</v>
      </c>
    </row>
    <row r="8" spans="2:22" ht="39" x14ac:dyDescent="0.3">
      <c r="B8" s="8">
        <v>2</v>
      </c>
      <c r="C8" s="9" t="s">
        <v>24</v>
      </c>
      <c r="D8" s="8" t="s">
        <v>1</v>
      </c>
      <c r="E8" s="10" t="s">
        <v>25</v>
      </c>
      <c r="F8" s="11" t="s">
        <v>26</v>
      </c>
      <c r="G8" s="11" t="s">
        <v>19</v>
      </c>
      <c r="H8" s="11" t="s">
        <v>27</v>
      </c>
      <c r="I8" s="11" t="s">
        <v>28</v>
      </c>
      <c r="J8" s="11" t="s">
        <v>22</v>
      </c>
      <c r="K8" s="11" t="s">
        <v>23</v>
      </c>
      <c r="L8" s="11"/>
      <c r="M8" s="11"/>
      <c r="N8" s="12">
        <v>0</v>
      </c>
      <c r="O8" s="12">
        <v>0</v>
      </c>
      <c r="P8" s="12">
        <v>0</v>
      </c>
      <c r="Q8" s="12">
        <v>0</v>
      </c>
      <c r="R8" s="12">
        <v>0</v>
      </c>
      <c r="S8" s="12">
        <v>0</v>
      </c>
      <c r="T8" s="12">
        <v>5</v>
      </c>
      <c r="U8" s="12">
        <v>5</v>
      </c>
      <c r="V8" s="12">
        <v>5</v>
      </c>
    </row>
    <row r="9" spans="2:22" ht="26" x14ac:dyDescent="0.3">
      <c r="B9" s="8">
        <v>3</v>
      </c>
      <c r="C9" s="9" t="s">
        <v>29</v>
      </c>
      <c r="D9" s="8" t="s">
        <v>1</v>
      </c>
      <c r="E9" s="10" t="s">
        <v>30</v>
      </c>
      <c r="F9" s="11" t="s">
        <v>18</v>
      </c>
      <c r="G9" s="11" t="s">
        <v>31</v>
      </c>
      <c r="H9" s="11" t="s">
        <v>20</v>
      </c>
      <c r="I9" s="11" t="s">
        <v>32</v>
      </c>
      <c r="J9" s="11" t="s">
        <v>22</v>
      </c>
      <c r="K9" s="11"/>
      <c r="L9" s="11" t="s">
        <v>23</v>
      </c>
      <c r="M9" s="11" t="s">
        <v>23</v>
      </c>
      <c r="N9" s="12">
        <v>0.4</v>
      </c>
      <c r="O9" s="12">
        <v>0.6</v>
      </c>
      <c r="P9" s="12">
        <v>0.8</v>
      </c>
      <c r="Q9" s="12">
        <v>1.2</v>
      </c>
      <c r="R9" s="12">
        <v>1.6</v>
      </c>
      <c r="S9" s="12">
        <v>2</v>
      </c>
      <c r="T9" s="12">
        <v>2.4</v>
      </c>
      <c r="U9" s="12">
        <v>2.8</v>
      </c>
      <c r="V9" s="12">
        <v>3.4</v>
      </c>
    </row>
    <row r="10" spans="2:22" ht="39" x14ac:dyDescent="0.3">
      <c r="B10" s="8">
        <v>4</v>
      </c>
      <c r="C10" s="9" t="s">
        <v>33</v>
      </c>
      <c r="D10" s="8" t="s">
        <v>1</v>
      </c>
      <c r="E10" s="10" t="s">
        <v>34</v>
      </c>
      <c r="F10" s="11" t="s">
        <v>26</v>
      </c>
      <c r="G10" s="11" t="s">
        <v>35</v>
      </c>
      <c r="H10" s="11" t="s">
        <v>20</v>
      </c>
      <c r="I10" s="11" t="s">
        <v>36</v>
      </c>
      <c r="J10" s="11" t="s">
        <v>22</v>
      </c>
      <c r="K10" s="11" t="s">
        <v>23</v>
      </c>
      <c r="L10" s="11"/>
      <c r="M10" s="11" t="s">
        <v>23</v>
      </c>
      <c r="N10" s="12">
        <v>3.6</v>
      </c>
      <c r="O10" s="12">
        <v>7.2</v>
      </c>
      <c r="P10" s="12">
        <v>7.2</v>
      </c>
      <c r="Q10" s="12">
        <v>7.2</v>
      </c>
      <c r="R10" s="12">
        <v>14.4</v>
      </c>
      <c r="S10" s="12">
        <v>14.4</v>
      </c>
      <c r="T10" s="12">
        <v>28.8</v>
      </c>
      <c r="U10" s="12">
        <v>36</v>
      </c>
      <c r="V10" s="12">
        <v>36</v>
      </c>
    </row>
    <row r="11" spans="2:22" ht="39" x14ac:dyDescent="0.3">
      <c r="B11" s="8">
        <v>5</v>
      </c>
      <c r="C11" s="9" t="s">
        <v>37</v>
      </c>
      <c r="D11" s="8" t="s">
        <v>1</v>
      </c>
      <c r="E11" s="10" t="s">
        <v>38</v>
      </c>
      <c r="F11" s="11" t="s">
        <v>18</v>
      </c>
      <c r="G11" s="11" t="s">
        <v>39</v>
      </c>
      <c r="H11" s="11" t="s">
        <v>27</v>
      </c>
      <c r="I11" s="11" t="s">
        <v>40</v>
      </c>
      <c r="J11" s="11" t="s">
        <v>22</v>
      </c>
      <c r="K11" s="11"/>
      <c r="L11" s="11" t="s">
        <v>23</v>
      </c>
      <c r="M11" s="11" t="s">
        <v>23</v>
      </c>
      <c r="N11" s="12">
        <v>0.5</v>
      </c>
      <c r="O11" s="12">
        <v>0.75</v>
      </c>
      <c r="P11" s="12">
        <v>0.75</v>
      </c>
      <c r="Q11" s="12">
        <v>0.75</v>
      </c>
      <c r="R11" s="12">
        <v>1.75</v>
      </c>
      <c r="S11" s="12">
        <v>1.75</v>
      </c>
      <c r="T11" s="12">
        <v>3.25</v>
      </c>
      <c r="U11" s="12">
        <v>4.25</v>
      </c>
      <c r="V11" s="12">
        <v>4.25</v>
      </c>
    </row>
    <row r="12" spans="2:22" ht="39" x14ac:dyDescent="0.3">
      <c r="B12" s="8">
        <v>6</v>
      </c>
      <c r="C12" s="9" t="s">
        <v>41</v>
      </c>
      <c r="D12" s="8" t="s">
        <v>1</v>
      </c>
      <c r="E12" s="10" t="s">
        <v>42</v>
      </c>
      <c r="F12" s="11" t="s">
        <v>26</v>
      </c>
      <c r="G12" s="11" t="s">
        <v>35</v>
      </c>
      <c r="H12" s="11" t="s">
        <v>27</v>
      </c>
      <c r="I12" s="11" t="s">
        <v>36</v>
      </c>
      <c r="J12" s="11" t="s">
        <v>43</v>
      </c>
      <c r="K12" s="11" t="s">
        <v>23</v>
      </c>
      <c r="L12" s="11"/>
      <c r="M12" s="11"/>
      <c r="N12" s="12">
        <v>0</v>
      </c>
      <c r="O12" s="12">
        <v>0</v>
      </c>
      <c r="P12" s="12">
        <v>0</v>
      </c>
      <c r="Q12" s="12">
        <v>0</v>
      </c>
      <c r="R12" s="12">
        <v>0</v>
      </c>
      <c r="S12" s="12">
        <v>0</v>
      </c>
      <c r="T12" s="12">
        <v>0</v>
      </c>
      <c r="U12" s="12">
        <v>0</v>
      </c>
      <c r="V12" s="12">
        <v>0</v>
      </c>
    </row>
    <row r="13" spans="2:22" ht="52" x14ac:dyDescent="0.3">
      <c r="B13" s="8">
        <v>7</v>
      </c>
      <c r="C13" s="9" t="s">
        <v>44</v>
      </c>
      <c r="D13" s="8" t="s">
        <v>1</v>
      </c>
      <c r="E13" s="10" t="s">
        <v>45</v>
      </c>
      <c r="F13" s="11" t="s">
        <v>26</v>
      </c>
      <c r="G13" s="11" t="s">
        <v>35</v>
      </c>
      <c r="H13" s="11" t="s">
        <v>27</v>
      </c>
      <c r="I13" s="11" t="s">
        <v>28</v>
      </c>
      <c r="J13" s="11" t="s">
        <v>46</v>
      </c>
      <c r="K13" s="11" t="s">
        <v>23</v>
      </c>
      <c r="L13" s="11"/>
      <c r="M13" s="11"/>
      <c r="N13" s="12">
        <v>0</v>
      </c>
      <c r="O13" s="12">
        <v>0</v>
      </c>
      <c r="P13" s="12">
        <v>0</v>
      </c>
      <c r="Q13" s="12">
        <v>0</v>
      </c>
      <c r="R13" s="12">
        <v>0</v>
      </c>
      <c r="S13" s="12">
        <v>0</v>
      </c>
      <c r="T13" s="12">
        <v>0</v>
      </c>
      <c r="U13" s="12">
        <v>0</v>
      </c>
      <c r="V13" s="12">
        <v>0</v>
      </c>
    </row>
    <row r="14" spans="2:22" ht="39" x14ac:dyDescent="0.3">
      <c r="B14" s="8">
        <v>8</v>
      </c>
      <c r="C14" s="9" t="s">
        <v>47</v>
      </c>
      <c r="D14" s="8" t="s">
        <v>1</v>
      </c>
      <c r="E14" s="10" t="s">
        <v>48</v>
      </c>
      <c r="F14" s="11" t="s">
        <v>26</v>
      </c>
      <c r="G14" s="11" t="s">
        <v>35</v>
      </c>
      <c r="H14" s="11" t="s">
        <v>27</v>
      </c>
      <c r="I14" s="11" t="s">
        <v>28</v>
      </c>
      <c r="J14" s="11" t="s">
        <v>43</v>
      </c>
      <c r="K14" s="11" t="s">
        <v>23</v>
      </c>
      <c r="L14" s="11"/>
      <c r="M14" s="11"/>
      <c r="N14" s="12">
        <v>0</v>
      </c>
      <c r="O14" s="12">
        <v>0</v>
      </c>
      <c r="P14" s="12">
        <v>0</v>
      </c>
      <c r="Q14" s="12">
        <v>0</v>
      </c>
      <c r="R14" s="12">
        <v>0</v>
      </c>
      <c r="S14" s="12">
        <v>0</v>
      </c>
      <c r="T14" s="12">
        <v>0</v>
      </c>
      <c r="U14" s="12">
        <v>0</v>
      </c>
      <c r="V14" s="12">
        <v>0</v>
      </c>
    </row>
    <row r="15" spans="2:22" ht="26" x14ac:dyDescent="0.3">
      <c r="B15" s="8">
        <v>9</v>
      </c>
      <c r="C15" s="9" t="s">
        <v>49</v>
      </c>
      <c r="D15" s="8" t="s">
        <v>1</v>
      </c>
      <c r="E15" s="10" t="s">
        <v>50</v>
      </c>
      <c r="F15" s="11" t="s">
        <v>18</v>
      </c>
      <c r="G15" s="11" t="s">
        <v>31</v>
      </c>
      <c r="H15" s="11" t="s">
        <v>20</v>
      </c>
      <c r="I15" s="11" t="s">
        <v>32</v>
      </c>
      <c r="J15" s="11" t="s">
        <v>22</v>
      </c>
      <c r="K15" s="11"/>
      <c r="L15" s="11" t="s">
        <v>23</v>
      </c>
      <c r="M15" s="11"/>
      <c r="N15" s="12">
        <v>0.26500000000000001</v>
      </c>
      <c r="O15" s="12">
        <v>0.315</v>
      </c>
      <c r="P15" s="12">
        <v>0.37</v>
      </c>
      <c r="Q15" s="12">
        <v>0.43</v>
      </c>
      <c r="R15" s="12">
        <v>0.495</v>
      </c>
      <c r="S15" s="12">
        <v>0.56000000000000005</v>
      </c>
      <c r="T15" s="12">
        <v>0.63</v>
      </c>
      <c r="U15" s="12">
        <v>0.69499999999999995</v>
      </c>
      <c r="V15" s="12">
        <v>0.76500000000000001</v>
      </c>
    </row>
    <row r="16" spans="2:22" ht="26" x14ac:dyDescent="0.3">
      <c r="B16" s="8">
        <v>10</v>
      </c>
      <c r="C16" s="9" t="s">
        <v>51</v>
      </c>
      <c r="D16" s="8" t="s">
        <v>1</v>
      </c>
      <c r="E16" s="10" t="s">
        <v>52</v>
      </c>
      <c r="F16" s="11" t="s">
        <v>18</v>
      </c>
      <c r="G16" s="11" t="s">
        <v>35</v>
      </c>
      <c r="H16" s="11" t="s">
        <v>20</v>
      </c>
      <c r="I16" s="11" t="s">
        <v>36</v>
      </c>
      <c r="J16" s="11" t="s">
        <v>22</v>
      </c>
      <c r="K16" s="11"/>
      <c r="L16" s="11" t="s">
        <v>23</v>
      </c>
      <c r="M16" s="11" t="s">
        <v>23</v>
      </c>
      <c r="N16" s="12">
        <v>1.1200000000000001</v>
      </c>
      <c r="O16" s="12">
        <v>1.145</v>
      </c>
      <c r="P16" s="12">
        <v>1.165</v>
      </c>
      <c r="Q16" s="12">
        <v>1.1850000000000001</v>
      </c>
      <c r="R16" s="12">
        <v>1.2</v>
      </c>
      <c r="S16" s="12">
        <v>1.2150000000000001</v>
      </c>
      <c r="T16" s="12">
        <v>1.23</v>
      </c>
      <c r="U16" s="12">
        <v>1.2450000000000001</v>
      </c>
      <c r="V16" s="12">
        <v>1.26</v>
      </c>
    </row>
    <row r="17" spans="1:22" ht="39" x14ac:dyDescent="0.3">
      <c r="B17" s="8">
        <v>11</v>
      </c>
      <c r="C17" s="9" t="s">
        <v>53</v>
      </c>
      <c r="D17" s="8" t="s">
        <v>1</v>
      </c>
      <c r="E17" s="10" t="s">
        <v>54</v>
      </c>
      <c r="F17" s="11" t="s">
        <v>18</v>
      </c>
      <c r="G17" s="11" t="s">
        <v>35</v>
      </c>
      <c r="H17" s="11" t="s">
        <v>20</v>
      </c>
      <c r="I17" s="11" t="s">
        <v>36</v>
      </c>
      <c r="J17" s="11" t="s">
        <v>22</v>
      </c>
      <c r="K17" s="11"/>
      <c r="L17" s="11"/>
      <c r="M17" s="11" t="s">
        <v>23</v>
      </c>
      <c r="N17" s="12">
        <v>0.11</v>
      </c>
      <c r="O17" s="12">
        <v>0.11</v>
      </c>
      <c r="P17" s="12">
        <v>0.11</v>
      </c>
      <c r="Q17" s="12">
        <v>0.11</v>
      </c>
      <c r="R17" s="12">
        <v>0.11</v>
      </c>
      <c r="S17" s="12">
        <v>0.11</v>
      </c>
      <c r="T17" s="12">
        <v>0.11</v>
      </c>
      <c r="U17" s="12">
        <v>0.11</v>
      </c>
      <c r="V17" s="12">
        <v>0.11</v>
      </c>
    </row>
    <row r="18" spans="1:22" ht="26" x14ac:dyDescent="0.3">
      <c r="B18" s="8">
        <v>12</v>
      </c>
      <c r="C18" s="9" t="s">
        <v>55</v>
      </c>
      <c r="D18" s="8" t="s">
        <v>0</v>
      </c>
      <c r="E18" s="10" t="s">
        <v>56</v>
      </c>
      <c r="F18" s="11" t="s">
        <v>18</v>
      </c>
      <c r="G18" s="11" t="s">
        <v>31</v>
      </c>
      <c r="H18" s="11" t="s">
        <v>20</v>
      </c>
      <c r="I18" s="11" t="s">
        <v>36</v>
      </c>
      <c r="J18" s="11" t="s">
        <v>57</v>
      </c>
      <c r="K18" s="11"/>
      <c r="L18" s="11"/>
      <c r="M18" s="11"/>
      <c r="N18" s="12">
        <v>13.87</v>
      </c>
      <c r="O18" s="12">
        <v>15</v>
      </c>
      <c r="P18" s="12">
        <v>17.5</v>
      </c>
      <c r="Q18" s="12">
        <v>10.7</v>
      </c>
      <c r="R18" s="12">
        <v>0</v>
      </c>
      <c r="S18" s="12">
        <v>0</v>
      </c>
      <c r="T18" s="12">
        <v>0</v>
      </c>
      <c r="U18" s="12">
        <v>0</v>
      </c>
      <c r="V18" s="12">
        <v>0</v>
      </c>
    </row>
    <row r="19" spans="1:22" ht="39" x14ac:dyDescent="0.3">
      <c r="B19" s="8">
        <v>13</v>
      </c>
      <c r="C19" s="9" t="s">
        <v>58</v>
      </c>
      <c r="D19" s="8" t="s">
        <v>0</v>
      </c>
      <c r="E19" s="10" t="s">
        <v>59</v>
      </c>
      <c r="F19" s="11" t="s">
        <v>18</v>
      </c>
      <c r="G19" s="11" t="s">
        <v>31</v>
      </c>
      <c r="H19" s="11" t="s">
        <v>20</v>
      </c>
      <c r="I19" s="11" t="s">
        <v>36</v>
      </c>
      <c r="J19" s="11" t="s">
        <v>22</v>
      </c>
      <c r="K19" s="11"/>
      <c r="L19" s="11"/>
      <c r="M19" s="11"/>
      <c r="N19" s="12">
        <v>0</v>
      </c>
      <c r="O19" s="12">
        <v>0</v>
      </c>
      <c r="P19" s="12">
        <v>0</v>
      </c>
      <c r="Q19" s="12">
        <v>6.8</v>
      </c>
      <c r="R19" s="12">
        <v>18.267490903690632</v>
      </c>
      <c r="S19" s="12">
        <v>19.081447983960388</v>
      </c>
      <c r="T19" s="12">
        <v>19.895405064230726</v>
      </c>
      <c r="U19" s="12">
        <v>20.709362144501064</v>
      </c>
      <c r="V19" s="12">
        <v>21.523319224771694</v>
      </c>
    </row>
    <row r="20" spans="1:22" ht="39" x14ac:dyDescent="0.3">
      <c r="B20" s="8">
        <v>14</v>
      </c>
      <c r="C20" s="9" t="s">
        <v>60</v>
      </c>
      <c r="D20" s="8" t="s">
        <v>0</v>
      </c>
      <c r="E20" s="10" t="s">
        <v>61</v>
      </c>
      <c r="F20" s="11" t="s">
        <v>26</v>
      </c>
      <c r="G20" s="11" t="s">
        <v>39</v>
      </c>
      <c r="H20" s="11" t="s">
        <v>20</v>
      </c>
      <c r="I20" s="11" t="s">
        <v>36</v>
      </c>
      <c r="J20" s="11" t="s">
        <v>43</v>
      </c>
      <c r="K20" s="11" t="s">
        <v>23</v>
      </c>
      <c r="L20" s="11" t="s">
        <v>23</v>
      </c>
      <c r="M20" s="11" t="s">
        <v>23</v>
      </c>
      <c r="N20" s="12">
        <v>19</v>
      </c>
      <c r="O20" s="12">
        <v>19</v>
      </c>
      <c r="P20" s="12">
        <v>19</v>
      </c>
      <c r="Q20" s="12">
        <v>19</v>
      </c>
      <c r="R20" s="12">
        <v>19</v>
      </c>
      <c r="S20" s="12">
        <v>22.8</v>
      </c>
      <c r="T20" s="12">
        <v>22.8</v>
      </c>
      <c r="U20" s="12">
        <v>22.8</v>
      </c>
      <c r="V20" s="12">
        <v>22.8</v>
      </c>
    </row>
    <row r="21" spans="1:22" ht="26" x14ac:dyDescent="0.3">
      <c r="B21" s="8">
        <v>15</v>
      </c>
      <c r="C21" s="9" t="s">
        <v>62</v>
      </c>
      <c r="D21" s="8" t="s">
        <v>0</v>
      </c>
      <c r="E21" s="10" t="s">
        <v>63</v>
      </c>
      <c r="F21" s="11" t="s">
        <v>26</v>
      </c>
      <c r="G21" s="11" t="s">
        <v>39</v>
      </c>
      <c r="H21" s="11" t="s">
        <v>20</v>
      </c>
      <c r="I21" s="11" t="s">
        <v>64</v>
      </c>
      <c r="J21" s="11" t="s">
        <v>43</v>
      </c>
      <c r="K21" s="11" t="s">
        <v>23</v>
      </c>
      <c r="L21" s="11" t="s">
        <v>23</v>
      </c>
      <c r="M21" s="11" t="s">
        <v>23</v>
      </c>
      <c r="N21" s="12">
        <v>3.8</v>
      </c>
      <c r="O21" s="12">
        <v>3.8</v>
      </c>
      <c r="P21" s="12">
        <v>3.8</v>
      </c>
      <c r="Q21" s="12">
        <v>3.8</v>
      </c>
      <c r="R21" s="12">
        <v>3.8</v>
      </c>
      <c r="S21" s="12">
        <v>3.8</v>
      </c>
      <c r="T21" s="12">
        <v>3.8</v>
      </c>
      <c r="U21" s="12">
        <v>3.8</v>
      </c>
      <c r="V21" s="12">
        <v>3.8</v>
      </c>
    </row>
    <row r="22" spans="1:22" ht="39" x14ac:dyDescent="0.3">
      <c r="B22" s="8">
        <v>16</v>
      </c>
      <c r="C22" s="9" t="s">
        <v>65</v>
      </c>
      <c r="D22" s="8" t="s">
        <v>0</v>
      </c>
      <c r="E22" s="10" t="s">
        <v>66</v>
      </c>
      <c r="F22" s="11" t="s">
        <v>26</v>
      </c>
      <c r="G22" s="11" t="s">
        <v>19</v>
      </c>
      <c r="H22" s="11" t="s">
        <v>20</v>
      </c>
      <c r="I22" s="11" t="s">
        <v>21</v>
      </c>
      <c r="J22" s="11" t="s">
        <v>22</v>
      </c>
      <c r="K22" s="11" t="s">
        <v>23</v>
      </c>
      <c r="L22" s="11"/>
      <c r="M22" s="11"/>
      <c r="N22" s="12">
        <v>2.8</v>
      </c>
      <c r="O22" s="12">
        <v>2.8</v>
      </c>
      <c r="P22" s="12">
        <v>2.8</v>
      </c>
      <c r="Q22" s="12">
        <v>2.8</v>
      </c>
      <c r="R22" s="12">
        <v>4.8</v>
      </c>
      <c r="S22" s="12">
        <v>6.8</v>
      </c>
      <c r="T22" s="12">
        <v>8.8000000000000007</v>
      </c>
      <c r="U22" s="12">
        <v>11.2</v>
      </c>
      <c r="V22" s="12">
        <v>13.2</v>
      </c>
    </row>
    <row r="23" spans="1:22" ht="39" x14ac:dyDescent="0.3">
      <c r="B23" s="8">
        <v>17</v>
      </c>
      <c r="C23" s="9" t="s">
        <v>67</v>
      </c>
      <c r="D23" s="8" t="s">
        <v>0</v>
      </c>
      <c r="E23" s="10" t="s">
        <v>68</v>
      </c>
      <c r="F23" s="11" t="s">
        <v>18</v>
      </c>
      <c r="G23" s="11" t="s">
        <v>31</v>
      </c>
      <c r="H23" s="11" t="s">
        <v>20</v>
      </c>
      <c r="I23" s="11" t="s">
        <v>32</v>
      </c>
      <c r="J23" s="11" t="s">
        <v>22</v>
      </c>
      <c r="K23" s="11"/>
      <c r="L23" s="11" t="s">
        <v>23</v>
      </c>
      <c r="M23" s="11"/>
      <c r="N23" s="12">
        <v>5.2190000000000003</v>
      </c>
      <c r="O23" s="12">
        <v>5.2190000000000003</v>
      </c>
      <c r="P23" s="12">
        <v>5.2190000000000003</v>
      </c>
      <c r="Q23" s="12">
        <v>5.2190000000000003</v>
      </c>
      <c r="R23" s="12">
        <v>7.0609999999999999</v>
      </c>
      <c r="S23" s="12">
        <v>8.5960000000000001</v>
      </c>
      <c r="T23" s="12">
        <v>10.131</v>
      </c>
      <c r="U23" s="12">
        <v>11.666</v>
      </c>
      <c r="V23" s="12">
        <v>13.201000000000001</v>
      </c>
    </row>
    <row r="24" spans="1:22" ht="26" x14ac:dyDescent="0.3">
      <c r="B24" s="8">
        <v>18</v>
      </c>
      <c r="C24" s="9" t="s">
        <v>69</v>
      </c>
      <c r="D24" s="8" t="s">
        <v>0</v>
      </c>
      <c r="E24" s="10" t="s">
        <v>70</v>
      </c>
      <c r="F24" s="11" t="s">
        <v>26</v>
      </c>
      <c r="G24" s="11" t="s">
        <v>39</v>
      </c>
      <c r="H24" s="11" t="s">
        <v>20</v>
      </c>
      <c r="I24" s="11" t="s">
        <v>36</v>
      </c>
      <c r="J24" s="11" t="s">
        <v>22</v>
      </c>
      <c r="K24" s="11" t="s">
        <v>23</v>
      </c>
      <c r="L24" s="11"/>
      <c r="M24" s="11" t="s">
        <v>23</v>
      </c>
      <c r="N24" s="12">
        <v>8.4</v>
      </c>
      <c r="O24" s="12">
        <v>12.8</v>
      </c>
      <c r="P24" s="12">
        <v>17.2</v>
      </c>
      <c r="Q24" s="12">
        <v>21.6</v>
      </c>
      <c r="R24" s="12">
        <v>21.6</v>
      </c>
      <c r="S24" s="12">
        <v>21.6</v>
      </c>
      <c r="T24" s="12">
        <v>21.6</v>
      </c>
      <c r="U24" s="12">
        <v>21.6</v>
      </c>
      <c r="V24" s="12">
        <v>21.6</v>
      </c>
    </row>
    <row r="25" spans="1:22" ht="26" x14ac:dyDescent="0.3">
      <c r="B25" s="8">
        <v>19</v>
      </c>
      <c r="C25" s="9" t="s">
        <v>71</v>
      </c>
      <c r="D25" s="8" t="s">
        <v>0</v>
      </c>
      <c r="E25" s="10" t="s">
        <v>72</v>
      </c>
      <c r="F25" s="11" t="s">
        <v>18</v>
      </c>
      <c r="G25" s="11" t="s">
        <v>73</v>
      </c>
      <c r="H25" s="11" t="s">
        <v>20</v>
      </c>
      <c r="I25" s="11" t="s">
        <v>74</v>
      </c>
      <c r="J25" s="11" t="s">
        <v>22</v>
      </c>
      <c r="K25" s="11"/>
      <c r="L25" s="11" t="s">
        <v>23</v>
      </c>
      <c r="M25" s="11" t="s">
        <v>23</v>
      </c>
      <c r="N25" s="12">
        <v>8.3000000000000004E-2</v>
      </c>
      <c r="O25" s="12">
        <v>8.3000000000000004E-2</v>
      </c>
      <c r="P25" s="12">
        <v>8.3000000000000004E-2</v>
      </c>
      <c r="Q25" s="12">
        <v>8.3000000000000004E-2</v>
      </c>
      <c r="R25" s="12">
        <v>8.3000000000000004E-2</v>
      </c>
      <c r="S25" s="12">
        <v>0.16600000000000001</v>
      </c>
      <c r="T25" s="12">
        <v>0.249</v>
      </c>
      <c r="U25" s="12">
        <v>0.249</v>
      </c>
      <c r="V25" s="12">
        <v>0.33200000000000002</v>
      </c>
    </row>
    <row r="26" spans="1:22" ht="26" x14ac:dyDescent="0.3">
      <c r="B26" s="8">
        <v>20</v>
      </c>
      <c r="C26" s="9" t="s">
        <v>75</v>
      </c>
      <c r="D26" s="8" t="s">
        <v>0</v>
      </c>
      <c r="E26" s="10" t="s">
        <v>76</v>
      </c>
      <c r="F26" s="11" t="s">
        <v>18</v>
      </c>
      <c r="G26" s="11" t="s">
        <v>73</v>
      </c>
      <c r="H26" s="11" t="s">
        <v>20</v>
      </c>
      <c r="I26" s="11" t="s">
        <v>74</v>
      </c>
      <c r="J26" s="11" t="s">
        <v>22</v>
      </c>
      <c r="K26" s="11"/>
      <c r="L26" s="11" t="s">
        <v>23</v>
      </c>
      <c r="M26" s="11"/>
      <c r="N26" s="12">
        <v>0.41499999999999998</v>
      </c>
      <c r="O26" s="12">
        <v>0.41499999999999998</v>
      </c>
      <c r="P26" s="12">
        <v>0.41499999999999998</v>
      </c>
      <c r="Q26" s="12">
        <v>0.41499999999999998</v>
      </c>
      <c r="R26" s="12">
        <v>0.498</v>
      </c>
      <c r="S26" s="12">
        <v>0.498</v>
      </c>
      <c r="T26" s="12">
        <v>0.58099999999999996</v>
      </c>
      <c r="U26" s="12">
        <v>0.66400000000000003</v>
      </c>
      <c r="V26" s="12">
        <v>0.66400000000000003</v>
      </c>
    </row>
    <row r="27" spans="1:22" ht="38.25" customHeight="1" x14ac:dyDescent="0.3">
      <c r="A27" s="13"/>
      <c r="B27" s="104" t="s">
        <v>86</v>
      </c>
      <c r="C27" s="106" t="s">
        <v>260</v>
      </c>
      <c r="D27" s="107" t="s">
        <v>0</v>
      </c>
      <c r="E27" s="106" t="s">
        <v>78</v>
      </c>
      <c r="F27" s="106" t="s">
        <v>18</v>
      </c>
      <c r="G27" s="106" t="s">
        <v>31</v>
      </c>
      <c r="H27" s="106" t="s">
        <v>20</v>
      </c>
      <c r="I27" s="106" t="s">
        <v>36</v>
      </c>
      <c r="J27" s="106" t="s">
        <v>22</v>
      </c>
      <c r="K27" s="14"/>
      <c r="L27" s="14" t="s">
        <v>23</v>
      </c>
      <c r="M27" s="14"/>
      <c r="N27" s="15">
        <v>2.8679999999999999</v>
      </c>
      <c r="O27" s="15">
        <v>3.456</v>
      </c>
      <c r="P27" s="15">
        <v>4.1159999999999997</v>
      </c>
      <c r="Q27" s="15">
        <v>4.8419999999999996</v>
      </c>
      <c r="R27" s="15">
        <v>5.64</v>
      </c>
      <c r="S27" s="15">
        <v>6.5039999999999996</v>
      </c>
      <c r="T27" s="15">
        <v>7.4340000000000002</v>
      </c>
      <c r="U27" s="15">
        <v>8.4179999999999993</v>
      </c>
      <c r="V27" s="15">
        <v>9.4559999999999995</v>
      </c>
    </row>
    <row r="28" spans="1:22" ht="39" x14ac:dyDescent="0.3">
      <c r="A28" s="13"/>
      <c r="B28" s="105" t="s">
        <v>87</v>
      </c>
      <c r="C28" s="106" t="s">
        <v>261</v>
      </c>
      <c r="D28" s="108" t="s">
        <v>1</v>
      </c>
      <c r="E28" s="106" t="s">
        <v>78</v>
      </c>
      <c r="F28" s="106" t="s">
        <v>18</v>
      </c>
      <c r="G28" s="106" t="s">
        <v>31</v>
      </c>
      <c r="H28" s="106" t="s">
        <v>20</v>
      </c>
      <c r="I28" s="106" t="s">
        <v>36</v>
      </c>
      <c r="J28" s="106" t="s">
        <v>22</v>
      </c>
      <c r="K28" s="14"/>
      <c r="L28" s="14" t="s">
        <v>23</v>
      </c>
      <c r="M28" s="14"/>
      <c r="N28" s="12">
        <v>2.39</v>
      </c>
      <c r="O28" s="12">
        <v>2.88</v>
      </c>
      <c r="P28" s="12">
        <v>3.43</v>
      </c>
      <c r="Q28" s="12">
        <v>4.0350000000000001</v>
      </c>
      <c r="R28" s="12">
        <v>4.7</v>
      </c>
      <c r="S28" s="12">
        <v>5.42</v>
      </c>
      <c r="T28" s="12">
        <v>6.1950000000000003</v>
      </c>
      <c r="U28" s="12">
        <v>7.0149999999999997</v>
      </c>
      <c r="V28" s="12">
        <v>7.88</v>
      </c>
    </row>
    <row r="29" spans="1:22" ht="26" x14ac:dyDescent="0.3">
      <c r="B29" s="8">
        <v>22</v>
      </c>
      <c r="C29" s="9" t="s">
        <v>79</v>
      </c>
      <c r="D29" s="8" t="s">
        <v>0</v>
      </c>
      <c r="E29" s="10" t="s">
        <v>80</v>
      </c>
      <c r="F29" s="11" t="s">
        <v>26</v>
      </c>
      <c r="G29" s="11" t="s">
        <v>39</v>
      </c>
      <c r="H29" s="11" t="s">
        <v>20</v>
      </c>
      <c r="I29" s="11" t="s">
        <v>36</v>
      </c>
      <c r="J29" s="11" t="s">
        <v>22</v>
      </c>
      <c r="K29" s="11"/>
      <c r="L29" s="11"/>
      <c r="M29" s="11" t="s">
        <v>23</v>
      </c>
      <c r="N29" s="12">
        <v>0.64800000000000002</v>
      </c>
      <c r="O29" s="12">
        <v>0.97799999999999998</v>
      </c>
      <c r="P29" s="12">
        <v>1.38</v>
      </c>
      <c r="Q29" s="12">
        <v>1.788</v>
      </c>
      <c r="R29" s="12">
        <v>2.4660000000000002</v>
      </c>
      <c r="S29" s="12">
        <v>3.2759999999999998</v>
      </c>
      <c r="T29" s="12">
        <v>4.1820000000000004</v>
      </c>
      <c r="U29" s="12">
        <v>5.2859999999999996</v>
      </c>
      <c r="V29" s="12">
        <v>6.6779999999999999</v>
      </c>
    </row>
    <row r="30" spans="1:22" ht="39" x14ac:dyDescent="0.3">
      <c r="B30" s="8">
        <v>23</v>
      </c>
      <c r="C30" s="9" t="s">
        <v>81</v>
      </c>
      <c r="D30" s="8" t="s">
        <v>0</v>
      </c>
      <c r="E30" s="9" t="s">
        <v>82</v>
      </c>
      <c r="F30" s="11" t="s">
        <v>26</v>
      </c>
      <c r="G30" s="11" t="s">
        <v>39</v>
      </c>
      <c r="H30" s="11" t="s">
        <v>20</v>
      </c>
      <c r="I30" s="11" t="s">
        <v>36</v>
      </c>
      <c r="J30" s="11" t="s">
        <v>22</v>
      </c>
      <c r="K30" s="11"/>
      <c r="L30" s="11"/>
      <c r="M30" s="11" t="s">
        <v>23</v>
      </c>
      <c r="N30" s="16">
        <v>0.09</v>
      </c>
      <c r="O30" s="16">
        <v>0.13800000000000001</v>
      </c>
      <c r="P30" s="16">
        <v>0.19800000000000001</v>
      </c>
      <c r="Q30" s="16">
        <v>0.252</v>
      </c>
      <c r="R30" s="16">
        <v>0.34799999999999998</v>
      </c>
      <c r="S30" s="16">
        <v>0.46200000000000002</v>
      </c>
      <c r="T30" s="16">
        <v>0.59399999999999997</v>
      </c>
      <c r="U30" s="16">
        <v>0.75</v>
      </c>
      <c r="V30" s="16">
        <v>0.94799999999999995</v>
      </c>
    </row>
    <row r="31" spans="1:22" ht="39" x14ac:dyDescent="0.3">
      <c r="B31" s="8">
        <v>24</v>
      </c>
      <c r="C31" s="9" t="s">
        <v>83</v>
      </c>
      <c r="D31" s="8" t="s">
        <v>1</v>
      </c>
      <c r="E31" s="10" t="s">
        <v>84</v>
      </c>
      <c r="F31" s="11" t="s">
        <v>18</v>
      </c>
      <c r="G31" s="11" t="s">
        <v>31</v>
      </c>
      <c r="H31" s="11" t="s">
        <v>20</v>
      </c>
      <c r="I31" s="11" t="s">
        <v>32</v>
      </c>
      <c r="J31" s="11" t="s">
        <v>22</v>
      </c>
      <c r="K31" s="8"/>
      <c r="L31" s="8" t="s">
        <v>23</v>
      </c>
      <c r="M31" s="8"/>
      <c r="N31" s="16">
        <v>0.2</v>
      </c>
      <c r="O31" s="16">
        <v>0.4</v>
      </c>
      <c r="P31" s="16">
        <v>0.4</v>
      </c>
      <c r="Q31" s="16">
        <v>0.6</v>
      </c>
      <c r="R31" s="16">
        <v>0.8</v>
      </c>
      <c r="S31" s="16">
        <v>1</v>
      </c>
      <c r="T31" s="16">
        <v>1.2</v>
      </c>
      <c r="U31" s="16">
        <v>1.4</v>
      </c>
      <c r="V31" s="16">
        <v>1.8</v>
      </c>
    </row>
    <row r="33" spans="1:2" x14ac:dyDescent="0.3">
      <c r="A33" s="17" t="s">
        <v>4</v>
      </c>
      <c r="B33" s="1" t="s">
        <v>85</v>
      </c>
    </row>
    <row r="34" spans="1:2" x14ac:dyDescent="0.3">
      <c r="B34" s="72" t="s">
        <v>185</v>
      </c>
    </row>
  </sheetData>
  <mergeCells count="2">
    <mergeCell ref="K5:M5"/>
    <mergeCell ref="N5:V5"/>
  </mergeCells>
  <hyperlinks>
    <hyperlink ref="B34" r:id="rId1"/>
  </hyperlinks>
  <pageMargins left="0.7" right="0.7" top="0.75" bottom="0.75" header="0.3" footer="0.3"/>
  <pageSetup scale="45" orientation="landscape" r:id="rId2"/>
  <headerFooter>
    <oddHeader>&amp;LAppendix D-2: DER Preferred Portfolio Selection&amp;RClean Energy Implementation Plan</oddHeader>
    <oddFooter>&amp;LDECEMBER 17, 2021&amp;C&amp;P of &amp;N&amp;RPuget Sound Energy</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D7"/>
  <sheetViews>
    <sheetView zoomScaleNormal="100" workbookViewId="0">
      <selection activeCell="C12" sqref="C12"/>
    </sheetView>
  </sheetViews>
  <sheetFormatPr defaultColWidth="10.7265625" defaultRowHeight="13" x14ac:dyDescent="0.35"/>
  <cols>
    <col min="1" max="1" width="2.7265625" style="1" customWidth="1"/>
    <col min="2" max="2" width="8.7265625" style="1" customWidth="1"/>
    <col min="3" max="3" width="60.7265625" style="2" customWidth="1"/>
    <col min="4" max="4" width="30.7265625" style="73" customWidth="1"/>
    <col min="5" max="5" width="2.7265625" style="1" customWidth="1"/>
    <col min="6" max="16384" width="10.7265625" style="1"/>
  </cols>
  <sheetData>
    <row r="2" spans="2:4" x14ac:dyDescent="0.35">
      <c r="B2" s="29" t="s">
        <v>98</v>
      </c>
      <c r="C2" s="18" t="s">
        <v>106</v>
      </c>
      <c r="D2" s="18" t="s">
        <v>170</v>
      </c>
    </row>
    <row r="3" spans="2:4" ht="39" x14ac:dyDescent="0.35">
      <c r="B3" s="30">
        <v>1</v>
      </c>
      <c r="C3" s="2" t="s">
        <v>189</v>
      </c>
      <c r="D3" s="77" t="s">
        <v>171</v>
      </c>
    </row>
    <row r="4" spans="2:4" ht="38.25" customHeight="1" x14ac:dyDescent="0.35">
      <c r="B4" s="30">
        <v>2</v>
      </c>
      <c r="C4" s="2" t="s">
        <v>155</v>
      </c>
      <c r="D4" s="155" t="s">
        <v>172</v>
      </c>
    </row>
    <row r="5" spans="2:4" x14ac:dyDescent="0.35">
      <c r="B5" s="30">
        <v>3</v>
      </c>
      <c r="C5" s="2" t="s">
        <v>99</v>
      </c>
      <c r="D5" s="155"/>
    </row>
    <row r="6" spans="2:4" ht="26" x14ac:dyDescent="0.35">
      <c r="B6" s="30">
        <v>4</v>
      </c>
      <c r="C6" s="2" t="s">
        <v>100</v>
      </c>
      <c r="D6" s="155"/>
    </row>
    <row r="7" spans="2:4" ht="39" x14ac:dyDescent="0.35">
      <c r="B7" s="30">
        <v>5</v>
      </c>
      <c r="C7" s="2" t="s">
        <v>101</v>
      </c>
      <c r="D7" s="77" t="s">
        <v>173</v>
      </c>
    </row>
  </sheetData>
  <mergeCells count="1">
    <mergeCell ref="D4:D6"/>
  </mergeCells>
  <pageMargins left="0.7" right="0.7" top="0.75" bottom="0.75" header="0.3" footer="0.3"/>
  <pageSetup orientation="landscape" r:id="rId1"/>
  <headerFooter>
    <oddHeader>&amp;LAppendix D-2: DER Preferred Portfolio Selection&amp;RClean Energy Implementation Plan</oddHeader>
    <oddFooter>&amp;LDECEMBER 17, 2021&amp;C&amp;P of &amp;N&amp;RPuget Sound Energy</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Y46"/>
  <sheetViews>
    <sheetView zoomScaleNormal="100" workbookViewId="0">
      <pane xSplit="8" ySplit="17" topLeftCell="I27" activePane="bottomRight" state="frozen"/>
      <selection activeCell="C12" sqref="C12"/>
      <selection pane="topRight" activeCell="C12" sqref="C12"/>
      <selection pane="bottomLeft" activeCell="C12" sqref="C12"/>
      <selection pane="bottomRight" activeCell="C12" sqref="C12"/>
    </sheetView>
  </sheetViews>
  <sheetFormatPr defaultColWidth="10.7265625" defaultRowHeight="14.5" outlineLevelRow="1" outlineLevelCol="1" x14ac:dyDescent="0.35"/>
  <cols>
    <col min="1" max="1" width="2.7265625" style="2" customWidth="1"/>
    <col min="2" max="2" width="5.7265625" style="2" customWidth="1"/>
    <col min="3" max="3" width="30.7265625" style="2" customWidth="1"/>
    <col min="4" max="8" width="10.7265625" style="2" customWidth="1"/>
    <col min="9" max="12" width="7.7265625" style="2" customWidth="1"/>
    <col min="13" max="17" width="7.7265625" style="2" hidden="1" customWidth="1" outlineLevel="1"/>
    <col min="18" max="18" width="10.7265625" style="2" customWidth="1" collapsed="1"/>
    <col min="19" max="19" width="16.1796875" style="2" customWidth="1"/>
    <col min="20" max="20" width="8.7265625" style="2" customWidth="1"/>
    <col min="21" max="21" width="10.7265625" style="2" customWidth="1"/>
    <col min="22" max="22" width="6.7265625" style="2" customWidth="1" outlineLevel="1"/>
    <col min="23" max="23" width="60.7265625" style="2" customWidth="1"/>
    <col min="25" max="16384" width="10.7265625" style="2"/>
  </cols>
  <sheetData>
    <row r="1" spans="2:24" x14ac:dyDescent="0.35">
      <c r="B1" s="18" t="s">
        <v>109</v>
      </c>
      <c r="C1" s="18" t="s">
        <v>110</v>
      </c>
    </row>
    <row r="2" spans="2:24" ht="13" x14ac:dyDescent="0.3">
      <c r="B2" s="51" t="s">
        <v>124</v>
      </c>
      <c r="C2" s="52" t="s">
        <v>188</v>
      </c>
      <c r="X2" s="3"/>
    </row>
    <row r="3" spans="2:24" ht="13" x14ac:dyDescent="0.3">
      <c r="B3" s="53" t="s">
        <v>123</v>
      </c>
      <c r="C3" s="1" t="s">
        <v>156</v>
      </c>
      <c r="X3" s="3"/>
    </row>
    <row r="4" spans="2:24" ht="13" x14ac:dyDescent="0.3">
      <c r="B4" s="51">
        <v>1</v>
      </c>
      <c r="C4" s="1" t="s">
        <v>190</v>
      </c>
      <c r="X4" s="3"/>
    </row>
    <row r="5" spans="2:24" ht="13" x14ac:dyDescent="0.3">
      <c r="B5" s="51">
        <v>2</v>
      </c>
      <c r="C5" s="1" t="s">
        <v>174</v>
      </c>
      <c r="X5" s="3"/>
    </row>
    <row r="6" spans="2:24" ht="13" x14ac:dyDescent="0.3">
      <c r="B6" s="51">
        <v>3</v>
      </c>
      <c r="C6" s="1" t="s">
        <v>175</v>
      </c>
      <c r="X6" s="3"/>
    </row>
    <row r="7" spans="2:24" ht="13" x14ac:dyDescent="0.3">
      <c r="B7" s="51">
        <v>4</v>
      </c>
      <c r="C7" s="1" t="s">
        <v>111</v>
      </c>
      <c r="X7" s="3"/>
    </row>
    <row r="8" spans="2:24" s="73" customFormat="1" ht="13" x14ac:dyDescent="0.3">
      <c r="B8" s="51" t="s">
        <v>176</v>
      </c>
      <c r="C8" s="1" t="s">
        <v>177</v>
      </c>
      <c r="X8" s="3"/>
    </row>
    <row r="9" spans="2:24" ht="25.5" customHeight="1" outlineLevel="1" x14ac:dyDescent="0.3">
      <c r="B9" s="6" t="s">
        <v>4</v>
      </c>
      <c r="C9" s="157" t="s">
        <v>169</v>
      </c>
      <c r="D9" s="157"/>
      <c r="E9" s="157"/>
      <c r="F9" s="157"/>
      <c r="G9" s="157"/>
      <c r="H9" s="157"/>
      <c r="I9" s="157"/>
      <c r="J9" s="157"/>
      <c r="K9" s="157"/>
      <c r="L9" s="157"/>
      <c r="M9" s="157"/>
      <c r="N9" s="157"/>
      <c r="O9" s="157"/>
      <c r="P9" s="157"/>
      <c r="Q9" s="157"/>
      <c r="R9" s="157"/>
      <c r="S9" s="157"/>
      <c r="T9" s="157"/>
      <c r="U9" s="157"/>
      <c r="V9" s="157"/>
      <c r="W9" s="157"/>
      <c r="X9" s="3"/>
    </row>
    <row r="10" spans="2:24" ht="13" outlineLevel="1" x14ac:dyDescent="0.3">
      <c r="B10" s="6"/>
      <c r="C10" s="72" t="s">
        <v>204</v>
      </c>
      <c r="X10" s="3"/>
    </row>
    <row r="11" spans="2:24" ht="13" outlineLevel="1" x14ac:dyDescent="0.3">
      <c r="B11" s="6" t="s">
        <v>146</v>
      </c>
      <c r="C11" s="1" t="s">
        <v>187</v>
      </c>
      <c r="X11" s="3"/>
    </row>
    <row r="12" spans="2:24" ht="13" outlineLevel="1" x14ac:dyDescent="0.3">
      <c r="B12" s="6" t="s">
        <v>147</v>
      </c>
      <c r="C12" s="1" t="s">
        <v>186</v>
      </c>
      <c r="X12" s="3"/>
    </row>
    <row r="13" spans="2:24" ht="13" outlineLevel="1" x14ac:dyDescent="0.3">
      <c r="B13" s="6" t="s">
        <v>149</v>
      </c>
      <c r="C13" s="1" t="s">
        <v>168</v>
      </c>
      <c r="X13" s="3"/>
    </row>
    <row r="14" spans="2:24" ht="13" outlineLevel="1" x14ac:dyDescent="0.3">
      <c r="B14" s="6"/>
      <c r="C14" s="72" t="s">
        <v>203</v>
      </c>
      <c r="X14" s="3"/>
    </row>
    <row r="15" spans="2:24" ht="13" outlineLevel="1" x14ac:dyDescent="0.3">
      <c r="B15" s="6" t="s">
        <v>153</v>
      </c>
      <c r="C15" s="1" t="s">
        <v>167</v>
      </c>
      <c r="X15" s="3"/>
    </row>
    <row r="16" spans="2:24" ht="13" x14ac:dyDescent="0.3">
      <c r="H16" s="18"/>
      <c r="I16" s="156" t="s">
        <v>4</v>
      </c>
      <c r="J16" s="156"/>
      <c r="K16" s="156"/>
      <c r="L16" s="156"/>
      <c r="M16" s="156"/>
      <c r="N16" s="156"/>
      <c r="O16" s="156"/>
      <c r="P16" s="156"/>
      <c r="Q16" s="156"/>
      <c r="R16" s="156"/>
      <c r="S16" s="71" t="s">
        <v>146</v>
      </c>
      <c r="T16" s="71" t="s">
        <v>147</v>
      </c>
      <c r="U16" s="71" t="s">
        <v>149</v>
      </c>
      <c r="V16" s="71" t="s">
        <v>153</v>
      </c>
      <c r="W16" s="55"/>
      <c r="X16" s="3"/>
    </row>
    <row r="17" spans="2:23" s="18" customFormat="1" ht="39" x14ac:dyDescent="0.35">
      <c r="B17" s="101" t="s">
        <v>257</v>
      </c>
      <c r="C17" s="7" t="s">
        <v>8</v>
      </c>
      <c r="D17" s="7" t="s">
        <v>9</v>
      </c>
      <c r="E17" s="7" t="s">
        <v>11</v>
      </c>
      <c r="F17" s="7" t="s">
        <v>12</v>
      </c>
      <c r="G17" s="7" t="s">
        <v>13</v>
      </c>
      <c r="H17" s="7" t="s">
        <v>14</v>
      </c>
      <c r="I17" s="7">
        <v>2022</v>
      </c>
      <c r="J17" s="7">
        <v>2023</v>
      </c>
      <c r="K17" s="7">
        <v>2024</v>
      </c>
      <c r="L17" s="7">
        <v>2025</v>
      </c>
      <c r="M17" s="7">
        <v>2026</v>
      </c>
      <c r="N17" s="7">
        <v>2027</v>
      </c>
      <c r="O17" s="7">
        <v>2028</v>
      </c>
      <c r="P17" s="7">
        <v>2029</v>
      </c>
      <c r="Q17" s="7">
        <v>2030</v>
      </c>
      <c r="R17" s="7" t="s">
        <v>89</v>
      </c>
      <c r="S17" s="7" t="s">
        <v>104</v>
      </c>
      <c r="T17" s="7" t="s">
        <v>88</v>
      </c>
      <c r="U17" s="36" t="s">
        <v>140</v>
      </c>
      <c r="V17" s="7" t="s">
        <v>103</v>
      </c>
      <c r="W17" s="7" t="s">
        <v>91</v>
      </c>
    </row>
    <row r="18" spans="2:23" x14ac:dyDescent="0.35">
      <c r="B18" s="11">
        <v>14</v>
      </c>
      <c r="C18" s="9" t="s">
        <v>60</v>
      </c>
      <c r="D18" s="11" t="s">
        <v>0</v>
      </c>
      <c r="E18" s="58" t="s">
        <v>26</v>
      </c>
      <c r="F18" s="38" t="s">
        <v>39</v>
      </c>
      <c r="G18" s="58" t="s">
        <v>20</v>
      </c>
      <c r="H18" s="38" t="s">
        <v>36</v>
      </c>
      <c r="I18" s="81">
        <v>5.6</v>
      </c>
      <c r="J18" s="81">
        <v>4.8</v>
      </c>
      <c r="K18" s="81">
        <v>5.6</v>
      </c>
      <c r="L18" s="81">
        <v>0</v>
      </c>
      <c r="M18" s="12">
        <f>INDEX('DER Concepts'!$B$6:$V$31,MATCH($B18,'DER Concepts'!$B$6:$B$31,0),MATCH(M$17,'DER Concepts'!$B$6:$V$6,0))</f>
        <v>19</v>
      </c>
      <c r="N18" s="12">
        <f>INDEX('DER Concepts'!$B$6:$V$31,MATCH($B18,'DER Concepts'!$B$6:$B$31,0),MATCH(N$17,'DER Concepts'!$B$6:$V$6,0))</f>
        <v>22.8</v>
      </c>
      <c r="O18" s="12">
        <f>INDEX('DER Concepts'!$B$6:$V$31,MATCH($B18,'DER Concepts'!$B$6:$B$31,0),MATCH(O$17,'DER Concepts'!$B$6:$V$6,0))</f>
        <v>22.8</v>
      </c>
      <c r="P18" s="12">
        <f>INDEX('DER Concepts'!$B$6:$V$31,MATCH($B18,'DER Concepts'!$B$6:$B$31,0),MATCH(P$17,'DER Concepts'!$B$6:$V$6,0))</f>
        <v>22.8</v>
      </c>
      <c r="Q18" s="12">
        <f>INDEX('DER Concepts'!$B$6:$V$31,MATCH($B18,'DER Concepts'!$B$6:$B$31,0),MATCH(Q$17,'DER Concepts'!$B$6:$V$6,0))</f>
        <v>22.8</v>
      </c>
      <c r="R18" s="12">
        <f>SUM(I18:L18)</f>
        <v>15.999999999999998</v>
      </c>
      <c r="S18" s="46">
        <v>-1.8382226655134699</v>
      </c>
      <c r="T18" s="20">
        <v>0.27205278634052843</v>
      </c>
      <c r="U18" s="19">
        <f>INDEX(CBI!$B$10:$H$35,MATCH($B18,CBI!$B$10:$B$35,0),MATCH(U$17,CBI!$B$10:$H$10,0))</f>
        <v>14</v>
      </c>
      <c r="V18" s="21" t="s">
        <v>23</v>
      </c>
      <c r="W18" s="9" t="s">
        <v>92</v>
      </c>
    </row>
    <row r="19" spans="2:23" ht="26" x14ac:dyDescent="0.35">
      <c r="B19" s="11">
        <v>24</v>
      </c>
      <c r="C19" s="9" t="s">
        <v>83</v>
      </c>
      <c r="D19" s="11" t="s">
        <v>1</v>
      </c>
      <c r="E19" s="58" t="s">
        <v>18</v>
      </c>
      <c r="F19" s="11" t="s">
        <v>31</v>
      </c>
      <c r="G19" s="58" t="s">
        <v>20</v>
      </c>
      <c r="H19" s="11" t="s">
        <v>32</v>
      </c>
      <c r="I19" s="81">
        <v>0</v>
      </c>
      <c r="J19" s="81">
        <f>INDEX('DER Concepts'!$B$6:$V$31,MATCH($B19,'DER Concepts'!$B$6:$B$31,0),MATCH(J$17,'DER Concepts'!$B$6:$V$6,0))+(VLOOKUP($B19,'DER Concepts'!$B$6:$N$31,13,FALSE)/3)</f>
        <v>0.46666666666666667</v>
      </c>
      <c r="K19" s="81">
        <f>INDEX('DER Concepts'!$B$6:$V$31,MATCH($B19,'DER Concepts'!$B$6:$B$31,0),MATCH(K$17,'DER Concepts'!$B$6:$V$6,0))+(VLOOKUP($B19,'DER Concepts'!$B$6:$N$31,13,FALSE)/3)</f>
        <v>0.46666666666666667</v>
      </c>
      <c r="L19" s="81">
        <f>INDEX('DER Concepts'!$B$6:$V$31,MATCH($B19,'DER Concepts'!$B$6:$B$31,0),MATCH(L$17,'DER Concepts'!$B$6:$V$6,0))+(VLOOKUP($B19,'DER Concepts'!$B$6:$N$31,13,FALSE)/3)</f>
        <v>0.66666666666666663</v>
      </c>
      <c r="M19" s="12">
        <f>INDEX('DER Concepts'!$B$6:$V$31,MATCH($B19,'DER Concepts'!$B$6:$B$31,0),MATCH(M$17,'DER Concepts'!$B$6:$V$6,0))</f>
        <v>0.8</v>
      </c>
      <c r="N19" s="12">
        <f>INDEX('DER Concepts'!$B$6:$V$31,MATCH($B19,'DER Concepts'!$B$6:$B$31,0),MATCH(N$17,'DER Concepts'!$B$6:$V$6,0))</f>
        <v>1</v>
      </c>
      <c r="O19" s="12">
        <f>INDEX('DER Concepts'!$B$6:$V$31,MATCH($B19,'DER Concepts'!$B$6:$B$31,0),MATCH(O$17,'DER Concepts'!$B$6:$V$6,0))</f>
        <v>1.2</v>
      </c>
      <c r="P19" s="12">
        <f>INDEX('DER Concepts'!$B$6:$V$31,MATCH($B19,'DER Concepts'!$B$6:$B$31,0),MATCH(P$17,'DER Concepts'!$B$6:$V$6,0))</f>
        <v>1.4</v>
      </c>
      <c r="Q19" s="12">
        <f>INDEX('DER Concepts'!$B$6:$V$31,MATCH($B19,'DER Concepts'!$B$6:$B$31,0),MATCH(Q$17,'DER Concepts'!$B$6:$V$6,0))</f>
        <v>1.8</v>
      </c>
      <c r="R19" s="12">
        <f>SUM(I19:L19)</f>
        <v>1.6</v>
      </c>
      <c r="S19" s="46">
        <v>-0.52515932611883698</v>
      </c>
      <c r="T19" s="20">
        <v>0.25758908336664499</v>
      </c>
      <c r="U19" s="19">
        <f>INDEX(CBI!$B$10:$H$35,MATCH($B19,CBI!$B$10:$B$35,0),MATCH(U$17,CBI!$B$10:$H$10,0))</f>
        <v>13</v>
      </c>
      <c r="V19" s="21"/>
      <c r="W19" s="9"/>
    </row>
    <row r="20" spans="2:23" ht="26" x14ac:dyDescent="0.35">
      <c r="B20" s="11">
        <v>2</v>
      </c>
      <c r="C20" s="9" t="s">
        <v>24</v>
      </c>
      <c r="D20" s="11" t="s">
        <v>1</v>
      </c>
      <c r="E20" s="58" t="s">
        <v>26</v>
      </c>
      <c r="F20" s="11" t="s">
        <v>19</v>
      </c>
      <c r="G20" s="58" t="s">
        <v>27</v>
      </c>
      <c r="H20" s="11" t="s">
        <v>28</v>
      </c>
      <c r="I20" s="81">
        <v>0</v>
      </c>
      <c r="J20" s="81">
        <f>INDEX('DER Concepts'!$B$6:$V$31,MATCH($B20,'DER Concepts'!$B$6:$B$31,0),MATCH(J$17,'DER Concepts'!$B$6:$V$6,0))+(VLOOKUP($B20,'DER Concepts'!$B$6:$N$31,13,FALSE)/3)</f>
        <v>0</v>
      </c>
      <c r="K20" s="81">
        <f>INDEX('DER Concepts'!$B$6:$V$31,MATCH($B20,'DER Concepts'!$B$6:$B$31,0),MATCH(K$17,'DER Concepts'!$B$6:$V$6,0))+(VLOOKUP($B20,'DER Concepts'!$B$6:$N$31,13,FALSE)/3)</f>
        <v>0</v>
      </c>
      <c r="L20" s="81">
        <f>INDEX('DER Concepts'!$B$6:$V$31,MATCH($B20,'DER Concepts'!$B$6:$B$31,0),MATCH(L$17,'DER Concepts'!$B$6:$V$6,0))+(VLOOKUP($B20,'DER Concepts'!$B$6:$N$31,13,FALSE)/3)</f>
        <v>0</v>
      </c>
      <c r="M20" s="12">
        <f>INDEX('DER Concepts'!$B$6:$V$31,MATCH($B20,'DER Concepts'!$B$6:$B$31,0),MATCH(M$17,'DER Concepts'!$B$6:$V$6,0))</f>
        <v>0</v>
      </c>
      <c r="N20" s="12">
        <f>INDEX('DER Concepts'!$B$6:$V$31,MATCH($B20,'DER Concepts'!$B$6:$B$31,0),MATCH(N$17,'DER Concepts'!$B$6:$V$6,0))</f>
        <v>0</v>
      </c>
      <c r="O20" s="12">
        <f>INDEX('DER Concepts'!$B$6:$V$31,MATCH($B20,'DER Concepts'!$B$6:$B$31,0),MATCH(O$17,'DER Concepts'!$B$6:$V$6,0))</f>
        <v>5</v>
      </c>
      <c r="P20" s="12">
        <f>INDEX('DER Concepts'!$B$6:$V$31,MATCH($B20,'DER Concepts'!$B$6:$B$31,0),MATCH(P$17,'DER Concepts'!$B$6:$V$6,0))</f>
        <v>5</v>
      </c>
      <c r="Q20" s="12">
        <f>INDEX('DER Concepts'!$B$6:$V$31,MATCH($B20,'DER Concepts'!$B$6:$B$31,0),MATCH(Q$17,'DER Concepts'!$B$6:$V$6,0))</f>
        <v>5</v>
      </c>
      <c r="R20" s="12">
        <f t="shared" ref="R20:R43" si="0">SUM(I20:L20)</f>
        <v>0</v>
      </c>
      <c r="S20" s="46">
        <v>0</v>
      </c>
      <c r="T20" s="20">
        <v>0</v>
      </c>
      <c r="U20" s="19">
        <f>INDEX(CBI!$B$10:$H$35,MATCH($B20,CBI!$B$10:$B$35,0),MATCH(U$17,CBI!$B$10:$H$10,0))</f>
        <v>14</v>
      </c>
      <c r="V20" s="21"/>
      <c r="W20" s="9"/>
    </row>
    <row r="21" spans="2:23" x14ac:dyDescent="0.35">
      <c r="B21" s="11">
        <v>12</v>
      </c>
      <c r="C21" s="9" t="s">
        <v>55</v>
      </c>
      <c r="D21" s="11" t="s">
        <v>0</v>
      </c>
      <c r="E21" s="58" t="s">
        <v>18</v>
      </c>
      <c r="F21" s="11" t="s">
        <v>31</v>
      </c>
      <c r="G21" s="58" t="s">
        <v>20</v>
      </c>
      <c r="H21" s="11" t="s">
        <v>36</v>
      </c>
      <c r="I21" s="81">
        <f>INDEX('DER Concepts'!$B$6:$V$31,MATCH($B21,'DER Concepts'!$B$6:$B$31,0),MATCH(I$17,'DER Concepts'!$B$6:$V$6,0))</f>
        <v>13.87</v>
      </c>
      <c r="J21" s="81">
        <f>INDEX('DER Concepts'!$B$6:$V$31,MATCH($B21,'DER Concepts'!$B$6:$B$31,0),MATCH(J$17,'DER Concepts'!$B$6:$V$6,0))</f>
        <v>15</v>
      </c>
      <c r="K21" s="81">
        <f>INDEX('DER Concepts'!$B$6:$V$31,MATCH($B21,'DER Concepts'!$B$6:$B$31,0),MATCH(K$17,'DER Concepts'!$B$6:$V$6,0))</f>
        <v>17.5</v>
      </c>
      <c r="L21" s="81">
        <f>INDEX('DER Concepts'!$B$6:$V$31,MATCH($B21,'DER Concepts'!$B$6:$B$31,0),MATCH(L$17,'DER Concepts'!$B$6:$V$6,0))</f>
        <v>10.7</v>
      </c>
      <c r="M21" s="12">
        <f>INDEX('DER Concepts'!$B$6:$V$31,MATCH($B21,'DER Concepts'!$B$6:$B$31,0),MATCH(M$17,'DER Concepts'!$B$6:$V$6,0))</f>
        <v>0</v>
      </c>
      <c r="N21" s="12">
        <f>INDEX('DER Concepts'!$B$6:$V$31,MATCH($B21,'DER Concepts'!$B$6:$B$31,0),MATCH(N$17,'DER Concepts'!$B$6:$V$6,0))</f>
        <v>0</v>
      </c>
      <c r="O21" s="12">
        <f>INDEX('DER Concepts'!$B$6:$V$31,MATCH($B21,'DER Concepts'!$B$6:$B$31,0),MATCH(O$17,'DER Concepts'!$B$6:$V$6,0))</f>
        <v>0</v>
      </c>
      <c r="P21" s="12">
        <f>INDEX('DER Concepts'!$B$6:$V$31,MATCH($B21,'DER Concepts'!$B$6:$B$31,0),MATCH(P$17,'DER Concepts'!$B$6:$V$6,0))</f>
        <v>0</v>
      </c>
      <c r="Q21" s="12">
        <f>INDEX('DER Concepts'!$B$6:$V$31,MATCH($B21,'DER Concepts'!$B$6:$B$31,0),MATCH(Q$17,'DER Concepts'!$B$6:$V$6,0))</f>
        <v>0</v>
      </c>
      <c r="R21" s="12">
        <f t="shared" si="0"/>
        <v>57.069999999999993</v>
      </c>
      <c r="S21" s="46">
        <v>0</v>
      </c>
      <c r="T21" s="20">
        <v>0.27591767984729265</v>
      </c>
      <c r="U21" s="19">
        <f>INDEX(CBI!$B$10:$H$35,MATCH($B21,CBI!$B$10:$B$35,0),MATCH(U$17,CBI!$B$10:$H$10,0))</f>
        <v>0</v>
      </c>
      <c r="V21" s="21" t="s">
        <v>23</v>
      </c>
      <c r="W21" s="9" t="s">
        <v>93</v>
      </c>
    </row>
    <row r="22" spans="2:23" x14ac:dyDescent="0.35">
      <c r="B22" s="11">
        <v>13</v>
      </c>
      <c r="C22" s="9" t="s">
        <v>58</v>
      </c>
      <c r="D22" s="11" t="s">
        <v>0</v>
      </c>
      <c r="E22" s="58" t="s">
        <v>18</v>
      </c>
      <c r="F22" s="11" t="s">
        <v>31</v>
      </c>
      <c r="G22" s="58" t="s">
        <v>20</v>
      </c>
      <c r="H22" s="11" t="s">
        <v>36</v>
      </c>
      <c r="I22" s="81">
        <f>INDEX('DER Concepts'!$B$6:$V$31,MATCH($B22,'DER Concepts'!$B$6:$B$31,0),MATCH(I$17,'DER Concepts'!$B$6:$V$6,0))</f>
        <v>0</v>
      </c>
      <c r="J22" s="81">
        <f>INDEX('DER Concepts'!$B$6:$V$31,MATCH($B22,'DER Concepts'!$B$6:$B$31,0),MATCH(J$17,'DER Concepts'!$B$6:$V$6,0))</f>
        <v>0</v>
      </c>
      <c r="K22" s="81">
        <f>INDEX('DER Concepts'!$B$6:$V$31,MATCH($B22,'DER Concepts'!$B$6:$B$31,0),MATCH(K$17,'DER Concepts'!$B$6:$V$6,0))</f>
        <v>0</v>
      </c>
      <c r="L22" s="81">
        <f>INDEX('DER Concepts'!$B$6:$V$31,MATCH($B22,'DER Concepts'!$B$6:$B$31,0),MATCH(L$17,'DER Concepts'!$B$6:$V$6,0))</f>
        <v>6.8</v>
      </c>
      <c r="M22" s="12">
        <f>INDEX('DER Concepts'!$B$6:$V$31,MATCH($B22,'DER Concepts'!$B$6:$B$31,0),MATCH(M$17,'DER Concepts'!$B$6:$V$6,0))</f>
        <v>18.267490903690632</v>
      </c>
      <c r="N22" s="12">
        <f>INDEX('DER Concepts'!$B$6:$V$31,MATCH($B22,'DER Concepts'!$B$6:$B$31,0),MATCH(N$17,'DER Concepts'!$B$6:$V$6,0))</f>
        <v>19.081447983960388</v>
      </c>
      <c r="O22" s="12">
        <f>INDEX('DER Concepts'!$B$6:$V$31,MATCH($B22,'DER Concepts'!$B$6:$B$31,0),MATCH(O$17,'DER Concepts'!$B$6:$V$6,0))</f>
        <v>19.895405064230726</v>
      </c>
      <c r="P22" s="12">
        <f>INDEX('DER Concepts'!$B$6:$V$31,MATCH($B22,'DER Concepts'!$B$6:$B$31,0),MATCH(P$17,'DER Concepts'!$B$6:$V$6,0))</f>
        <v>20.709362144501064</v>
      </c>
      <c r="Q22" s="12">
        <f>INDEX('DER Concepts'!$B$6:$V$31,MATCH($B22,'DER Concepts'!$B$6:$B$31,0),MATCH(Q$17,'DER Concepts'!$B$6:$V$6,0))</f>
        <v>21.523319224771694</v>
      </c>
      <c r="R22" s="12">
        <f t="shared" si="0"/>
        <v>6.8</v>
      </c>
      <c r="S22" s="46">
        <v>0</v>
      </c>
      <c r="T22" s="20">
        <v>0.27591767984729254</v>
      </c>
      <c r="U22" s="19">
        <f>INDEX(CBI!$B$10:$H$35,MATCH($B22,CBI!$B$10:$B$35,0),MATCH(U$17,CBI!$B$10:$H$10,0))</f>
        <v>0</v>
      </c>
      <c r="V22" s="21" t="s">
        <v>23</v>
      </c>
      <c r="W22" s="9" t="s">
        <v>93</v>
      </c>
    </row>
    <row r="23" spans="2:23" ht="26" x14ac:dyDescent="0.35">
      <c r="B23" s="11">
        <v>17</v>
      </c>
      <c r="C23" s="9" t="s">
        <v>67</v>
      </c>
      <c r="D23" s="11" t="s">
        <v>0</v>
      </c>
      <c r="E23" s="58" t="s">
        <v>18</v>
      </c>
      <c r="F23" s="11" t="s">
        <v>31</v>
      </c>
      <c r="G23" s="58" t="s">
        <v>20</v>
      </c>
      <c r="H23" s="11" t="s">
        <v>32</v>
      </c>
      <c r="I23" s="81">
        <v>0</v>
      </c>
      <c r="J23" s="81">
        <f>INDEX('DER Concepts'!$B$6:$V$31,MATCH($B23,'DER Concepts'!$B$6:$B$31,0),MATCH(J$17,'DER Concepts'!$B$6:$V$6,0))+(VLOOKUP($B23,'DER Concepts'!$B$6:$N$31,13,FALSE)/3)</f>
        <v>6.9586666666666668</v>
      </c>
      <c r="K23" s="81">
        <f>INDEX('DER Concepts'!$B$6:$V$31,MATCH($B23,'DER Concepts'!$B$6:$B$31,0),MATCH(K$17,'DER Concepts'!$B$6:$V$6,0))+(VLOOKUP($B23,'DER Concepts'!$B$6:$N$31,13,FALSE)/3)</f>
        <v>6.9586666666666668</v>
      </c>
      <c r="L23" s="81">
        <f>INDEX('DER Concepts'!$B$6:$V$31,MATCH($B23,'DER Concepts'!$B$6:$B$31,0),MATCH(L$17,'DER Concepts'!$B$6:$V$6,0))+(VLOOKUP($B23,'DER Concepts'!$B$6:$N$31,13,FALSE)/3)</f>
        <v>6.9586666666666668</v>
      </c>
      <c r="M23" s="12">
        <f>INDEX('DER Concepts'!$B$6:$V$31,MATCH($B23,'DER Concepts'!$B$6:$B$31,0),MATCH(M$17,'DER Concepts'!$B$6:$V$6,0))</f>
        <v>7.0609999999999999</v>
      </c>
      <c r="N23" s="12">
        <f>INDEX('DER Concepts'!$B$6:$V$31,MATCH($B23,'DER Concepts'!$B$6:$B$31,0),MATCH(N$17,'DER Concepts'!$B$6:$V$6,0))</f>
        <v>8.5960000000000001</v>
      </c>
      <c r="O23" s="12">
        <f>INDEX('DER Concepts'!$B$6:$V$31,MATCH($B23,'DER Concepts'!$B$6:$B$31,0),MATCH(O$17,'DER Concepts'!$B$6:$V$6,0))</f>
        <v>10.131</v>
      </c>
      <c r="P23" s="12">
        <f>INDEX('DER Concepts'!$B$6:$V$31,MATCH($B23,'DER Concepts'!$B$6:$B$31,0),MATCH(P$17,'DER Concepts'!$B$6:$V$6,0))</f>
        <v>11.666</v>
      </c>
      <c r="Q23" s="12">
        <f>INDEX('DER Concepts'!$B$6:$V$31,MATCH($B23,'DER Concepts'!$B$6:$B$31,0),MATCH(Q$17,'DER Concepts'!$B$6:$V$6,0))</f>
        <v>13.201000000000001</v>
      </c>
      <c r="R23" s="12">
        <f t="shared" si="0"/>
        <v>20.876000000000001</v>
      </c>
      <c r="S23" s="46">
        <v>0.45340382079178365</v>
      </c>
      <c r="T23" s="20">
        <v>0.49574268401292115</v>
      </c>
      <c r="U23" s="19">
        <f>INDEX(CBI!$B$10:$H$35,MATCH($B23,CBI!$B$10:$B$35,0),MATCH(U$17,CBI!$B$10:$H$10,0))</f>
        <v>16</v>
      </c>
      <c r="V23" s="21"/>
      <c r="W23" s="9"/>
    </row>
    <row r="24" spans="2:23" ht="78" x14ac:dyDescent="0.35">
      <c r="B24" s="11">
        <v>25</v>
      </c>
      <c r="C24" s="9" t="s">
        <v>133</v>
      </c>
      <c r="D24" s="11" t="s">
        <v>0</v>
      </c>
      <c r="E24" s="22" t="s">
        <v>26</v>
      </c>
      <c r="F24" s="11" t="s">
        <v>39</v>
      </c>
      <c r="G24" s="58" t="s">
        <v>20</v>
      </c>
      <c r="H24" s="11" t="s">
        <v>36</v>
      </c>
      <c r="I24" s="81">
        <v>0</v>
      </c>
      <c r="J24" s="81">
        <v>0</v>
      </c>
      <c r="K24" s="81">
        <v>0</v>
      </c>
      <c r="L24" s="81">
        <v>5.2</v>
      </c>
      <c r="M24" s="12">
        <v>4.7</v>
      </c>
      <c r="N24" s="12">
        <v>5.42</v>
      </c>
      <c r="O24" s="12">
        <v>6.1950000000000003</v>
      </c>
      <c r="P24" s="12">
        <v>7.0149999999999997</v>
      </c>
      <c r="Q24" s="12">
        <v>7.88</v>
      </c>
      <c r="R24" s="12">
        <f t="shared" si="0"/>
        <v>5.2</v>
      </c>
      <c r="S24" s="46">
        <v>3.08</v>
      </c>
      <c r="T24" s="20">
        <v>0.49127613822504879</v>
      </c>
      <c r="U24" s="19">
        <f>U32</f>
        <v>16</v>
      </c>
      <c r="V24" s="21"/>
      <c r="W24" s="9" t="s">
        <v>144</v>
      </c>
    </row>
    <row r="25" spans="2:23" ht="26" x14ac:dyDescent="0.35">
      <c r="B25" s="11">
        <v>16</v>
      </c>
      <c r="C25" s="9" t="s">
        <v>65</v>
      </c>
      <c r="D25" s="11" t="s">
        <v>0</v>
      </c>
      <c r="E25" s="58" t="s">
        <v>26</v>
      </c>
      <c r="F25" s="38" t="s">
        <v>19</v>
      </c>
      <c r="G25" s="58" t="s">
        <v>20</v>
      </c>
      <c r="H25" s="38" t="s">
        <v>21</v>
      </c>
      <c r="I25" s="81">
        <v>0</v>
      </c>
      <c r="J25" s="81">
        <f>INDEX('DER Concepts'!$B$6:$V$31,MATCH($B25,'DER Concepts'!$B$6:$B$31,0),MATCH(J$17,'DER Concepts'!$B$6:$V$6,0))+(VLOOKUP($B25,'DER Concepts'!$B$6:$N$31,13,FALSE)/3)</f>
        <v>3.7333333333333329</v>
      </c>
      <c r="K25" s="81">
        <f>INDEX('DER Concepts'!$B$6:$V$31,MATCH($B25,'DER Concepts'!$B$6:$B$31,0),MATCH(K$17,'DER Concepts'!$B$6:$V$6,0))+(VLOOKUP($B25,'DER Concepts'!$B$6:$N$31,13,FALSE)/3)</f>
        <v>3.7333333333333329</v>
      </c>
      <c r="L25" s="81">
        <f>INDEX('DER Concepts'!$B$6:$V$31,MATCH($B25,'DER Concepts'!$B$6:$B$31,0),MATCH(L$17,'DER Concepts'!$B$6:$V$6,0))+(VLOOKUP($B25,'DER Concepts'!$B$6:$N$31,13,FALSE)/3)</f>
        <v>3.7333333333333329</v>
      </c>
      <c r="M25" s="12">
        <f>INDEX('DER Concepts'!$B$6:$V$31,MATCH($B25,'DER Concepts'!$B$6:$B$31,0),MATCH(M$17,'DER Concepts'!$B$6:$V$6,0))</f>
        <v>4.8</v>
      </c>
      <c r="N25" s="12">
        <f>INDEX('DER Concepts'!$B$6:$V$31,MATCH($B25,'DER Concepts'!$B$6:$B$31,0),MATCH(N$17,'DER Concepts'!$B$6:$V$6,0))</f>
        <v>6.8</v>
      </c>
      <c r="O25" s="12">
        <f>INDEX('DER Concepts'!$B$6:$V$31,MATCH($B25,'DER Concepts'!$B$6:$B$31,0),MATCH(O$17,'DER Concepts'!$B$6:$V$6,0))</f>
        <v>8.8000000000000007</v>
      </c>
      <c r="P25" s="12">
        <f>INDEX('DER Concepts'!$B$6:$V$31,MATCH($B25,'DER Concepts'!$B$6:$B$31,0),MATCH(P$17,'DER Concepts'!$B$6:$V$6,0))</f>
        <v>11.2</v>
      </c>
      <c r="Q25" s="12">
        <f>INDEX('DER Concepts'!$B$6:$V$31,MATCH($B25,'DER Concepts'!$B$6:$B$31,0),MATCH(Q$17,'DER Concepts'!$B$6:$V$6,0))</f>
        <v>13.2</v>
      </c>
      <c r="R25" s="12">
        <f t="shared" si="0"/>
        <v>11.2</v>
      </c>
      <c r="S25" s="46">
        <v>4.6354712939937226</v>
      </c>
      <c r="T25" s="20">
        <v>0.65399230103020356</v>
      </c>
      <c r="U25" s="19">
        <f>INDEX(CBI!$B$10:$H$35,MATCH($B25,CBI!$B$10:$B$35,0),MATCH(U$17,CBI!$B$10:$H$10,0))</f>
        <v>15</v>
      </c>
      <c r="V25" s="21"/>
      <c r="W25" s="9"/>
    </row>
    <row r="26" spans="2:23" ht="26" x14ac:dyDescent="0.35">
      <c r="B26" s="11">
        <v>7</v>
      </c>
      <c r="C26" s="9" t="s">
        <v>44</v>
      </c>
      <c r="D26" s="11" t="s">
        <v>1</v>
      </c>
      <c r="E26" s="58" t="s">
        <v>26</v>
      </c>
      <c r="F26" s="11" t="s">
        <v>35</v>
      </c>
      <c r="G26" s="58" t="s">
        <v>27</v>
      </c>
      <c r="H26" s="11" t="s">
        <v>28</v>
      </c>
      <c r="I26" s="81">
        <v>0</v>
      </c>
      <c r="J26" s="81">
        <f>INDEX('DER Concepts'!$B$6:$V$31,MATCH($B26,'DER Concepts'!$B$6:$B$31,0),MATCH(J$17,'DER Concepts'!$B$6:$V$6,0))+(VLOOKUP($B26,'DER Concepts'!$B$6:$N$31,13,FALSE)/3)</f>
        <v>0</v>
      </c>
      <c r="K26" s="81">
        <f>INDEX('DER Concepts'!$B$6:$V$31,MATCH($B26,'DER Concepts'!$B$6:$B$31,0),MATCH(K$17,'DER Concepts'!$B$6:$V$6,0))+(VLOOKUP($B26,'DER Concepts'!$B$6:$N$31,13,FALSE)/3)</f>
        <v>0</v>
      </c>
      <c r="L26" s="81">
        <f>INDEX('DER Concepts'!$B$6:$V$31,MATCH($B26,'DER Concepts'!$B$6:$B$31,0),MATCH(L$17,'DER Concepts'!$B$6:$V$6,0))+(VLOOKUP($B26,'DER Concepts'!$B$6:$N$31,13,FALSE)/3)</f>
        <v>0</v>
      </c>
      <c r="M26" s="12">
        <f>INDEX('DER Concepts'!$B$6:$V$31,MATCH($B26,'DER Concepts'!$B$6:$B$31,0),MATCH(M$17,'DER Concepts'!$B$6:$V$6,0))</f>
        <v>0</v>
      </c>
      <c r="N26" s="12">
        <f>INDEX('DER Concepts'!$B$6:$V$31,MATCH($B26,'DER Concepts'!$B$6:$B$31,0),MATCH(N$17,'DER Concepts'!$B$6:$V$6,0))</f>
        <v>0</v>
      </c>
      <c r="O26" s="12">
        <f>INDEX('DER Concepts'!$B$6:$V$31,MATCH($B26,'DER Concepts'!$B$6:$B$31,0),MATCH(O$17,'DER Concepts'!$B$6:$V$6,0))</f>
        <v>0</v>
      </c>
      <c r="P26" s="12">
        <f>INDEX('DER Concepts'!$B$6:$V$31,MATCH($B26,'DER Concepts'!$B$6:$B$31,0),MATCH(P$17,'DER Concepts'!$B$6:$V$6,0))</f>
        <v>0</v>
      </c>
      <c r="Q26" s="12">
        <f>INDEX('DER Concepts'!$B$6:$V$31,MATCH($B26,'DER Concepts'!$B$6:$B$31,0),MATCH(Q$17,'DER Concepts'!$B$6:$V$6,0))</f>
        <v>0</v>
      </c>
      <c r="R26" s="12">
        <f t="shared" si="0"/>
        <v>0</v>
      </c>
      <c r="S26" s="46">
        <v>4.712471923828125</v>
      </c>
      <c r="T26" s="20">
        <v>0.46</v>
      </c>
      <c r="U26" s="19">
        <f>INDEX(CBI!$B$10:$H$35,MATCH($B26,CBI!$B$10:$B$35,0),MATCH(U$17,CBI!$B$10:$H$10,0))</f>
        <v>12</v>
      </c>
      <c r="V26" s="21"/>
      <c r="W26" s="9"/>
    </row>
    <row r="27" spans="2:23" ht="26" x14ac:dyDescent="0.35">
      <c r="B27" s="11">
        <v>3</v>
      </c>
      <c r="C27" s="9" t="s">
        <v>29</v>
      </c>
      <c r="D27" s="11" t="s">
        <v>1</v>
      </c>
      <c r="E27" s="58" t="s">
        <v>18</v>
      </c>
      <c r="F27" s="11" t="s">
        <v>31</v>
      </c>
      <c r="G27" s="58" t="s">
        <v>20</v>
      </c>
      <c r="H27" s="11" t="s">
        <v>32</v>
      </c>
      <c r="I27" s="81">
        <v>0</v>
      </c>
      <c r="J27" s="81">
        <f>INDEX('DER Concepts'!$B$6:$V$31,MATCH($B27,'DER Concepts'!$B$6:$B$31,0),MATCH(J$17,'DER Concepts'!$B$6:$V$6,0))+(VLOOKUP($B27,'DER Concepts'!$B$6:$N$31,13,FALSE)/3)</f>
        <v>0.73333333333333328</v>
      </c>
      <c r="K27" s="81">
        <f>INDEX('DER Concepts'!$B$6:$V$31,MATCH($B27,'DER Concepts'!$B$6:$B$31,0),MATCH(K$17,'DER Concepts'!$B$6:$V$6,0))+(VLOOKUP($B27,'DER Concepts'!$B$6:$N$31,13,FALSE)/3)</f>
        <v>0.93333333333333335</v>
      </c>
      <c r="L27" s="81">
        <f>INDEX('DER Concepts'!$B$6:$V$31,MATCH($B27,'DER Concepts'!$B$6:$B$31,0),MATCH(L$17,'DER Concepts'!$B$6:$V$6,0))+(VLOOKUP($B27,'DER Concepts'!$B$6:$N$31,13,FALSE)/3)</f>
        <v>1.3333333333333333</v>
      </c>
      <c r="M27" s="12">
        <f>INDEX('DER Concepts'!$B$6:$V$31,MATCH($B27,'DER Concepts'!$B$6:$B$31,0),MATCH(M$17,'DER Concepts'!$B$6:$V$6,0))</f>
        <v>1.6</v>
      </c>
      <c r="N27" s="12">
        <f>INDEX('DER Concepts'!$B$6:$V$31,MATCH($B27,'DER Concepts'!$B$6:$B$31,0),MATCH(N$17,'DER Concepts'!$B$6:$V$6,0))</f>
        <v>2</v>
      </c>
      <c r="O27" s="12">
        <f>INDEX('DER Concepts'!$B$6:$V$31,MATCH($B27,'DER Concepts'!$B$6:$B$31,0),MATCH(O$17,'DER Concepts'!$B$6:$V$6,0))</f>
        <v>2.4</v>
      </c>
      <c r="P27" s="12">
        <f>INDEX('DER Concepts'!$B$6:$V$31,MATCH($B27,'DER Concepts'!$B$6:$B$31,0),MATCH(P$17,'DER Concepts'!$B$6:$V$6,0))</f>
        <v>2.8</v>
      </c>
      <c r="Q27" s="12">
        <f>INDEX('DER Concepts'!$B$6:$V$31,MATCH($B27,'DER Concepts'!$B$6:$B$31,0),MATCH(Q$17,'DER Concepts'!$B$6:$V$6,0))</f>
        <v>3.4</v>
      </c>
      <c r="R27" s="12">
        <f t="shared" si="0"/>
        <v>3</v>
      </c>
      <c r="S27" s="46">
        <v>5.2236608394434931</v>
      </c>
      <c r="T27" s="20">
        <v>0.17005155150118925</v>
      </c>
      <c r="U27" s="19">
        <f>INDEX(CBI!$B$10:$H$35,MATCH($B27,CBI!$B$10:$B$35,0),MATCH(U$17,CBI!$B$10:$H$10,0))</f>
        <v>13</v>
      </c>
      <c r="V27" s="21"/>
      <c r="W27" s="9"/>
    </row>
    <row r="28" spans="2:23" ht="26" x14ac:dyDescent="0.35">
      <c r="B28" s="11">
        <v>9</v>
      </c>
      <c r="C28" s="9" t="s">
        <v>49</v>
      </c>
      <c r="D28" s="11" t="s">
        <v>1</v>
      </c>
      <c r="E28" s="58" t="s">
        <v>18</v>
      </c>
      <c r="F28" s="11" t="s">
        <v>31</v>
      </c>
      <c r="G28" s="58" t="s">
        <v>20</v>
      </c>
      <c r="H28" s="11" t="s">
        <v>32</v>
      </c>
      <c r="I28" s="81">
        <v>0</v>
      </c>
      <c r="J28" s="81">
        <f>INDEX('DER Concepts'!$B$6:$V$31,MATCH($B28,'DER Concepts'!$B$6:$B$31,0),MATCH(J$17,'DER Concepts'!$B$6:$V$6,0))+(VLOOKUP($B28,'DER Concepts'!$B$6:$N$31,13,FALSE)/3)</f>
        <v>0.40333333333333332</v>
      </c>
      <c r="K28" s="81">
        <f>INDEX('DER Concepts'!$B$6:$V$31,MATCH($B28,'DER Concepts'!$B$6:$B$31,0),MATCH(K$17,'DER Concepts'!$B$6:$V$6,0))+(VLOOKUP($B28,'DER Concepts'!$B$6:$N$31,13,FALSE)/3)</f>
        <v>0.45833333333333331</v>
      </c>
      <c r="L28" s="81">
        <f>INDEX('DER Concepts'!$B$6:$V$31,MATCH($B28,'DER Concepts'!$B$6:$B$31,0),MATCH(L$17,'DER Concepts'!$B$6:$V$6,0))+(VLOOKUP($B28,'DER Concepts'!$B$6:$N$31,13,FALSE)/3)</f>
        <v>0.51833333333333331</v>
      </c>
      <c r="M28" s="12">
        <f>INDEX('DER Concepts'!$B$6:$V$31,MATCH($B28,'DER Concepts'!$B$6:$B$31,0),MATCH(M$17,'DER Concepts'!$B$6:$V$6,0))</f>
        <v>0.495</v>
      </c>
      <c r="N28" s="12">
        <f>INDEX('DER Concepts'!$B$6:$V$31,MATCH($B28,'DER Concepts'!$B$6:$B$31,0),MATCH(N$17,'DER Concepts'!$B$6:$V$6,0))</f>
        <v>0.56000000000000005</v>
      </c>
      <c r="O28" s="12">
        <f>INDEX('DER Concepts'!$B$6:$V$31,MATCH($B28,'DER Concepts'!$B$6:$B$31,0),MATCH(O$17,'DER Concepts'!$B$6:$V$6,0))</f>
        <v>0.63</v>
      </c>
      <c r="P28" s="12">
        <f>INDEX('DER Concepts'!$B$6:$V$31,MATCH($B28,'DER Concepts'!$B$6:$B$31,0),MATCH(P$17,'DER Concepts'!$B$6:$V$6,0))</f>
        <v>0.69499999999999995</v>
      </c>
      <c r="Q28" s="12">
        <f>INDEX('DER Concepts'!$B$6:$V$31,MATCH($B28,'DER Concepts'!$B$6:$B$31,0),MATCH(Q$17,'DER Concepts'!$B$6:$V$6,0))</f>
        <v>0.76500000000000001</v>
      </c>
      <c r="R28" s="12">
        <f t="shared" si="0"/>
        <v>1.38</v>
      </c>
      <c r="S28" s="46">
        <v>6.3576728588689448</v>
      </c>
      <c r="T28" s="20">
        <v>0.18697381815723682</v>
      </c>
      <c r="U28" s="19">
        <f>INDEX(CBI!$B$10:$H$35,MATCH($B28,CBI!$B$10:$B$35,0),MATCH(U$17,CBI!$B$10:$H$10,0))</f>
        <v>15</v>
      </c>
      <c r="V28" s="21"/>
      <c r="W28" s="9"/>
    </row>
    <row r="29" spans="2:23" x14ac:dyDescent="0.35">
      <c r="B29" s="11">
        <v>6</v>
      </c>
      <c r="C29" s="9" t="s">
        <v>41</v>
      </c>
      <c r="D29" s="11" t="s">
        <v>1</v>
      </c>
      <c r="E29" s="58" t="s">
        <v>26</v>
      </c>
      <c r="F29" s="38" t="s">
        <v>35</v>
      </c>
      <c r="G29" s="58" t="s">
        <v>27</v>
      </c>
      <c r="H29" s="38" t="s">
        <v>36</v>
      </c>
      <c r="I29" s="81">
        <v>0</v>
      </c>
      <c r="J29" s="81">
        <f>INDEX('DER Concepts'!$B$6:$V$31,MATCH($B29,'DER Concepts'!$B$6:$B$31,0),MATCH(J$17,'DER Concepts'!$B$6:$V$6,0))+(VLOOKUP($B29,'DER Concepts'!$B$6:$N$31,13,FALSE)/3)</f>
        <v>0</v>
      </c>
      <c r="K29" s="81">
        <f>INDEX('DER Concepts'!$B$6:$V$31,MATCH($B29,'DER Concepts'!$B$6:$B$31,0),MATCH(K$17,'DER Concepts'!$B$6:$V$6,0))+(VLOOKUP($B29,'DER Concepts'!$B$6:$N$31,13,FALSE)/3)</f>
        <v>0</v>
      </c>
      <c r="L29" s="81">
        <f>INDEX('DER Concepts'!$B$6:$V$31,MATCH($B29,'DER Concepts'!$B$6:$B$31,0),MATCH(L$17,'DER Concepts'!$B$6:$V$6,0))+(VLOOKUP($B29,'DER Concepts'!$B$6:$N$31,13,FALSE)/3)</f>
        <v>0</v>
      </c>
      <c r="M29" s="12">
        <f>INDEX('DER Concepts'!$B$6:$V$31,MATCH($B29,'DER Concepts'!$B$6:$B$31,0),MATCH(M$17,'DER Concepts'!$B$6:$V$6,0))</f>
        <v>0</v>
      </c>
      <c r="N29" s="12">
        <f>INDEX('DER Concepts'!$B$6:$V$31,MATCH($B29,'DER Concepts'!$B$6:$B$31,0),MATCH(N$17,'DER Concepts'!$B$6:$V$6,0))</f>
        <v>0</v>
      </c>
      <c r="O29" s="12">
        <f>INDEX('DER Concepts'!$B$6:$V$31,MATCH($B29,'DER Concepts'!$B$6:$B$31,0),MATCH(O$17,'DER Concepts'!$B$6:$V$6,0))</f>
        <v>0</v>
      </c>
      <c r="P29" s="12">
        <f>INDEX('DER Concepts'!$B$6:$V$31,MATCH($B29,'DER Concepts'!$B$6:$B$31,0),MATCH(P$17,'DER Concepts'!$B$6:$V$6,0))</f>
        <v>0</v>
      </c>
      <c r="Q29" s="12">
        <f>INDEX('DER Concepts'!$B$6:$V$31,MATCH($B29,'DER Concepts'!$B$6:$B$31,0),MATCH(Q$17,'DER Concepts'!$B$6:$V$6,0))</f>
        <v>0</v>
      </c>
      <c r="R29" s="12">
        <f t="shared" si="0"/>
        <v>0</v>
      </c>
      <c r="S29" s="46">
        <v>6.3874646759033205</v>
      </c>
      <c r="T29" s="20">
        <v>0.4123</v>
      </c>
      <c r="U29" s="19">
        <f>INDEX(CBI!$B$10:$H$35,MATCH($B29,CBI!$B$10:$B$35,0),MATCH(U$17,CBI!$B$10:$H$10,0))</f>
        <v>12</v>
      </c>
      <c r="V29" s="21"/>
      <c r="W29" s="9"/>
    </row>
    <row r="30" spans="2:23" ht="26" x14ac:dyDescent="0.35">
      <c r="B30" s="11" t="s">
        <v>86</v>
      </c>
      <c r="C30" s="9" t="s">
        <v>77</v>
      </c>
      <c r="D30" s="11" t="s">
        <v>0</v>
      </c>
      <c r="E30" s="22" t="s">
        <v>18</v>
      </c>
      <c r="F30" s="23" t="s">
        <v>31</v>
      </c>
      <c r="G30" s="22" t="s">
        <v>20</v>
      </c>
      <c r="H30" s="23" t="s">
        <v>36</v>
      </c>
      <c r="I30" s="81">
        <v>0</v>
      </c>
      <c r="J30" s="81">
        <f>3.456+('DER Concepts'!$N$27/3)</f>
        <v>4.4119999999999999</v>
      </c>
      <c r="K30" s="81">
        <f>4.116+('DER Concepts'!$N$27/3)</f>
        <v>5.0719999999999992</v>
      </c>
      <c r="L30" s="81">
        <f>4.842+('DER Concepts'!$N$27/3)</f>
        <v>5.798</v>
      </c>
      <c r="M30" s="12">
        <v>5.64</v>
      </c>
      <c r="N30" s="12">
        <v>6.5039999999999996</v>
      </c>
      <c r="O30" s="12">
        <v>7.4340000000000002</v>
      </c>
      <c r="P30" s="12">
        <v>8.4179999999999993</v>
      </c>
      <c r="Q30" s="12">
        <v>9.4559999999999995</v>
      </c>
      <c r="R30" s="12">
        <f t="shared" si="0"/>
        <v>15.281999999999998</v>
      </c>
      <c r="S30" s="46">
        <v>6.4572802308164361</v>
      </c>
      <c r="T30" s="20">
        <v>0.17516959361661694</v>
      </c>
      <c r="U30" s="19">
        <v>19</v>
      </c>
      <c r="V30" s="21"/>
      <c r="W30" s="9" t="s">
        <v>125</v>
      </c>
    </row>
    <row r="31" spans="2:23" ht="26" x14ac:dyDescent="0.35">
      <c r="B31" s="11" t="s">
        <v>87</v>
      </c>
      <c r="C31" s="9" t="s">
        <v>77</v>
      </c>
      <c r="D31" s="11" t="s">
        <v>1</v>
      </c>
      <c r="E31" s="22" t="s">
        <v>18</v>
      </c>
      <c r="F31" s="23" t="s">
        <v>31</v>
      </c>
      <c r="G31" s="22" t="s">
        <v>20</v>
      </c>
      <c r="H31" s="23" t="s">
        <v>36</v>
      </c>
      <c r="I31" s="81">
        <v>0</v>
      </c>
      <c r="J31" s="81">
        <f>2.88+('DER Concepts'!$N$28/3)</f>
        <v>3.6766666666666667</v>
      </c>
      <c r="K31" s="81">
        <f>3.43+('DER Concepts'!$N$28/3)</f>
        <v>4.2266666666666666</v>
      </c>
      <c r="L31" s="81">
        <f>4.035+('DER Concepts'!$N$28/3)</f>
        <v>4.831666666666667</v>
      </c>
      <c r="M31" s="12">
        <v>4.7</v>
      </c>
      <c r="N31" s="12">
        <v>5.42</v>
      </c>
      <c r="O31" s="12">
        <v>6.1950000000000003</v>
      </c>
      <c r="P31" s="12">
        <v>7.0149999999999997</v>
      </c>
      <c r="Q31" s="12">
        <v>7.88</v>
      </c>
      <c r="R31" s="12">
        <f t="shared" si="0"/>
        <v>12.734999999999999</v>
      </c>
      <c r="S31" s="46">
        <v>6.4572802308164361</v>
      </c>
      <c r="T31" s="20">
        <v>0.17516959361661694</v>
      </c>
      <c r="U31" s="19">
        <v>19</v>
      </c>
      <c r="V31" s="21"/>
      <c r="W31" s="9" t="s">
        <v>125</v>
      </c>
    </row>
    <row r="32" spans="2:23" x14ac:dyDescent="0.35">
      <c r="B32" s="11">
        <v>15</v>
      </c>
      <c r="C32" s="9" t="s">
        <v>62</v>
      </c>
      <c r="D32" s="11" t="s">
        <v>0</v>
      </c>
      <c r="E32" s="58" t="s">
        <v>26</v>
      </c>
      <c r="F32" s="11" t="s">
        <v>39</v>
      </c>
      <c r="G32" s="58" t="s">
        <v>20</v>
      </c>
      <c r="H32" s="11" t="s">
        <v>64</v>
      </c>
      <c r="I32" s="81">
        <v>1.4</v>
      </c>
      <c r="J32" s="81">
        <v>1.2</v>
      </c>
      <c r="K32" s="81">
        <v>1.4</v>
      </c>
      <c r="L32" s="81">
        <v>0</v>
      </c>
      <c r="M32" s="12">
        <f>INDEX('DER Concepts'!$B$6:$V$31,MATCH($B32,'DER Concepts'!$B$6:$B$31,0),MATCH(M$17,'DER Concepts'!$B$6:$V$6,0))</f>
        <v>3.8</v>
      </c>
      <c r="N32" s="12">
        <f>INDEX('DER Concepts'!$B$6:$V$31,MATCH($B32,'DER Concepts'!$B$6:$B$31,0),MATCH(N$17,'DER Concepts'!$B$6:$V$6,0))</f>
        <v>3.8</v>
      </c>
      <c r="O32" s="12">
        <f>INDEX('DER Concepts'!$B$6:$V$31,MATCH($B32,'DER Concepts'!$B$6:$B$31,0),MATCH(O$17,'DER Concepts'!$B$6:$V$6,0))</f>
        <v>3.8</v>
      </c>
      <c r="P32" s="12">
        <f>INDEX('DER Concepts'!$B$6:$V$31,MATCH($B32,'DER Concepts'!$B$6:$B$31,0),MATCH(P$17,'DER Concepts'!$B$6:$V$6,0))</f>
        <v>3.8</v>
      </c>
      <c r="Q32" s="12">
        <f>INDEX('DER Concepts'!$B$6:$V$31,MATCH($B32,'DER Concepts'!$B$6:$B$31,0),MATCH(Q$17,'DER Concepts'!$B$6:$V$6,0))</f>
        <v>3.8</v>
      </c>
      <c r="R32" s="12">
        <f t="shared" si="0"/>
        <v>3.9999999999999996</v>
      </c>
      <c r="S32" s="46">
        <v>7.0994352087150769</v>
      </c>
      <c r="T32" s="20">
        <v>0.50710307656030273</v>
      </c>
      <c r="U32" s="19">
        <f>INDEX(CBI!$B$10:$H$35,MATCH($B32,CBI!$B$10:$B$35,0),MATCH(U$17,CBI!$B$10:$H$10,0))</f>
        <v>16</v>
      </c>
      <c r="V32" s="21" t="s">
        <v>23</v>
      </c>
      <c r="W32" s="9" t="s">
        <v>92</v>
      </c>
    </row>
    <row r="33" spans="2:25" ht="26" x14ac:dyDescent="0.35">
      <c r="B33" s="11">
        <v>8</v>
      </c>
      <c r="C33" s="9" t="s">
        <v>47</v>
      </c>
      <c r="D33" s="11" t="s">
        <v>1</v>
      </c>
      <c r="E33" s="58" t="s">
        <v>26</v>
      </c>
      <c r="F33" s="11" t="s">
        <v>35</v>
      </c>
      <c r="G33" s="58" t="s">
        <v>27</v>
      </c>
      <c r="H33" s="11" t="s">
        <v>28</v>
      </c>
      <c r="I33" s="12">
        <v>0</v>
      </c>
      <c r="J33" s="12">
        <f>INDEX('DER Concepts'!$B$6:$V$31,MATCH($B33,'DER Concepts'!$B$6:$B$31,0),MATCH(J$17,'DER Concepts'!$B$6:$V$6,0))+(VLOOKUP($B33,'DER Concepts'!$B$6:$N$31,13,FALSE)/3)</f>
        <v>0</v>
      </c>
      <c r="K33" s="12">
        <f>INDEX('DER Concepts'!$B$6:$V$31,MATCH($B33,'DER Concepts'!$B$6:$B$31,0),MATCH(K$17,'DER Concepts'!$B$6:$V$6,0))+(VLOOKUP($B33,'DER Concepts'!$B$6:$N$31,13,FALSE)/3)</f>
        <v>0</v>
      </c>
      <c r="L33" s="12">
        <f>INDEX('DER Concepts'!$B$6:$V$31,MATCH($B33,'DER Concepts'!$B$6:$B$31,0),MATCH(L$17,'DER Concepts'!$B$6:$V$6,0))+(VLOOKUP($B33,'DER Concepts'!$B$6:$N$31,13,FALSE)/3)</f>
        <v>0</v>
      </c>
      <c r="M33" s="12">
        <f>INDEX('DER Concepts'!$B$6:$V$31,MATCH($B33,'DER Concepts'!$B$6:$B$31,0),MATCH(M$17,'DER Concepts'!$B$6:$V$6,0))</f>
        <v>0</v>
      </c>
      <c r="N33" s="12">
        <f>INDEX('DER Concepts'!$B$6:$V$31,MATCH($B33,'DER Concepts'!$B$6:$B$31,0),MATCH(N$17,'DER Concepts'!$B$6:$V$6,0))</f>
        <v>0</v>
      </c>
      <c r="O33" s="12">
        <f>INDEX('DER Concepts'!$B$6:$V$31,MATCH($B33,'DER Concepts'!$B$6:$B$31,0),MATCH(O$17,'DER Concepts'!$B$6:$V$6,0))</f>
        <v>0</v>
      </c>
      <c r="P33" s="12">
        <f>INDEX('DER Concepts'!$B$6:$V$31,MATCH($B33,'DER Concepts'!$B$6:$B$31,0),MATCH(P$17,'DER Concepts'!$B$6:$V$6,0))</f>
        <v>0</v>
      </c>
      <c r="Q33" s="12">
        <f>INDEX('DER Concepts'!$B$6:$V$31,MATCH($B33,'DER Concepts'!$B$6:$B$31,0),MATCH(Q$17,'DER Concepts'!$B$6:$V$6,0))</f>
        <v>0</v>
      </c>
      <c r="R33" s="12">
        <f t="shared" si="0"/>
        <v>0</v>
      </c>
      <c r="S33" s="46">
        <v>8.8681755371093693</v>
      </c>
      <c r="T33" s="20">
        <v>0.31419999999999998</v>
      </c>
      <c r="U33" s="19">
        <f>INDEX(CBI!$B$10:$H$35,MATCH($B33,CBI!$B$10:$B$35,0),MATCH(U$17,CBI!$B$10:$H$10,0))</f>
        <v>14</v>
      </c>
      <c r="V33" s="21"/>
      <c r="W33" s="9"/>
    </row>
    <row r="34" spans="2:25" x14ac:dyDescent="0.35">
      <c r="B34" s="11">
        <v>18</v>
      </c>
      <c r="C34" s="9" t="s">
        <v>69</v>
      </c>
      <c r="D34" s="11" t="s">
        <v>0</v>
      </c>
      <c r="E34" s="58" t="s">
        <v>26</v>
      </c>
      <c r="F34" s="11" t="s">
        <v>39</v>
      </c>
      <c r="G34" s="58" t="s">
        <v>20</v>
      </c>
      <c r="H34" s="11" t="s">
        <v>36</v>
      </c>
      <c r="I34" s="12">
        <v>0</v>
      </c>
      <c r="J34" s="12">
        <f>INDEX('DER Concepts'!$B$6:$V$31,MATCH($B34,'DER Concepts'!$B$6:$B$31,0),MATCH(J$17,'DER Concepts'!$B$6:$V$6,0))+(VLOOKUP($B34,'DER Concepts'!$B$6:$N$31,13,FALSE)/3)</f>
        <v>15.600000000000001</v>
      </c>
      <c r="K34" s="12">
        <f>INDEX('DER Concepts'!$B$6:$V$31,MATCH($B34,'DER Concepts'!$B$6:$B$31,0),MATCH(K$17,'DER Concepts'!$B$6:$V$6,0))+(VLOOKUP($B34,'DER Concepts'!$B$6:$N$31,13,FALSE)/3)</f>
        <v>20</v>
      </c>
      <c r="L34" s="12">
        <f>INDEX('DER Concepts'!$B$6:$V$31,MATCH($B34,'DER Concepts'!$B$6:$B$31,0),MATCH(L$17,'DER Concepts'!$B$6:$V$6,0))+(VLOOKUP($B34,'DER Concepts'!$B$6:$N$31,13,FALSE)/3)</f>
        <v>24.400000000000002</v>
      </c>
      <c r="M34" s="12">
        <f>INDEX('DER Concepts'!$B$6:$V$31,MATCH($B34,'DER Concepts'!$B$6:$B$31,0),MATCH(M$17,'DER Concepts'!$B$6:$V$6,0))</f>
        <v>21.6</v>
      </c>
      <c r="N34" s="12">
        <f>INDEX('DER Concepts'!$B$6:$V$31,MATCH($B34,'DER Concepts'!$B$6:$B$31,0),MATCH(N$17,'DER Concepts'!$B$6:$V$6,0))</f>
        <v>21.6</v>
      </c>
      <c r="O34" s="12">
        <f>INDEX('DER Concepts'!$B$6:$V$31,MATCH($B34,'DER Concepts'!$B$6:$B$31,0),MATCH(O$17,'DER Concepts'!$B$6:$V$6,0))</f>
        <v>21.6</v>
      </c>
      <c r="P34" s="12">
        <f>INDEX('DER Concepts'!$B$6:$V$31,MATCH($B34,'DER Concepts'!$B$6:$B$31,0),MATCH(P$17,'DER Concepts'!$B$6:$V$6,0))</f>
        <v>21.6</v>
      </c>
      <c r="Q34" s="12">
        <f>INDEX('DER Concepts'!$B$6:$V$31,MATCH($B34,'DER Concepts'!$B$6:$B$31,0),MATCH(Q$17,'DER Concepts'!$B$6:$V$6,0))</f>
        <v>21.6</v>
      </c>
      <c r="R34" s="12">
        <f t="shared" si="0"/>
        <v>60</v>
      </c>
      <c r="S34" s="46">
        <v>8.964012775361347</v>
      </c>
      <c r="T34" s="20">
        <v>0.3794284339748269</v>
      </c>
      <c r="U34" s="19">
        <f>INDEX(CBI!$B$10:$H$35,MATCH($B34,CBI!$B$10:$B$35,0),MATCH(U$17,CBI!$B$10:$H$10,0))</f>
        <v>16</v>
      </c>
      <c r="V34" s="21"/>
      <c r="W34" s="9"/>
    </row>
    <row r="35" spans="2:25" ht="26" x14ac:dyDescent="0.35">
      <c r="B35" s="11">
        <v>20</v>
      </c>
      <c r="C35" s="9" t="s">
        <v>75</v>
      </c>
      <c r="D35" s="11" t="s">
        <v>0</v>
      </c>
      <c r="E35" s="58" t="s">
        <v>18</v>
      </c>
      <c r="F35" s="11" t="s">
        <v>73</v>
      </c>
      <c r="G35" s="58" t="s">
        <v>20</v>
      </c>
      <c r="H35" s="11" t="s">
        <v>74</v>
      </c>
      <c r="I35" s="12">
        <v>0</v>
      </c>
      <c r="J35" s="12">
        <f>INDEX('DER Concepts'!$B$6:$V$31,MATCH($B35,'DER Concepts'!$B$6:$B$31,0),MATCH(J$17,'DER Concepts'!$B$6:$V$6,0))+(VLOOKUP($B35,'DER Concepts'!$B$6:$N$31,13,FALSE)/3)</f>
        <v>0.55333333333333334</v>
      </c>
      <c r="K35" s="12">
        <f>INDEX('DER Concepts'!$B$6:$V$31,MATCH($B35,'DER Concepts'!$B$6:$B$31,0),MATCH(K$17,'DER Concepts'!$B$6:$V$6,0))+(VLOOKUP($B35,'DER Concepts'!$B$6:$N$31,13,FALSE)/3)</f>
        <v>0.55333333333333334</v>
      </c>
      <c r="L35" s="12">
        <f>INDEX('DER Concepts'!$B$6:$V$31,MATCH($B35,'DER Concepts'!$B$6:$B$31,0),MATCH(L$17,'DER Concepts'!$B$6:$V$6,0))+(VLOOKUP($B35,'DER Concepts'!$B$6:$N$31,13,FALSE)/3)</f>
        <v>0.55333333333333334</v>
      </c>
      <c r="M35" s="12">
        <f>INDEX('DER Concepts'!$B$6:$V$31,MATCH($B35,'DER Concepts'!$B$6:$B$31,0),MATCH(M$17,'DER Concepts'!$B$6:$V$6,0))</f>
        <v>0.498</v>
      </c>
      <c r="N35" s="12">
        <f>INDEX('DER Concepts'!$B$6:$V$31,MATCH($B35,'DER Concepts'!$B$6:$B$31,0),MATCH(N$17,'DER Concepts'!$B$6:$V$6,0))</f>
        <v>0.498</v>
      </c>
      <c r="O35" s="12">
        <f>INDEX('DER Concepts'!$B$6:$V$31,MATCH($B35,'DER Concepts'!$B$6:$B$31,0),MATCH(O$17,'DER Concepts'!$B$6:$V$6,0))</f>
        <v>0.58099999999999996</v>
      </c>
      <c r="P35" s="12">
        <f>INDEX('DER Concepts'!$B$6:$V$31,MATCH($B35,'DER Concepts'!$B$6:$B$31,0),MATCH(P$17,'DER Concepts'!$B$6:$V$6,0))</f>
        <v>0.66400000000000003</v>
      </c>
      <c r="Q35" s="12">
        <f>INDEX('DER Concepts'!$B$6:$V$31,MATCH($B35,'DER Concepts'!$B$6:$B$31,0),MATCH(Q$17,'DER Concepts'!$B$6:$V$6,0))</f>
        <v>0.66400000000000003</v>
      </c>
      <c r="R35" s="12">
        <f t="shared" si="0"/>
        <v>1.6600000000000001</v>
      </c>
      <c r="S35" s="46">
        <v>9.2076025756029747</v>
      </c>
      <c r="T35" s="20">
        <v>0.1173427519052541</v>
      </c>
      <c r="U35" s="19">
        <f>INDEX(CBI!$B$10:$H$35,MATCH($B35,CBI!$B$10:$B$35,0),MATCH(U$17,CBI!$B$10:$H$10,0))</f>
        <v>16</v>
      </c>
      <c r="V35" s="21"/>
      <c r="W35" s="9"/>
    </row>
    <row r="36" spans="2:25" ht="26" x14ac:dyDescent="0.35">
      <c r="B36" s="11">
        <v>1</v>
      </c>
      <c r="C36" s="9" t="s">
        <v>16</v>
      </c>
      <c r="D36" s="11" t="s">
        <v>1</v>
      </c>
      <c r="E36" s="58" t="s">
        <v>18</v>
      </c>
      <c r="F36" s="11" t="s">
        <v>19</v>
      </c>
      <c r="G36" s="58" t="s">
        <v>20</v>
      </c>
      <c r="H36" s="11" t="s">
        <v>21</v>
      </c>
      <c r="I36" s="12">
        <v>0</v>
      </c>
      <c r="J36" s="12">
        <f>INDEX('DER Concepts'!$B$6:$V$31,MATCH($B36,'DER Concepts'!$B$6:$B$31,0),MATCH(J$17,'DER Concepts'!$B$6:$V$6,0))+(VLOOKUP($B36,'DER Concepts'!$B$6:$N$31,13,FALSE)/3)</f>
        <v>9.2666666666666657</v>
      </c>
      <c r="K36" s="12">
        <f>INDEX('DER Concepts'!$B$6:$V$31,MATCH($B36,'DER Concepts'!$B$6:$B$31,0),MATCH(K$17,'DER Concepts'!$B$6:$V$6,0))+(VLOOKUP($B36,'DER Concepts'!$B$6:$N$31,13,FALSE)/3)</f>
        <v>9.4666666666666668</v>
      </c>
      <c r="L36" s="12">
        <f>INDEX('DER Concepts'!$B$6:$V$31,MATCH($B36,'DER Concepts'!$B$6:$B$31,0),MATCH(L$17,'DER Concepts'!$B$6:$V$6,0))+(VLOOKUP($B36,'DER Concepts'!$B$6:$N$31,13,FALSE)/3)</f>
        <v>9.6666666666666679</v>
      </c>
      <c r="M36" s="12">
        <f>INDEX('DER Concepts'!$B$6:$V$31,MATCH($B36,'DER Concepts'!$B$6:$B$31,0),MATCH(M$17,'DER Concepts'!$B$6:$V$6,0))</f>
        <v>7.4</v>
      </c>
      <c r="N36" s="12">
        <f>INDEX('DER Concepts'!$B$6:$V$31,MATCH($B36,'DER Concepts'!$B$6:$B$31,0),MATCH(N$17,'DER Concepts'!$B$6:$V$6,0))</f>
        <v>7.6</v>
      </c>
      <c r="O36" s="12">
        <f>INDEX('DER Concepts'!$B$6:$V$31,MATCH($B36,'DER Concepts'!$B$6:$B$31,0),MATCH(O$17,'DER Concepts'!$B$6:$V$6,0))</f>
        <v>7.6</v>
      </c>
      <c r="P36" s="12">
        <f>INDEX('DER Concepts'!$B$6:$V$31,MATCH($B36,'DER Concepts'!$B$6:$B$31,0),MATCH(P$17,'DER Concepts'!$B$6:$V$6,0))</f>
        <v>7.8</v>
      </c>
      <c r="Q36" s="12">
        <f>INDEX('DER Concepts'!$B$6:$V$31,MATCH($B36,'DER Concepts'!$B$6:$B$31,0),MATCH(Q$17,'DER Concepts'!$B$6:$V$6,0))</f>
        <v>7.8</v>
      </c>
      <c r="R36" s="12">
        <f t="shared" si="0"/>
        <v>28.400000000000002</v>
      </c>
      <c r="S36" s="46">
        <v>13.101785311970335</v>
      </c>
      <c r="T36" s="20">
        <v>0.28160000000000002</v>
      </c>
      <c r="U36" s="19">
        <f>INDEX(CBI!$B$10:$H$35,MATCH($B36,CBI!$B$10:$B$35,0),MATCH(U$17,CBI!$B$10:$H$10,0))</f>
        <v>16</v>
      </c>
      <c r="V36" s="21"/>
      <c r="W36" s="9"/>
    </row>
    <row r="37" spans="2:25" x14ac:dyDescent="0.35">
      <c r="B37" s="11">
        <v>10</v>
      </c>
      <c r="C37" s="9" t="s">
        <v>51</v>
      </c>
      <c r="D37" s="11" t="s">
        <v>1</v>
      </c>
      <c r="E37" s="58" t="s">
        <v>18</v>
      </c>
      <c r="F37" s="11" t="s">
        <v>35</v>
      </c>
      <c r="G37" s="58" t="s">
        <v>20</v>
      </c>
      <c r="H37" s="11" t="s">
        <v>36</v>
      </c>
      <c r="I37" s="12">
        <v>0</v>
      </c>
      <c r="J37" s="12">
        <f>INDEX('DER Concepts'!$B$6:$V$31,MATCH($B37,'DER Concepts'!$B$6:$B$31,0),MATCH(J$17,'DER Concepts'!$B$6:$V$6,0))+(VLOOKUP($B37,'DER Concepts'!$B$6:$N$31,13,FALSE)/3)</f>
        <v>1.5183333333333333</v>
      </c>
      <c r="K37" s="12">
        <f>INDEX('DER Concepts'!$B$6:$V$31,MATCH($B37,'DER Concepts'!$B$6:$B$31,0),MATCH(K$17,'DER Concepts'!$B$6:$V$6,0))+(VLOOKUP($B37,'DER Concepts'!$B$6:$N$31,13,FALSE)/3)</f>
        <v>1.5383333333333333</v>
      </c>
      <c r="L37" s="12">
        <f>INDEX('DER Concepts'!$B$6:$V$31,MATCH($B37,'DER Concepts'!$B$6:$B$31,0),MATCH(L$17,'DER Concepts'!$B$6:$V$6,0))+(VLOOKUP($B37,'DER Concepts'!$B$6:$N$31,13,FALSE)/3)</f>
        <v>1.5583333333333333</v>
      </c>
      <c r="M37" s="12">
        <f>INDEX('DER Concepts'!$B$6:$V$31,MATCH($B37,'DER Concepts'!$B$6:$B$31,0),MATCH(M$17,'DER Concepts'!$B$6:$V$6,0))</f>
        <v>1.2</v>
      </c>
      <c r="N37" s="12">
        <f>INDEX('DER Concepts'!$B$6:$V$31,MATCH($B37,'DER Concepts'!$B$6:$B$31,0),MATCH(N$17,'DER Concepts'!$B$6:$V$6,0))</f>
        <v>1.2150000000000001</v>
      </c>
      <c r="O37" s="12">
        <f>INDEX('DER Concepts'!$B$6:$V$31,MATCH($B37,'DER Concepts'!$B$6:$B$31,0),MATCH(O$17,'DER Concepts'!$B$6:$V$6,0))</f>
        <v>1.23</v>
      </c>
      <c r="P37" s="12">
        <f>INDEX('DER Concepts'!$B$6:$V$31,MATCH($B37,'DER Concepts'!$B$6:$B$31,0),MATCH(P$17,'DER Concepts'!$B$6:$V$6,0))</f>
        <v>1.2450000000000001</v>
      </c>
      <c r="Q37" s="12">
        <f>INDEX('DER Concepts'!$B$6:$V$31,MATCH($B37,'DER Concepts'!$B$6:$B$31,0),MATCH(Q$17,'DER Concepts'!$B$6:$V$6,0))</f>
        <v>1.26</v>
      </c>
      <c r="R37" s="12">
        <f t="shared" si="0"/>
        <v>4.6150000000000002</v>
      </c>
      <c r="S37" s="46">
        <v>13.920828306662617</v>
      </c>
      <c r="T37" s="20">
        <v>0.17699999999999999</v>
      </c>
      <c r="U37" s="19">
        <f>INDEX(CBI!$B$10:$H$35,MATCH($B37,CBI!$B$10:$B$35,0),MATCH(U$17,CBI!$B$10:$H$10,0))</f>
        <v>19</v>
      </c>
      <c r="V37" s="21"/>
      <c r="W37" s="9"/>
    </row>
    <row r="38" spans="2:25" ht="39" x14ac:dyDescent="0.35">
      <c r="B38" s="11">
        <v>5</v>
      </c>
      <c r="C38" s="9" t="s">
        <v>37</v>
      </c>
      <c r="D38" s="11" t="s">
        <v>1</v>
      </c>
      <c r="E38" s="74" t="s">
        <v>18</v>
      </c>
      <c r="F38" s="74" t="s">
        <v>39</v>
      </c>
      <c r="G38" s="74" t="s">
        <v>27</v>
      </c>
      <c r="H38" s="74" t="s">
        <v>40</v>
      </c>
      <c r="I38" s="12">
        <v>0</v>
      </c>
      <c r="J38" s="12">
        <f>INDEX('DER Concepts'!$B$6:$V$31,MATCH($B38,'DER Concepts'!$B$6:$B$31,0),MATCH(J$17,'DER Concepts'!$B$6:$V$6,0))+(VLOOKUP($B38,'DER Concepts'!$B$6:$N$31,13,FALSE)/3)</f>
        <v>0.91666666666666663</v>
      </c>
      <c r="K38" s="12">
        <f>INDEX('DER Concepts'!$B$6:$V$31,MATCH($B38,'DER Concepts'!$B$6:$B$31,0),MATCH(K$17,'DER Concepts'!$B$6:$V$6,0))+(VLOOKUP($B38,'DER Concepts'!$B$6:$N$31,13,FALSE)/3)</f>
        <v>0.91666666666666663</v>
      </c>
      <c r="L38" s="12">
        <f>INDEX('DER Concepts'!$B$6:$V$31,MATCH($B38,'DER Concepts'!$B$6:$B$31,0),MATCH(L$17,'DER Concepts'!$B$6:$V$6,0))+(VLOOKUP($B38,'DER Concepts'!$B$6:$N$31,13,FALSE)/3)</f>
        <v>0.91666666666666663</v>
      </c>
      <c r="M38" s="12">
        <f>INDEX('DER Concepts'!$B$6:$V$31,MATCH($B38,'DER Concepts'!$B$6:$B$31,0),MATCH(M$17,'DER Concepts'!$B$6:$V$6,0))</f>
        <v>1.75</v>
      </c>
      <c r="N38" s="12">
        <f>INDEX('DER Concepts'!$B$6:$V$31,MATCH($B38,'DER Concepts'!$B$6:$B$31,0),MATCH(N$17,'DER Concepts'!$B$6:$V$6,0))</f>
        <v>1.75</v>
      </c>
      <c r="O38" s="12">
        <f>INDEX('DER Concepts'!$B$6:$V$31,MATCH($B38,'DER Concepts'!$B$6:$B$31,0),MATCH(O$17,'DER Concepts'!$B$6:$V$6,0))</f>
        <v>3.25</v>
      </c>
      <c r="P38" s="12">
        <f>INDEX('DER Concepts'!$B$6:$V$31,MATCH($B38,'DER Concepts'!$B$6:$B$31,0),MATCH(P$17,'DER Concepts'!$B$6:$V$6,0))</f>
        <v>4.25</v>
      </c>
      <c r="Q38" s="12">
        <f>INDEX('DER Concepts'!$B$6:$V$31,MATCH($B38,'DER Concepts'!$B$6:$B$31,0),MATCH(Q$17,'DER Concepts'!$B$6:$V$6,0))</f>
        <v>4.25</v>
      </c>
      <c r="R38" s="12">
        <f t="shared" si="0"/>
        <v>2.75</v>
      </c>
      <c r="S38" s="46">
        <v>14.188653289794923</v>
      </c>
      <c r="T38" s="20">
        <v>0.1842</v>
      </c>
      <c r="U38" s="19">
        <f>INDEX(CBI!$B$10:$H$35,MATCH($B38,CBI!$B$10:$B$35,0),MATCH(U$17,CBI!$B$10:$H$10,0))</f>
        <v>17</v>
      </c>
      <c r="V38" s="21"/>
      <c r="W38" s="9"/>
    </row>
    <row r="39" spans="2:25" ht="26" x14ac:dyDescent="0.35">
      <c r="B39" s="11">
        <v>11</v>
      </c>
      <c r="C39" s="9" t="s">
        <v>53</v>
      </c>
      <c r="D39" s="11" t="s">
        <v>1</v>
      </c>
      <c r="E39" s="74" t="s">
        <v>18</v>
      </c>
      <c r="F39" s="74" t="s">
        <v>35</v>
      </c>
      <c r="G39" s="74" t="s">
        <v>20</v>
      </c>
      <c r="H39" s="74" t="s">
        <v>36</v>
      </c>
      <c r="I39" s="12">
        <v>0</v>
      </c>
      <c r="J39" s="12">
        <f>INDEX('DER Concepts'!$B$6:$V$31,MATCH($B39,'DER Concepts'!$B$6:$B$31,0),MATCH(J$17,'DER Concepts'!$B$6:$V$6,0))+(VLOOKUP($B39,'DER Concepts'!$B$6:$N$31,13,FALSE)/3)</f>
        <v>0.14666666666666667</v>
      </c>
      <c r="K39" s="12">
        <f>INDEX('DER Concepts'!$B$6:$V$31,MATCH($B39,'DER Concepts'!$B$6:$B$31,0),MATCH(K$17,'DER Concepts'!$B$6:$V$6,0))+(VLOOKUP($B39,'DER Concepts'!$B$6:$N$31,13,FALSE)/3)</f>
        <v>0.14666666666666667</v>
      </c>
      <c r="L39" s="12">
        <f>INDEX('DER Concepts'!$B$6:$V$31,MATCH($B39,'DER Concepts'!$B$6:$B$31,0),MATCH(L$17,'DER Concepts'!$B$6:$V$6,0))+(VLOOKUP($B39,'DER Concepts'!$B$6:$N$31,13,FALSE)/3)</f>
        <v>0.14666666666666667</v>
      </c>
      <c r="M39" s="12">
        <f>INDEX('DER Concepts'!$B$6:$V$31,MATCH($B39,'DER Concepts'!$B$6:$B$31,0),MATCH(M$17,'DER Concepts'!$B$6:$V$6,0))</f>
        <v>0.11</v>
      </c>
      <c r="N39" s="12">
        <f>INDEX('DER Concepts'!$B$6:$V$31,MATCH($B39,'DER Concepts'!$B$6:$B$31,0),MATCH(N$17,'DER Concepts'!$B$6:$V$6,0))</f>
        <v>0.11</v>
      </c>
      <c r="O39" s="12">
        <f>INDEX('DER Concepts'!$B$6:$V$31,MATCH($B39,'DER Concepts'!$B$6:$B$31,0),MATCH(O$17,'DER Concepts'!$B$6:$V$6,0))</f>
        <v>0.11</v>
      </c>
      <c r="P39" s="12">
        <f>INDEX('DER Concepts'!$B$6:$V$31,MATCH($B39,'DER Concepts'!$B$6:$B$31,0),MATCH(P$17,'DER Concepts'!$B$6:$V$6,0))</f>
        <v>0.11</v>
      </c>
      <c r="Q39" s="12">
        <f>INDEX('DER Concepts'!$B$6:$V$31,MATCH($B39,'DER Concepts'!$B$6:$B$31,0),MATCH(Q$17,'DER Concepts'!$B$6:$V$6,0))</f>
        <v>0.11</v>
      </c>
      <c r="R39" s="12">
        <f t="shared" si="0"/>
        <v>0.44</v>
      </c>
      <c r="S39" s="46">
        <v>16.132658183982102</v>
      </c>
      <c r="T39" s="20">
        <v>0.1946</v>
      </c>
      <c r="U39" s="19">
        <f>INDEX(CBI!$B$10:$H$35,MATCH($B39,CBI!$B$10:$B$35,0),MATCH(U$17,CBI!$B$10:$H$10,0))</f>
        <v>20</v>
      </c>
      <c r="V39" s="21"/>
      <c r="W39" s="9"/>
    </row>
    <row r="40" spans="2:25" x14ac:dyDescent="0.35">
      <c r="B40" s="11">
        <v>22</v>
      </c>
      <c r="C40" s="9" t="s">
        <v>79</v>
      </c>
      <c r="D40" s="11" t="s">
        <v>0</v>
      </c>
      <c r="E40" s="58" t="s">
        <v>26</v>
      </c>
      <c r="F40" s="11" t="s">
        <v>39</v>
      </c>
      <c r="G40" s="58" t="s">
        <v>20</v>
      </c>
      <c r="H40" s="11" t="s">
        <v>36</v>
      </c>
      <c r="I40" s="12">
        <v>0</v>
      </c>
      <c r="J40" s="12">
        <f>INDEX('DER Concepts'!$B$6:$V$31,MATCH($B40,'DER Concepts'!$B$6:$B$31,0),MATCH(J$17,'DER Concepts'!$B$6:$V$6,0))+(VLOOKUP($B40,'DER Concepts'!$B$6:$N$31,13,FALSE)/3)</f>
        <v>1.194</v>
      </c>
      <c r="K40" s="12">
        <f>INDEX('DER Concepts'!$B$6:$V$31,MATCH($B40,'DER Concepts'!$B$6:$B$31,0),MATCH(K$17,'DER Concepts'!$B$6:$V$6,0))+(VLOOKUP($B40,'DER Concepts'!$B$6:$N$31,13,FALSE)/3)</f>
        <v>1.5959999999999999</v>
      </c>
      <c r="L40" s="12">
        <f>INDEX('DER Concepts'!$B$6:$V$31,MATCH($B40,'DER Concepts'!$B$6:$B$31,0),MATCH(L$17,'DER Concepts'!$B$6:$V$6,0))+(VLOOKUP($B40,'DER Concepts'!$B$6:$N$31,13,FALSE)/3)</f>
        <v>2.004</v>
      </c>
      <c r="M40" s="12">
        <f>INDEX('DER Concepts'!$B$6:$V$31,MATCH($B40,'DER Concepts'!$B$6:$B$31,0),MATCH(M$17,'DER Concepts'!$B$6:$V$6,0))</f>
        <v>2.4660000000000002</v>
      </c>
      <c r="N40" s="12">
        <f>INDEX('DER Concepts'!$B$6:$V$31,MATCH($B40,'DER Concepts'!$B$6:$B$31,0),MATCH(N$17,'DER Concepts'!$B$6:$V$6,0))</f>
        <v>3.2759999999999998</v>
      </c>
      <c r="O40" s="12">
        <f>INDEX('DER Concepts'!$B$6:$V$31,MATCH($B40,'DER Concepts'!$B$6:$B$31,0),MATCH(O$17,'DER Concepts'!$B$6:$V$6,0))</f>
        <v>4.1820000000000004</v>
      </c>
      <c r="P40" s="12">
        <f>INDEX('DER Concepts'!$B$6:$V$31,MATCH($B40,'DER Concepts'!$B$6:$B$31,0),MATCH(P$17,'DER Concepts'!$B$6:$V$6,0))</f>
        <v>5.2859999999999996</v>
      </c>
      <c r="Q40" s="12">
        <f>INDEX('DER Concepts'!$B$6:$V$31,MATCH($B40,'DER Concepts'!$B$6:$B$31,0),MATCH(Q$17,'DER Concepts'!$B$6:$V$6,0))</f>
        <v>6.6779999999999999</v>
      </c>
      <c r="R40" s="12">
        <f t="shared" si="0"/>
        <v>4.7940000000000005</v>
      </c>
      <c r="S40" s="46">
        <v>18.415985147405596</v>
      </c>
      <c r="T40" s="20">
        <v>0.21121505752351757</v>
      </c>
      <c r="U40" s="19">
        <f>INDEX(CBI!$B$10:$H$35,MATCH($B40,CBI!$B$10:$B$35,0),MATCH(U$17,CBI!$B$10:$H$10,0))</f>
        <v>16</v>
      </c>
      <c r="V40" s="21"/>
      <c r="W40" s="9"/>
      <c r="Y40" s="54"/>
    </row>
    <row r="41" spans="2:25" ht="26" x14ac:dyDescent="0.35">
      <c r="B41" s="11">
        <v>19</v>
      </c>
      <c r="C41" s="9" t="s">
        <v>71</v>
      </c>
      <c r="D41" s="11" t="s">
        <v>0</v>
      </c>
      <c r="E41" s="58" t="s">
        <v>18</v>
      </c>
      <c r="F41" s="11" t="s">
        <v>73</v>
      </c>
      <c r="G41" s="58" t="s">
        <v>20</v>
      </c>
      <c r="H41" s="11" t="s">
        <v>74</v>
      </c>
      <c r="I41" s="12">
        <v>0</v>
      </c>
      <c r="J41" s="12">
        <f>INDEX('DER Concepts'!$B$6:$V$31,MATCH($B41,'DER Concepts'!$B$6:$B$31,0),MATCH(J$17,'DER Concepts'!$B$6:$V$6,0))+(VLOOKUP($B41,'DER Concepts'!$B$6:$N$31,13,FALSE)/3)</f>
        <v>0.11066666666666668</v>
      </c>
      <c r="K41" s="12">
        <f>INDEX('DER Concepts'!$B$6:$V$31,MATCH($B41,'DER Concepts'!$B$6:$B$31,0),MATCH(K$17,'DER Concepts'!$B$6:$V$6,0))+(VLOOKUP($B41,'DER Concepts'!$B$6:$N$31,13,FALSE)/3)</f>
        <v>0.11066666666666668</v>
      </c>
      <c r="L41" s="12">
        <f>INDEX('DER Concepts'!$B$6:$V$31,MATCH($B41,'DER Concepts'!$B$6:$B$31,0),MATCH(L$17,'DER Concepts'!$B$6:$V$6,0))+(VLOOKUP($B41,'DER Concepts'!$B$6:$N$31,13,FALSE)/3)</f>
        <v>0.11066666666666668</v>
      </c>
      <c r="M41" s="12">
        <f>INDEX('DER Concepts'!$B$6:$V$31,MATCH($B41,'DER Concepts'!$B$6:$B$31,0),MATCH(M$17,'DER Concepts'!$B$6:$V$6,0))</f>
        <v>8.3000000000000004E-2</v>
      </c>
      <c r="N41" s="12">
        <f>INDEX('DER Concepts'!$B$6:$V$31,MATCH($B41,'DER Concepts'!$B$6:$B$31,0),MATCH(N$17,'DER Concepts'!$B$6:$V$6,0))</f>
        <v>0.16600000000000001</v>
      </c>
      <c r="O41" s="12">
        <f>INDEX('DER Concepts'!$B$6:$V$31,MATCH($B41,'DER Concepts'!$B$6:$B$31,0),MATCH(O$17,'DER Concepts'!$B$6:$V$6,0))</f>
        <v>0.249</v>
      </c>
      <c r="P41" s="12">
        <f>INDEX('DER Concepts'!$B$6:$V$31,MATCH($B41,'DER Concepts'!$B$6:$B$31,0),MATCH(P$17,'DER Concepts'!$B$6:$V$6,0))</f>
        <v>0.249</v>
      </c>
      <c r="Q41" s="12">
        <f>INDEX('DER Concepts'!$B$6:$V$31,MATCH($B41,'DER Concepts'!$B$6:$B$31,0),MATCH(Q$17,'DER Concepts'!$B$6:$V$6,0))</f>
        <v>0.33200000000000002</v>
      </c>
      <c r="R41" s="12">
        <f t="shared" si="0"/>
        <v>0.33200000000000002</v>
      </c>
      <c r="S41" s="46">
        <v>18.531135620948916</v>
      </c>
      <c r="T41" s="20">
        <v>0.16558823561576444</v>
      </c>
      <c r="U41" s="19">
        <f>INDEX(CBI!$B$10:$H$35,MATCH($B41,CBI!$B$10:$B$35,0),MATCH(U$17,CBI!$B$10:$H$10,0))</f>
        <v>16</v>
      </c>
      <c r="V41" s="21"/>
      <c r="W41" s="9"/>
    </row>
    <row r="42" spans="2:25" ht="26" x14ac:dyDescent="0.35">
      <c r="B42" s="11">
        <v>23</v>
      </c>
      <c r="C42" s="9" t="s">
        <v>81</v>
      </c>
      <c r="D42" s="11" t="s">
        <v>0</v>
      </c>
      <c r="E42" s="58" t="s">
        <v>26</v>
      </c>
      <c r="F42" s="11" t="s">
        <v>39</v>
      </c>
      <c r="G42" s="58" t="s">
        <v>20</v>
      </c>
      <c r="H42" s="11" t="s">
        <v>36</v>
      </c>
      <c r="I42" s="12">
        <v>0</v>
      </c>
      <c r="J42" s="12">
        <f>INDEX('DER Concepts'!$B$6:$V$31,MATCH($B42,'DER Concepts'!$B$6:$B$31,0),MATCH(J$17,'DER Concepts'!$B$6:$V$6,0))+(VLOOKUP($B42,'DER Concepts'!$B$6:$N$31,13,FALSE)/3)</f>
        <v>0.16800000000000001</v>
      </c>
      <c r="K42" s="12">
        <f>INDEX('DER Concepts'!$B$6:$V$31,MATCH($B42,'DER Concepts'!$B$6:$B$31,0),MATCH(K$17,'DER Concepts'!$B$6:$V$6,0))+(VLOOKUP($B42,'DER Concepts'!$B$6:$N$31,13,FALSE)/3)</f>
        <v>0.22800000000000001</v>
      </c>
      <c r="L42" s="12">
        <f>INDEX('DER Concepts'!$B$6:$V$31,MATCH($B42,'DER Concepts'!$B$6:$B$31,0),MATCH(L$17,'DER Concepts'!$B$6:$V$6,0))+(VLOOKUP($B42,'DER Concepts'!$B$6:$N$31,13,FALSE)/3)</f>
        <v>0.28200000000000003</v>
      </c>
      <c r="M42" s="12">
        <f>INDEX('DER Concepts'!$B$6:$V$31,MATCH($B42,'DER Concepts'!$B$6:$B$31,0),MATCH(M$17,'DER Concepts'!$B$6:$V$6,0))</f>
        <v>0.34799999999999998</v>
      </c>
      <c r="N42" s="12">
        <f>INDEX('DER Concepts'!$B$6:$V$31,MATCH($B42,'DER Concepts'!$B$6:$B$31,0),MATCH(N$17,'DER Concepts'!$B$6:$V$6,0))</f>
        <v>0.46200000000000002</v>
      </c>
      <c r="O42" s="12">
        <f>INDEX('DER Concepts'!$B$6:$V$31,MATCH($B42,'DER Concepts'!$B$6:$B$31,0),MATCH(O$17,'DER Concepts'!$B$6:$V$6,0))</f>
        <v>0.59399999999999997</v>
      </c>
      <c r="P42" s="12">
        <f>INDEX('DER Concepts'!$B$6:$V$31,MATCH($B42,'DER Concepts'!$B$6:$B$31,0),MATCH(P$17,'DER Concepts'!$B$6:$V$6,0))</f>
        <v>0.75</v>
      </c>
      <c r="Q42" s="12">
        <f>INDEX('DER Concepts'!$B$6:$V$31,MATCH($B42,'DER Concepts'!$B$6:$B$31,0),MATCH(Q$17,'DER Concepts'!$B$6:$V$6,0))</f>
        <v>0.94799999999999995</v>
      </c>
      <c r="R42" s="12">
        <f t="shared" si="0"/>
        <v>0.67800000000000005</v>
      </c>
      <c r="S42" s="46">
        <v>22.472664936145215</v>
      </c>
      <c r="T42" s="20">
        <v>0.17595976874201763</v>
      </c>
      <c r="U42" s="19">
        <f>INDEX(CBI!$B$10:$H$35,MATCH($B42,CBI!$B$10:$B$35,0),MATCH(U$17,CBI!$B$10:$H$10,0))</f>
        <v>17</v>
      </c>
      <c r="V42" s="21"/>
      <c r="W42" s="9"/>
    </row>
    <row r="43" spans="2:25" x14ac:dyDescent="0.35">
      <c r="B43" s="56">
        <v>4</v>
      </c>
      <c r="C43" s="9" t="s">
        <v>33</v>
      </c>
      <c r="D43" s="56" t="s">
        <v>1</v>
      </c>
      <c r="E43" s="74" t="s">
        <v>26</v>
      </c>
      <c r="F43" s="56" t="s">
        <v>35</v>
      </c>
      <c r="G43" s="58" t="s">
        <v>20</v>
      </c>
      <c r="H43" s="56" t="s">
        <v>36</v>
      </c>
      <c r="I43" s="12">
        <v>0</v>
      </c>
      <c r="J43" s="12">
        <f>INDEX('DER Concepts'!$B$6:$V$31,MATCH($B43,'DER Concepts'!$B$6:$B$31,0),MATCH(J$17,'DER Concepts'!$B$6:$V$6,0))+(VLOOKUP($B43,'DER Concepts'!$B$6:$N$31,13,FALSE)/3)</f>
        <v>8.4</v>
      </c>
      <c r="K43" s="12">
        <f>INDEX('DER Concepts'!$B$6:$V$31,MATCH($B43,'DER Concepts'!$B$6:$B$31,0),MATCH(K$17,'DER Concepts'!$B$6:$V$6,0))+(VLOOKUP($B43,'DER Concepts'!$B$6:$N$31,13,FALSE)/3)</f>
        <v>8.4</v>
      </c>
      <c r="L43" s="12">
        <f>INDEX('DER Concepts'!$B$6:$V$31,MATCH($B43,'DER Concepts'!$B$6:$B$31,0),MATCH(L$17,'DER Concepts'!$B$6:$V$6,0))+(VLOOKUP($B43,'DER Concepts'!$B$6:$N$31,13,FALSE)/3)</f>
        <v>8.4</v>
      </c>
      <c r="M43" s="12">
        <f>INDEX('DER Concepts'!$B$6:$V$31,MATCH($B43,'DER Concepts'!$B$6:$B$31,0),MATCH(M$17,'DER Concepts'!$B$6:$V$6,0))</f>
        <v>14.4</v>
      </c>
      <c r="N43" s="12">
        <f>INDEX('DER Concepts'!$B$6:$V$31,MATCH($B43,'DER Concepts'!$B$6:$B$31,0),MATCH(N$17,'DER Concepts'!$B$6:$V$6,0))</f>
        <v>14.4</v>
      </c>
      <c r="O43" s="12">
        <f>INDEX('DER Concepts'!$B$6:$V$31,MATCH($B43,'DER Concepts'!$B$6:$B$31,0),MATCH(O$17,'DER Concepts'!$B$6:$V$6,0))</f>
        <v>28.8</v>
      </c>
      <c r="P43" s="12">
        <f>INDEX('DER Concepts'!$B$6:$V$31,MATCH($B43,'DER Concepts'!$B$6:$B$31,0),MATCH(P$17,'DER Concepts'!$B$6:$V$6,0))</f>
        <v>36</v>
      </c>
      <c r="Q43" s="12">
        <f>INDEX('DER Concepts'!$B$6:$V$31,MATCH($B43,'DER Concepts'!$B$6:$B$31,0),MATCH(Q$17,'DER Concepts'!$B$6:$V$6,0))</f>
        <v>36</v>
      </c>
      <c r="R43" s="12">
        <f t="shared" si="0"/>
        <v>25.200000000000003</v>
      </c>
      <c r="S43" s="46">
        <v>26.334972555837133</v>
      </c>
      <c r="T43" s="20">
        <v>0.2011</v>
      </c>
      <c r="U43" s="19">
        <f>INDEX(CBI!$B$10:$H$35,MATCH($B43,CBI!$B$10:$B$35,0),MATCH(U$17,CBI!$B$10:$H$10,0))</f>
        <v>17</v>
      </c>
      <c r="V43" s="21"/>
      <c r="W43" s="9"/>
    </row>
    <row r="45" spans="2:25" x14ac:dyDescent="0.35">
      <c r="L45" s="63" t="s">
        <v>131</v>
      </c>
      <c r="R45" s="2">
        <f>SUMIF($D$18:$D$43,"Solar",$R$18:$R$43)</f>
        <v>203.892</v>
      </c>
    </row>
    <row r="46" spans="2:25" x14ac:dyDescent="0.35">
      <c r="L46" s="63" t="s">
        <v>132</v>
      </c>
      <c r="R46" s="2">
        <f>SUMIF($D$18:$D$43,"Battery",$R$18:$R$43)</f>
        <v>80.12</v>
      </c>
    </row>
  </sheetData>
  <autoFilter ref="B17:W44">
    <sortState ref="B22:W50">
      <sortCondition ref="S21:S48"/>
    </sortState>
  </autoFilter>
  <mergeCells count="2">
    <mergeCell ref="I16:R16"/>
    <mergeCell ref="C9:W9"/>
  </mergeCells>
  <hyperlinks>
    <hyperlink ref="C10" r:id="rId1"/>
    <hyperlink ref="C14" r:id="rId2"/>
  </hyperlinks>
  <pageMargins left="0.7" right="0.7" top="0.75" bottom="0.75" header="0.3" footer="0.3"/>
  <pageSetup scale="51" orientation="landscape" r:id="rId3"/>
  <headerFooter>
    <oddHeader>&amp;LAppendix D-2: DER Preferred Portfolio Selection&amp;RClean Energy Implementation Plan</oddHeader>
    <oddFooter>&amp;LDECEMBER 17, 2021&amp;C&amp;P of &amp;N&amp;RPuget Sound Energy</oddFooter>
  </headerFooter>
  <legacy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filterMode="1">
    <pageSetUpPr fitToPage="1"/>
  </sheetPr>
  <dimension ref="B1:X27"/>
  <sheetViews>
    <sheetView zoomScaleNormal="100" workbookViewId="0">
      <pane xSplit="8" ySplit="12" topLeftCell="I13" activePane="bottomRight" state="frozen"/>
      <selection activeCell="C12" sqref="C12"/>
      <selection pane="topRight" activeCell="C12" sqref="C12"/>
      <selection pane="bottomLeft" activeCell="C12" sqref="C12"/>
      <selection pane="bottomRight" activeCell="C12" sqref="C12"/>
    </sheetView>
  </sheetViews>
  <sheetFormatPr defaultColWidth="10.7265625" defaultRowHeight="14.5" outlineLevelCol="1" x14ac:dyDescent="0.35"/>
  <cols>
    <col min="1" max="1" width="2.7265625" style="2" customWidth="1"/>
    <col min="2" max="2" width="5.7265625" style="2" customWidth="1"/>
    <col min="3" max="3" width="30.7265625" style="2" customWidth="1"/>
    <col min="4" max="8" width="10.7265625" style="2" customWidth="1"/>
    <col min="9" max="12" width="7.7265625" style="2" customWidth="1"/>
    <col min="13" max="17" width="7.7265625" style="2" hidden="1" customWidth="1" outlineLevel="1"/>
    <col min="18" max="18" width="10.7265625" style="2" customWidth="1" collapsed="1"/>
    <col min="19" max="19" width="16.1796875" style="2" customWidth="1"/>
    <col min="20" max="20" width="8.7265625" style="2" customWidth="1"/>
    <col min="21" max="21" width="10.7265625" style="2" customWidth="1"/>
    <col min="22" max="22" width="6.7265625" style="2" customWidth="1" outlineLevel="1"/>
    <col min="23" max="23" width="60.7265625" style="2" customWidth="1"/>
    <col min="25" max="16384" width="10.7265625" style="2"/>
  </cols>
  <sheetData>
    <row r="1" spans="2:24" x14ac:dyDescent="0.35">
      <c r="B1" s="18" t="s">
        <v>109</v>
      </c>
      <c r="C1" s="18" t="s">
        <v>110</v>
      </c>
    </row>
    <row r="2" spans="2:24" x14ac:dyDescent="0.35">
      <c r="B2" s="30">
        <v>1</v>
      </c>
      <c r="C2" s="3" t="s">
        <v>112</v>
      </c>
    </row>
    <row r="3" spans="2:24" x14ac:dyDescent="0.35">
      <c r="B3" s="30">
        <v>2</v>
      </c>
      <c r="C3" s="1" t="s">
        <v>127</v>
      </c>
    </row>
    <row r="4" spans="2:24" x14ac:dyDescent="0.35">
      <c r="B4" s="30">
        <v>3</v>
      </c>
      <c r="C4" s="1" t="s">
        <v>126</v>
      </c>
    </row>
    <row r="5" spans="2:24" x14ac:dyDescent="0.35">
      <c r="B5" s="30">
        <v>4</v>
      </c>
      <c r="C5" s="1" t="s">
        <v>129</v>
      </c>
    </row>
    <row r="6" spans="2:24" s="76" customFormat="1" x14ac:dyDescent="0.35">
      <c r="B6" s="30">
        <v>5</v>
      </c>
      <c r="C6" s="1" t="s">
        <v>184</v>
      </c>
      <c r="X6"/>
    </row>
    <row r="7" spans="2:24" x14ac:dyDescent="0.35">
      <c r="B7" s="30">
        <v>6</v>
      </c>
      <c r="C7" s="3" t="s">
        <v>113</v>
      </c>
    </row>
    <row r="8" spans="2:24" x14ac:dyDescent="0.35">
      <c r="B8" s="30">
        <v>7</v>
      </c>
      <c r="C8" s="3" t="s">
        <v>114</v>
      </c>
    </row>
    <row r="9" spans="2:24" x14ac:dyDescent="0.35">
      <c r="B9" s="30">
        <v>8</v>
      </c>
      <c r="C9" s="3" t="s">
        <v>178</v>
      </c>
    </row>
    <row r="10" spans="2:24" x14ac:dyDescent="0.35">
      <c r="B10" s="30">
        <v>9</v>
      </c>
      <c r="C10" s="3" t="s">
        <v>115</v>
      </c>
    </row>
    <row r="11" spans="2:24" x14ac:dyDescent="0.35">
      <c r="H11" s="18"/>
      <c r="I11" s="158"/>
      <c r="J11" s="158"/>
      <c r="K11" s="158"/>
      <c r="L11" s="158"/>
      <c r="M11" s="158"/>
      <c r="N11" s="158"/>
      <c r="O11" s="158"/>
      <c r="P11" s="158"/>
      <c r="Q11" s="158"/>
      <c r="R11" s="158"/>
      <c r="S11" s="57"/>
      <c r="T11" s="57"/>
      <c r="U11" s="57"/>
      <c r="V11" s="55"/>
      <c r="W11" s="55"/>
    </row>
    <row r="12" spans="2:24" s="18" customFormat="1" ht="39" x14ac:dyDescent="0.35">
      <c r="B12" s="7" t="s">
        <v>7</v>
      </c>
      <c r="C12" s="7" t="s">
        <v>8</v>
      </c>
      <c r="D12" s="7" t="s">
        <v>9</v>
      </c>
      <c r="E12" s="7" t="s">
        <v>11</v>
      </c>
      <c r="F12" s="7" t="s">
        <v>12</v>
      </c>
      <c r="G12" s="7" t="s">
        <v>13</v>
      </c>
      <c r="H12" s="7" t="s">
        <v>14</v>
      </c>
      <c r="I12" s="7">
        <v>2022</v>
      </c>
      <c r="J12" s="7">
        <v>2023</v>
      </c>
      <c r="K12" s="7">
        <v>2024</v>
      </c>
      <c r="L12" s="7">
        <v>2025</v>
      </c>
      <c r="M12" s="7">
        <v>2026</v>
      </c>
      <c r="N12" s="7">
        <v>2027</v>
      </c>
      <c r="O12" s="7">
        <v>2028</v>
      </c>
      <c r="P12" s="7">
        <v>2029</v>
      </c>
      <c r="Q12" s="7">
        <v>2030</v>
      </c>
      <c r="R12" s="7" t="s">
        <v>89</v>
      </c>
      <c r="S12" s="7" t="s">
        <v>104</v>
      </c>
      <c r="T12" s="7" t="s">
        <v>88</v>
      </c>
      <c r="U12" s="36" t="s">
        <v>140</v>
      </c>
      <c r="V12" s="7" t="s">
        <v>103</v>
      </c>
      <c r="W12" s="49" t="s">
        <v>105</v>
      </c>
      <c r="X12" s="18" t="s">
        <v>128</v>
      </c>
    </row>
    <row r="13" spans="2:24" ht="48.75" hidden="1" customHeight="1" x14ac:dyDescent="0.35">
      <c r="B13" s="58">
        <v>12</v>
      </c>
      <c r="C13" s="9" t="s">
        <v>55</v>
      </c>
      <c r="D13" s="58" t="s">
        <v>0</v>
      </c>
      <c r="E13" s="58" t="s">
        <v>18</v>
      </c>
      <c r="F13" s="58" t="s">
        <v>31</v>
      </c>
      <c r="G13" s="58" t="s">
        <v>20</v>
      </c>
      <c r="H13" s="58" t="s">
        <v>36</v>
      </c>
      <c r="I13" s="12">
        <f>INDEX('DER Concepts'!$B$6:$V$31,MATCH($B13,'DER Concepts'!$B$6:$B$31,0),MATCH(I$12,'DER Concepts'!$B$6:$V$6,0))</f>
        <v>13.87</v>
      </c>
      <c r="J13" s="12">
        <f>INDEX('DER Concepts'!$B$6:$V$31,MATCH($B13,'DER Concepts'!$B$6:$B$31,0),MATCH(J$12,'DER Concepts'!$B$6:$V$6,0))</f>
        <v>15</v>
      </c>
      <c r="K13" s="12">
        <f>INDEX('DER Concepts'!$B$6:$V$31,MATCH($B13,'DER Concepts'!$B$6:$B$31,0),MATCH(K$12,'DER Concepts'!$B$6:$V$6,0))</f>
        <v>17.5</v>
      </c>
      <c r="L13" s="12">
        <f>INDEX('DER Concepts'!$B$6:$V$31,MATCH($B13,'DER Concepts'!$B$6:$B$31,0),MATCH(L$12,'DER Concepts'!$B$6:$V$6,0))</f>
        <v>10.7</v>
      </c>
      <c r="M13" s="12">
        <f>INDEX('DER Concepts'!$B$6:$V$31,MATCH($B13,'DER Concepts'!$B$6:$B$31,0),MATCH(M$12,'DER Concepts'!$B$6:$V$6,0))</f>
        <v>0</v>
      </c>
      <c r="N13" s="12">
        <f>INDEX('DER Concepts'!$B$6:$V$31,MATCH($B13,'DER Concepts'!$B$6:$B$31,0),MATCH(N$12,'DER Concepts'!$B$6:$V$6,0))</f>
        <v>0</v>
      </c>
      <c r="O13" s="12">
        <f>INDEX('DER Concepts'!$B$6:$V$31,MATCH($B13,'DER Concepts'!$B$6:$B$31,0),MATCH(O$12,'DER Concepts'!$B$6:$V$6,0))</f>
        <v>0</v>
      </c>
      <c r="P13" s="12">
        <f>INDEX('DER Concepts'!$B$6:$V$31,MATCH($B13,'DER Concepts'!$B$6:$B$31,0),MATCH(P$12,'DER Concepts'!$B$6:$V$6,0))</f>
        <v>0</v>
      </c>
      <c r="Q13" s="12">
        <f>INDEX('DER Concepts'!$B$6:$V$31,MATCH($B13,'DER Concepts'!$B$6:$B$31,0),MATCH(Q$12,'DER Concepts'!$B$6:$V$6,0))</f>
        <v>0</v>
      </c>
      <c r="R13" s="12">
        <f t="shared" ref="R13:R25" si="0">SUM(I13:L13)</f>
        <v>57.069999999999993</v>
      </c>
      <c r="S13" s="46">
        <v>0</v>
      </c>
      <c r="T13" s="20">
        <f>INDEX('S6-Summary'!$B$17:$W$43,MATCH($B13,'S6-Summary'!$B$17:$B$43,0),MATCH(T$12,'S6-Summary'!$B$17:$W$17,0))</f>
        <v>0.27591767984729265</v>
      </c>
      <c r="U13" s="19">
        <f>INDEX('S6-Summary'!$B$17:$W$43,MATCH($B13,'S6-Summary'!$B$17:$B$43,0),MATCH(U$12,'S6-Summary'!$B$17:$W$17,0))</f>
        <v>0</v>
      </c>
      <c r="V13" s="21" t="s">
        <v>23</v>
      </c>
      <c r="W13" s="9" t="s">
        <v>93</v>
      </c>
      <c r="X13" s="30"/>
    </row>
    <row r="14" spans="2:24" ht="38.25" hidden="1" customHeight="1" x14ac:dyDescent="0.35">
      <c r="B14" s="58">
        <v>13</v>
      </c>
      <c r="C14" s="9" t="s">
        <v>58</v>
      </c>
      <c r="D14" s="58" t="s">
        <v>0</v>
      </c>
      <c r="E14" s="58" t="s">
        <v>18</v>
      </c>
      <c r="F14" s="58" t="s">
        <v>31</v>
      </c>
      <c r="G14" s="58" t="s">
        <v>20</v>
      </c>
      <c r="H14" s="58" t="s">
        <v>36</v>
      </c>
      <c r="I14" s="12">
        <f>INDEX('DER Concepts'!$B$6:$V$31,MATCH($B14,'DER Concepts'!$B$6:$B$31,0),MATCH(I$12,'DER Concepts'!$B$6:$V$6,0))</f>
        <v>0</v>
      </c>
      <c r="J14" s="12">
        <f>INDEX('DER Concepts'!$B$6:$V$31,MATCH($B14,'DER Concepts'!$B$6:$B$31,0),MATCH(J$12,'DER Concepts'!$B$6:$V$6,0))</f>
        <v>0</v>
      </c>
      <c r="K14" s="12">
        <f>INDEX('DER Concepts'!$B$6:$V$31,MATCH($B14,'DER Concepts'!$B$6:$B$31,0),MATCH(K$12,'DER Concepts'!$B$6:$V$6,0))</f>
        <v>0</v>
      </c>
      <c r="L14" s="12">
        <f>INDEX('DER Concepts'!$B$6:$V$31,MATCH($B14,'DER Concepts'!$B$6:$B$31,0),MATCH(L$12,'DER Concepts'!$B$6:$V$6,0))</f>
        <v>6.8</v>
      </c>
      <c r="M14" s="12">
        <f>INDEX('DER Concepts'!$B$6:$V$31,MATCH($B14,'DER Concepts'!$B$6:$B$31,0),MATCH(M$12,'DER Concepts'!$B$6:$V$6,0))</f>
        <v>18.267490903690632</v>
      </c>
      <c r="N14" s="12">
        <f>INDEX('DER Concepts'!$B$6:$V$31,MATCH($B14,'DER Concepts'!$B$6:$B$31,0),MATCH(N$12,'DER Concepts'!$B$6:$V$6,0))</f>
        <v>19.081447983960388</v>
      </c>
      <c r="O14" s="12">
        <f>INDEX('DER Concepts'!$B$6:$V$31,MATCH($B14,'DER Concepts'!$B$6:$B$31,0),MATCH(O$12,'DER Concepts'!$B$6:$V$6,0))</f>
        <v>19.895405064230726</v>
      </c>
      <c r="P14" s="12">
        <f>INDEX('DER Concepts'!$B$6:$V$31,MATCH($B14,'DER Concepts'!$B$6:$B$31,0),MATCH(P$12,'DER Concepts'!$B$6:$V$6,0))</f>
        <v>20.709362144501064</v>
      </c>
      <c r="Q14" s="12">
        <f>INDEX('DER Concepts'!$B$6:$V$31,MATCH($B14,'DER Concepts'!$B$6:$B$31,0),MATCH(Q$12,'DER Concepts'!$B$6:$V$6,0))</f>
        <v>21.523319224771694</v>
      </c>
      <c r="R14" s="12">
        <f t="shared" si="0"/>
        <v>6.8</v>
      </c>
      <c r="S14" s="46">
        <v>0</v>
      </c>
      <c r="T14" s="20">
        <f>INDEX('S6-Summary'!$B$17:$W$43,MATCH($B14,'S6-Summary'!$B$17:$B$43,0),MATCH(T$12,'S6-Summary'!$B$17:$W$17,0))</f>
        <v>0.27591767984729254</v>
      </c>
      <c r="U14" s="19">
        <f>INDEX('S6-Summary'!$B$17:$W$43,MATCH($B14,'S6-Summary'!$B$17:$B$43,0),MATCH(U$12,'S6-Summary'!$B$17:$W$17,0))</f>
        <v>0</v>
      </c>
      <c r="V14" s="21" t="s">
        <v>23</v>
      </c>
      <c r="W14" s="9" t="s">
        <v>93</v>
      </c>
      <c r="X14" s="30"/>
    </row>
    <row r="15" spans="2:24" ht="47.25" hidden="1" customHeight="1" x14ac:dyDescent="0.35">
      <c r="B15" s="58">
        <v>14</v>
      </c>
      <c r="C15" s="9" t="s">
        <v>60</v>
      </c>
      <c r="D15" s="58" t="s">
        <v>0</v>
      </c>
      <c r="E15" s="58" t="s">
        <v>26</v>
      </c>
      <c r="F15" s="58" t="s">
        <v>39</v>
      </c>
      <c r="G15" s="58" t="s">
        <v>20</v>
      </c>
      <c r="H15" s="58" t="s">
        <v>36</v>
      </c>
      <c r="I15" s="27">
        <v>5.6</v>
      </c>
      <c r="J15" s="27">
        <v>4.8</v>
      </c>
      <c r="K15" s="27">
        <v>5.6</v>
      </c>
      <c r="L15" s="27"/>
      <c r="M15" s="12">
        <f>INDEX('DER Concepts'!$B$6:$V$31,MATCH($B15,'DER Concepts'!$B$6:$B$31,0),MATCH(M$12,'DER Concepts'!$B$6:$V$6,0))</f>
        <v>19</v>
      </c>
      <c r="N15" s="12">
        <f>INDEX('DER Concepts'!$B$6:$V$31,MATCH($B15,'DER Concepts'!$B$6:$B$31,0),MATCH(N$12,'DER Concepts'!$B$6:$V$6,0))</f>
        <v>22.8</v>
      </c>
      <c r="O15" s="12">
        <f>INDEX('DER Concepts'!$B$6:$V$31,MATCH($B15,'DER Concepts'!$B$6:$B$31,0),MATCH(O$12,'DER Concepts'!$B$6:$V$6,0))</f>
        <v>22.8</v>
      </c>
      <c r="P15" s="12">
        <f>INDEX('DER Concepts'!$B$6:$V$31,MATCH($B15,'DER Concepts'!$B$6:$B$31,0),MATCH(P$12,'DER Concepts'!$B$6:$V$6,0))</f>
        <v>22.8</v>
      </c>
      <c r="Q15" s="12">
        <f>INDEX('DER Concepts'!$B$6:$V$31,MATCH($B15,'DER Concepts'!$B$6:$B$31,0),MATCH(Q$12,'DER Concepts'!$B$6:$V$6,0))</f>
        <v>22.8</v>
      </c>
      <c r="R15" s="12">
        <f t="shared" si="0"/>
        <v>15.999999999999998</v>
      </c>
      <c r="S15" s="46">
        <v>-1.8382226655134737</v>
      </c>
      <c r="T15" s="20">
        <f>INDEX('S6-Summary'!$B$17:$W$43,MATCH($B15,'S6-Summary'!$B$17:$B$43,0),MATCH(T$12,'S6-Summary'!$B$17:$W$17,0))</f>
        <v>0.27205278634052843</v>
      </c>
      <c r="U15" s="19">
        <f>INDEX('S6-Summary'!$B$17:$W$43,MATCH($B15,'S6-Summary'!$B$17:$B$43,0),MATCH(U$12,'S6-Summary'!$B$17:$W$17,0))</f>
        <v>14</v>
      </c>
      <c r="V15" s="21" t="s">
        <v>23</v>
      </c>
      <c r="W15" s="9" t="s">
        <v>92</v>
      </c>
    </row>
    <row r="16" spans="2:24" ht="54" hidden="1" customHeight="1" x14ac:dyDescent="0.35">
      <c r="B16" s="58">
        <v>15</v>
      </c>
      <c r="C16" s="9" t="s">
        <v>62</v>
      </c>
      <c r="D16" s="58" t="s">
        <v>0</v>
      </c>
      <c r="E16" s="58" t="s">
        <v>26</v>
      </c>
      <c r="F16" s="58" t="s">
        <v>39</v>
      </c>
      <c r="G16" s="58" t="s">
        <v>20</v>
      </c>
      <c r="H16" s="58" t="s">
        <v>64</v>
      </c>
      <c r="I16" s="27">
        <v>1.4</v>
      </c>
      <c r="J16" s="27">
        <v>1.2</v>
      </c>
      <c r="K16" s="27">
        <v>1.4</v>
      </c>
      <c r="L16" s="27"/>
      <c r="M16" s="12">
        <f>INDEX('DER Concepts'!$B$6:$V$31,MATCH($B16,'DER Concepts'!$B$6:$B$31,0),MATCH(M$12,'DER Concepts'!$B$6:$V$6,0))</f>
        <v>3.8</v>
      </c>
      <c r="N16" s="12">
        <f>INDEX('DER Concepts'!$B$6:$V$31,MATCH($B16,'DER Concepts'!$B$6:$B$31,0),MATCH(N$12,'DER Concepts'!$B$6:$V$6,0))</f>
        <v>3.8</v>
      </c>
      <c r="O16" s="12">
        <f>INDEX('DER Concepts'!$B$6:$V$31,MATCH($B16,'DER Concepts'!$B$6:$B$31,0),MATCH(O$12,'DER Concepts'!$B$6:$V$6,0))</f>
        <v>3.8</v>
      </c>
      <c r="P16" s="12">
        <f>INDEX('DER Concepts'!$B$6:$V$31,MATCH($B16,'DER Concepts'!$B$6:$B$31,0),MATCH(P$12,'DER Concepts'!$B$6:$V$6,0))</f>
        <v>3.8</v>
      </c>
      <c r="Q16" s="12">
        <f>INDEX('DER Concepts'!$B$6:$V$31,MATCH($B16,'DER Concepts'!$B$6:$B$31,0),MATCH(Q$12,'DER Concepts'!$B$6:$V$6,0))</f>
        <v>3.8</v>
      </c>
      <c r="R16" s="12">
        <f t="shared" si="0"/>
        <v>3.9999999999999996</v>
      </c>
      <c r="S16" s="46">
        <v>7.0994352087150769</v>
      </c>
      <c r="T16" s="20">
        <f>INDEX('S6-Summary'!$B$17:$W$43,MATCH($B16,'S6-Summary'!$B$17:$B$43,0),MATCH(T$12,'S6-Summary'!$B$17:$W$17,0))</f>
        <v>0.50710307656030273</v>
      </c>
      <c r="U16" s="19">
        <f>INDEX('S6-Summary'!$B$17:$W$43,MATCH($B16,'S6-Summary'!$B$17:$B$43,0),MATCH(U$12,'S6-Summary'!$B$17:$W$17,0))</f>
        <v>16</v>
      </c>
      <c r="V16" s="21" t="s">
        <v>23</v>
      </c>
      <c r="W16" s="9" t="s">
        <v>92</v>
      </c>
    </row>
    <row r="17" spans="2:24" ht="52" x14ac:dyDescent="0.35">
      <c r="B17" s="58">
        <v>17</v>
      </c>
      <c r="C17" s="9" t="s">
        <v>67</v>
      </c>
      <c r="D17" s="58" t="s">
        <v>0</v>
      </c>
      <c r="E17" s="58" t="s">
        <v>18</v>
      </c>
      <c r="F17" s="58" t="s">
        <v>31</v>
      </c>
      <c r="G17" s="58" t="s">
        <v>20</v>
      </c>
      <c r="H17" s="58" t="s">
        <v>32</v>
      </c>
      <c r="I17" s="12">
        <f>INDEX('S6-Summary'!$B$17:$W$43,MATCH($B17,'S6-Summary'!$B$17:$B$43,0),MATCH(I$12,'S6-Summary'!$B$17:$W$17,0))</f>
        <v>0</v>
      </c>
      <c r="J17" s="12">
        <f>INDEX('S6-Summary'!$B$17:$W$43,MATCH($B17,'S6-Summary'!$B$17:$B$43,0),MATCH(J$12,'S6-Summary'!$B$17:$W$17,0))-0.159</f>
        <v>6.799666666666667</v>
      </c>
      <c r="K17" s="12">
        <f>INDEX('S6-Summary'!$B$17:$W$43,MATCH($B17,'S6-Summary'!$B$17:$B$43,0),MATCH(K$12,'S6-Summary'!$B$17:$W$17,0))-0.159</f>
        <v>6.799666666666667</v>
      </c>
      <c r="L17" s="12">
        <f>INDEX('S6-Summary'!$B$17:$W$43,MATCH($B17,'S6-Summary'!$B$17:$B$43,0),MATCH(L$12,'S6-Summary'!$B$17:$W$17,0))-0.159</f>
        <v>6.799666666666667</v>
      </c>
      <c r="M17" s="12">
        <f>INDEX('DER Concepts'!$B$6:$V$31,MATCH($B17,'DER Concepts'!$B$6:$B$31,0),MATCH(M$12,'DER Concepts'!$B$6:$V$6,0))</f>
        <v>7.0609999999999999</v>
      </c>
      <c r="N17" s="12">
        <f>INDEX('DER Concepts'!$B$6:$V$31,MATCH($B17,'DER Concepts'!$B$6:$B$31,0),MATCH(N$12,'DER Concepts'!$B$6:$V$6,0))</f>
        <v>8.5960000000000001</v>
      </c>
      <c r="O17" s="12">
        <f>INDEX('DER Concepts'!$B$6:$V$31,MATCH($B17,'DER Concepts'!$B$6:$B$31,0),MATCH(O$12,'DER Concepts'!$B$6:$V$6,0))</f>
        <v>10.131</v>
      </c>
      <c r="P17" s="12">
        <f>INDEX('DER Concepts'!$B$6:$V$31,MATCH($B17,'DER Concepts'!$B$6:$B$31,0),MATCH(P$12,'DER Concepts'!$B$6:$V$6,0))</f>
        <v>11.666</v>
      </c>
      <c r="Q17" s="12">
        <f>INDEX('DER Concepts'!$B$6:$V$31,MATCH($B17,'DER Concepts'!$B$6:$B$31,0),MATCH(Q$12,'DER Concepts'!$B$6:$V$6,0))</f>
        <v>13.201000000000001</v>
      </c>
      <c r="R17" s="12">
        <f t="shared" si="0"/>
        <v>20.399000000000001</v>
      </c>
      <c r="S17" s="46">
        <v>0.45340382079178365</v>
      </c>
      <c r="T17" s="75">
        <f>INDEX('S6-Summary'!$B$17:$W$43,MATCH($B17,'S6-Summary'!$B$17:$B$43,0),MATCH(T$12,'S6-Summary'!$B$17:$W$17,0))</f>
        <v>0.49574268401292115</v>
      </c>
      <c r="U17" s="19">
        <f>INDEX('S6-Summary'!$B$17:$W$43,MATCH($B17,'S6-Summary'!$B$17:$B$43,0),MATCH(U$12,'S6-Summary'!$B$17:$W$17,0))</f>
        <v>16</v>
      </c>
      <c r="V17" s="21"/>
      <c r="W17" s="9" t="s">
        <v>192</v>
      </c>
      <c r="X17" s="30" t="s">
        <v>20</v>
      </c>
    </row>
    <row r="18" spans="2:24" ht="39" x14ac:dyDescent="0.35">
      <c r="B18" s="58">
        <v>16</v>
      </c>
      <c r="C18" s="9" t="s">
        <v>65</v>
      </c>
      <c r="D18" s="58" t="s">
        <v>0</v>
      </c>
      <c r="E18" s="58" t="s">
        <v>26</v>
      </c>
      <c r="F18" s="58" t="s">
        <v>19</v>
      </c>
      <c r="G18" s="58" t="s">
        <v>20</v>
      </c>
      <c r="H18" s="58" t="s">
        <v>21</v>
      </c>
      <c r="I18" s="12">
        <f>INDEX('S6-Summary'!$B$17:$W$43,MATCH($B18,'S6-Summary'!$B$17:$B$43,0),MATCH(I$12,'S6-Summary'!$B$17:$W$17,0))</f>
        <v>0</v>
      </c>
      <c r="J18" s="12">
        <f>INDEX('S6-Summary'!$B$17:$W$43,MATCH($B18,'S6-Summary'!$B$17:$B$43,0),MATCH(J$12,'S6-Summary'!$B$17:$W$17,0))-0.033</f>
        <v>3.700333333333333</v>
      </c>
      <c r="K18" s="12">
        <f>INDEX('S6-Summary'!$B$17:$W$43,MATCH($B18,'S6-Summary'!$B$17:$B$43,0),MATCH(K$12,'S6-Summary'!$B$17:$W$17,0))-0.033</f>
        <v>3.700333333333333</v>
      </c>
      <c r="L18" s="12">
        <f>INDEX('S6-Summary'!$B$17:$W$43,MATCH($B18,'S6-Summary'!$B$17:$B$43,0),MATCH(L$12,'S6-Summary'!$B$17:$W$17,0))-0.033</f>
        <v>3.700333333333333</v>
      </c>
      <c r="M18" s="12">
        <f>INDEX('DER Concepts'!$B$6:$V$31,MATCH($B18,'DER Concepts'!$B$6:$B$31,0),MATCH(M$12,'DER Concepts'!$B$6:$V$6,0))</f>
        <v>4.8</v>
      </c>
      <c r="N18" s="12">
        <f>INDEX('DER Concepts'!$B$6:$V$31,MATCH($B18,'DER Concepts'!$B$6:$B$31,0),MATCH(N$12,'DER Concepts'!$B$6:$V$6,0))</f>
        <v>6.8</v>
      </c>
      <c r="O18" s="12">
        <f>INDEX('DER Concepts'!$B$6:$V$31,MATCH($B18,'DER Concepts'!$B$6:$B$31,0),MATCH(O$12,'DER Concepts'!$B$6:$V$6,0))</f>
        <v>8.8000000000000007</v>
      </c>
      <c r="P18" s="12">
        <f>INDEX('DER Concepts'!$B$6:$V$31,MATCH($B18,'DER Concepts'!$B$6:$B$31,0),MATCH(P$12,'DER Concepts'!$B$6:$V$6,0))</f>
        <v>11.2</v>
      </c>
      <c r="Q18" s="12">
        <f>INDEX('DER Concepts'!$B$6:$V$31,MATCH($B18,'DER Concepts'!$B$6:$B$31,0),MATCH(Q$12,'DER Concepts'!$B$6:$V$6,0))</f>
        <v>13.2</v>
      </c>
      <c r="R18" s="12">
        <f t="shared" si="0"/>
        <v>11.100999999999999</v>
      </c>
      <c r="S18" s="46">
        <v>4.6354712939937226</v>
      </c>
      <c r="T18" s="75">
        <f>INDEX('S6-Summary'!$B$17:$W$43,MATCH($B18,'S6-Summary'!$B$17:$B$43,0),MATCH(T$12,'S6-Summary'!$B$17:$W$17,0))</f>
        <v>0.65399230103020356</v>
      </c>
      <c r="U18" s="19">
        <f>INDEX('S6-Summary'!$B$17:$W$43,MATCH($B18,'S6-Summary'!$B$17:$B$43,0),MATCH(U$12,'S6-Summary'!$B$17:$W$17,0))</f>
        <v>15</v>
      </c>
      <c r="V18" s="21"/>
      <c r="W18" s="9" t="s">
        <v>193</v>
      </c>
      <c r="X18" s="30" t="s">
        <v>20</v>
      </c>
    </row>
    <row r="19" spans="2:24" ht="39" x14ac:dyDescent="0.35">
      <c r="B19" s="58">
        <v>25</v>
      </c>
      <c r="C19" s="9" t="s">
        <v>133</v>
      </c>
      <c r="D19" s="58" t="s">
        <v>0</v>
      </c>
      <c r="E19" s="22" t="s">
        <v>26</v>
      </c>
      <c r="F19" s="58" t="s">
        <v>39</v>
      </c>
      <c r="G19" s="58" t="s">
        <v>20</v>
      </c>
      <c r="H19" s="58" t="s">
        <v>36</v>
      </c>
      <c r="I19" s="12">
        <f>INDEX('S6-Summary'!$B$17:$W$43,MATCH($B19,'S6-Summary'!$B$17:$B$43,0),MATCH(I$12,'S6-Summary'!$B$17:$W$17,0))</f>
        <v>0</v>
      </c>
      <c r="J19" s="12">
        <f>INDEX('S6-Summary'!$B$17:$W$43,MATCH($B19,'S6-Summary'!$B$17:$B$43,0),MATCH(J$12,'S6-Summary'!$B$17:$W$17,0))</f>
        <v>0</v>
      </c>
      <c r="K19" s="12">
        <f>INDEX('S6-Summary'!$B$17:$W$43,MATCH($B19,'S6-Summary'!$B$17:$B$43,0),MATCH(K$12,'S6-Summary'!$B$17:$W$17,0))</f>
        <v>0</v>
      </c>
      <c r="L19" s="12">
        <f>INDEX('S6-Summary'!$B$17:$W$43,MATCH($B19,'S6-Summary'!$B$17:$B$43,0),MATCH(L$12,'S6-Summary'!$B$17:$W$17,0))</f>
        <v>5.2</v>
      </c>
      <c r="M19" s="12">
        <f>INDEX('S6-Summary'!$B$17:$W$43,MATCH($B19,'S6-Summary'!$B$17:$B$43,0),MATCH(M$12,'S6-Summary'!$B$17:$W$17,0))+(VLOOKUP($B19,'S6-Summary'!$B$17:$I$43,8,FALSE)/3)</f>
        <v>4.7</v>
      </c>
      <c r="N19" s="12">
        <f>INDEX('S6-Summary'!$B$17:$W$43,MATCH($B19,'S6-Summary'!$B$17:$B$43,0),MATCH(N$12,'S6-Summary'!$B$17:$W$17,0))+(VLOOKUP($B19,'S6-Summary'!$B$17:$I$43,8,FALSE)/3)</f>
        <v>5.42</v>
      </c>
      <c r="O19" s="12">
        <f>INDEX('S6-Summary'!$B$17:$W$43,MATCH($B19,'S6-Summary'!$B$17:$B$43,0),MATCH(O$12,'S6-Summary'!$B$17:$W$17,0))+(VLOOKUP($B19,'S6-Summary'!$B$17:$I$43,8,FALSE)/3)</f>
        <v>6.1950000000000003</v>
      </c>
      <c r="P19" s="12">
        <f>INDEX('S6-Summary'!$B$17:$W$43,MATCH($B19,'S6-Summary'!$B$17:$B$43,0),MATCH(P$12,'S6-Summary'!$B$17:$W$17,0))+(VLOOKUP($B19,'S6-Summary'!$B$17:$I$43,8,FALSE)/3)</f>
        <v>7.0149999999999997</v>
      </c>
      <c r="Q19" s="12">
        <f>INDEX('S6-Summary'!$B$17:$W$43,MATCH($B19,'S6-Summary'!$B$17:$B$43,0),MATCH(Q$12,'S6-Summary'!$B$17:$W$17,0))+(VLOOKUP($B19,'S6-Summary'!$B$17:$I$43,8,FALSE)/3)</f>
        <v>7.88</v>
      </c>
      <c r="R19" s="12">
        <f t="shared" si="0"/>
        <v>5.2</v>
      </c>
      <c r="S19" s="46">
        <v>3.08</v>
      </c>
      <c r="T19" s="75">
        <f>INDEX('S6-Summary'!$B$17:$W$43,MATCH($B19,'S6-Summary'!$B$17:$B$43,0),MATCH(T$12,'S6-Summary'!$B$17:$W$17,0))</f>
        <v>0.49127613822504879</v>
      </c>
      <c r="U19" s="19">
        <f>INDEX('S6-Summary'!$B$17:$W$43,MATCH($B19,'S6-Summary'!$B$17:$B$43,0),MATCH(U$12,'S6-Summary'!$B$17:$W$17,0))</f>
        <v>16</v>
      </c>
      <c r="V19" s="21"/>
      <c r="W19" s="9" t="s">
        <v>191</v>
      </c>
      <c r="X19" s="30" t="s">
        <v>20</v>
      </c>
    </row>
    <row r="20" spans="2:24" ht="52" x14ac:dyDescent="0.35">
      <c r="B20" s="58">
        <v>18</v>
      </c>
      <c r="C20" s="9" t="s">
        <v>69</v>
      </c>
      <c r="D20" s="58" t="s">
        <v>0</v>
      </c>
      <c r="E20" s="58" t="s">
        <v>26</v>
      </c>
      <c r="F20" s="58" t="s">
        <v>39</v>
      </c>
      <c r="G20" s="58" t="s">
        <v>20</v>
      </c>
      <c r="H20" s="58" t="s">
        <v>36</v>
      </c>
      <c r="I20" s="12">
        <f>INDEX('S6-Summary'!$B$17:$W$43,MATCH($B20,'S6-Summary'!$B$17:$B$43,0),MATCH(I$12,'S6-Summary'!$B$17:$W$17,0))</f>
        <v>0</v>
      </c>
      <c r="J20" s="12">
        <f>INDEX('S6-Summary'!$B$17:$W$43,MATCH($B20,'S6-Summary'!$B$17:$B$43,0),MATCH(J$12,'S6-Summary'!$B$17:$W$17,0))</f>
        <v>15.600000000000001</v>
      </c>
      <c r="K20" s="12">
        <f>INDEX('S6-Summary'!$B$17:$W$43,MATCH($B20,'S6-Summary'!$B$17:$B$43,0),MATCH(K$12,'S6-Summary'!$B$17:$W$17,0))</f>
        <v>20</v>
      </c>
      <c r="L20" s="12">
        <f>INDEX('S6-Summary'!$B$17:$W$43,MATCH($B20,'S6-Summary'!$B$17:$B$43,0),MATCH(L$12,'S6-Summary'!$B$17:$W$17,0))</f>
        <v>24.400000000000002</v>
      </c>
      <c r="M20" s="12">
        <f>INDEX('DER Concepts'!$B$6:$V$31,MATCH($B20,'DER Concepts'!$B$6:$B$31,0),MATCH(M$12,'DER Concepts'!$B$6:$V$6,0))</f>
        <v>21.6</v>
      </c>
      <c r="N20" s="12">
        <f>INDEX('DER Concepts'!$B$6:$V$31,MATCH($B20,'DER Concepts'!$B$6:$B$31,0),MATCH(N$12,'DER Concepts'!$B$6:$V$6,0))</f>
        <v>21.6</v>
      </c>
      <c r="O20" s="12">
        <f>INDEX('DER Concepts'!$B$6:$V$31,MATCH($B20,'DER Concepts'!$B$6:$B$31,0),MATCH(O$12,'DER Concepts'!$B$6:$V$6,0))</f>
        <v>21.6</v>
      </c>
      <c r="P20" s="12">
        <f>INDEX('DER Concepts'!$B$6:$V$31,MATCH($B20,'DER Concepts'!$B$6:$B$31,0),MATCH(P$12,'DER Concepts'!$B$6:$V$6,0))</f>
        <v>21.6</v>
      </c>
      <c r="Q20" s="12">
        <f>INDEX('DER Concepts'!$B$6:$V$31,MATCH($B20,'DER Concepts'!$B$6:$B$31,0),MATCH(Q$12,'DER Concepts'!$B$6:$V$6,0))</f>
        <v>21.6</v>
      </c>
      <c r="R20" s="12">
        <f t="shared" si="0"/>
        <v>60</v>
      </c>
      <c r="S20" s="46">
        <v>8.964012775361347</v>
      </c>
      <c r="T20" s="75">
        <f>INDEX('S6-Summary'!$B$17:$W$43,MATCH($B20,'S6-Summary'!$B$17:$B$43,0),MATCH(T$12,'S6-Summary'!$B$17:$W$17,0))</f>
        <v>0.3794284339748269</v>
      </c>
      <c r="U20" s="19">
        <f>INDEX('S6-Summary'!$B$17:$W$43,MATCH($B20,'S6-Summary'!$B$17:$B$43,0),MATCH(U$12,'S6-Summary'!$B$17:$W$17,0))</f>
        <v>16</v>
      </c>
      <c r="V20" s="21"/>
      <c r="W20" s="9" t="s">
        <v>194</v>
      </c>
      <c r="X20" s="30" t="s">
        <v>27</v>
      </c>
    </row>
    <row r="21" spans="2:24" ht="52" x14ac:dyDescent="0.35">
      <c r="B21" s="58" t="s">
        <v>86</v>
      </c>
      <c r="C21" s="9" t="s">
        <v>77</v>
      </c>
      <c r="D21" s="58" t="s">
        <v>0</v>
      </c>
      <c r="E21" s="22" t="s">
        <v>18</v>
      </c>
      <c r="F21" s="23" t="s">
        <v>31</v>
      </c>
      <c r="G21" s="22" t="s">
        <v>20</v>
      </c>
      <c r="H21" s="23" t="s">
        <v>36</v>
      </c>
      <c r="I21" s="12">
        <f>INDEX('S6-Summary'!$B$17:$W$43,MATCH($B21,'S6-Summary'!$B$17:$B$43,0),MATCH(I$12,'S6-Summary'!$B$17:$W$17,0))</f>
        <v>0</v>
      </c>
      <c r="J21" s="12">
        <f>INDEX('S6-Summary'!$B$17:$W$43,MATCH($B21,'S6-Summary'!$B$17:$B$43,0),MATCH(J$12,'S6-Summary'!$B$17:$W$17,0))-0.212</f>
        <v>4.2</v>
      </c>
      <c r="K21" s="12">
        <f>INDEX('S6-Summary'!$B$17:$W$43,MATCH($B21,'S6-Summary'!$B$17:$B$43,0),MATCH(K$12,'S6-Summary'!$B$17:$W$17,0))-0.172</f>
        <v>4.8999999999999995</v>
      </c>
      <c r="L21" s="12">
        <f>INDEX('S6-Summary'!$B$17:$W$43,MATCH($B21,'S6-Summary'!$B$17:$B$43,0),MATCH(L$12,'S6-Summary'!$B$17:$W$17,0))-0.198</f>
        <v>5.6</v>
      </c>
      <c r="M21" s="12">
        <v>5.64</v>
      </c>
      <c r="N21" s="12">
        <v>6.5039999999999996</v>
      </c>
      <c r="O21" s="12">
        <v>7.4340000000000002</v>
      </c>
      <c r="P21" s="12">
        <v>8.4179999999999993</v>
      </c>
      <c r="Q21" s="12">
        <v>9.4559999999999995</v>
      </c>
      <c r="R21" s="12">
        <f t="shared" si="0"/>
        <v>14.7</v>
      </c>
      <c r="S21" s="46">
        <v>6.4572802308164361</v>
      </c>
      <c r="T21" s="75">
        <f>INDEX('S6-Summary'!$B$17:$W$43,MATCH($B21,'S6-Summary'!$B$17:$B$43,0),MATCH(T$12,'S6-Summary'!$B$17:$W$17,0))</f>
        <v>0.17516959361661694</v>
      </c>
      <c r="U21" s="19">
        <f>INDEX('S6-Summary'!$B$17:$W$43,MATCH($B21,'S6-Summary'!$B$17:$B$43,0),MATCH(U$12,'S6-Summary'!$B$17:$W$17,0))</f>
        <v>19</v>
      </c>
      <c r="V21" s="21"/>
      <c r="W21" s="9" t="s">
        <v>195</v>
      </c>
      <c r="X21" s="30" t="s">
        <v>20</v>
      </c>
    </row>
    <row r="22" spans="2:24" ht="104" x14ac:dyDescent="0.35">
      <c r="B22" s="58">
        <v>19</v>
      </c>
      <c r="C22" s="9" t="s">
        <v>71</v>
      </c>
      <c r="D22" s="58" t="s">
        <v>0</v>
      </c>
      <c r="E22" s="58" t="s">
        <v>18</v>
      </c>
      <c r="F22" s="58" t="s">
        <v>73</v>
      </c>
      <c r="G22" s="58" t="s">
        <v>20</v>
      </c>
      <c r="H22" s="58" t="s">
        <v>74</v>
      </c>
      <c r="I22" s="12">
        <f>INDEX('S6-Summary'!$B$17:$W$43,MATCH($B22,'S6-Summary'!$B$17:$B$43,0),MATCH(I$12,'S6-Summary'!$B$17:$W$17,0))</f>
        <v>0</v>
      </c>
      <c r="J22" s="12">
        <f>INDEX('S6-Summary'!$B$17:$W$43,MATCH($B22,'S6-Summary'!$B$17:$B$43,0),MATCH(J$12,'S6-Summary'!$B$17:$W$17,0))</f>
        <v>0.11066666666666668</v>
      </c>
      <c r="K22" s="12">
        <f>INDEX('S6-Summary'!$B$17:$W$43,MATCH($B22,'S6-Summary'!$B$17:$B$43,0),MATCH(K$12,'S6-Summary'!$B$17:$W$17,0))</f>
        <v>0.11066666666666668</v>
      </c>
      <c r="L22" s="12">
        <f>INDEX('S6-Summary'!$B$17:$W$43,MATCH($B22,'S6-Summary'!$B$17:$B$43,0),MATCH(L$12,'S6-Summary'!$B$17:$W$17,0))</f>
        <v>0.11066666666666668</v>
      </c>
      <c r="M22" s="12">
        <f>INDEX('DER Concepts'!$B$6:$V$31,MATCH($B22,'DER Concepts'!$B$6:$B$31,0),MATCH(M$12,'DER Concepts'!$B$6:$V$6,0))</f>
        <v>8.3000000000000004E-2</v>
      </c>
      <c r="N22" s="12">
        <f>INDEX('DER Concepts'!$B$6:$V$31,MATCH($B22,'DER Concepts'!$B$6:$B$31,0),MATCH(N$12,'DER Concepts'!$B$6:$V$6,0))</f>
        <v>0.16600000000000001</v>
      </c>
      <c r="O22" s="12">
        <f>INDEX('DER Concepts'!$B$6:$V$31,MATCH($B22,'DER Concepts'!$B$6:$B$31,0),MATCH(O$12,'DER Concepts'!$B$6:$V$6,0))</f>
        <v>0.249</v>
      </c>
      <c r="P22" s="12">
        <f>INDEX('DER Concepts'!$B$6:$V$31,MATCH($B22,'DER Concepts'!$B$6:$B$31,0),MATCH(P$12,'DER Concepts'!$B$6:$V$6,0))</f>
        <v>0.249</v>
      </c>
      <c r="Q22" s="12">
        <f>INDEX('DER Concepts'!$B$6:$V$31,MATCH($B22,'DER Concepts'!$B$6:$B$31,0),MATCH(Q$12,'DER Concepts'!$B$6:$V$6,0))</f>
        <v>0.33200000000000002</v>
      </c>
      <c r="R22" s="12">
        <f t="shared" si="0"/>
        <v>0.33200000000000002</v>
      </c>
      <c r="S22" s="46">
        <v>18.531135620948916</v>
      </c>
      <c r="T22" s="75">
        <f>INDEX('S6-Summary'!$B$17:$W$43,MATCH($B22,'S6-Summary'!$B$17:$B$43,0),MATCH(T$12,'S6-Summary'!$B$17:$W$17,0))</f>
        <v>0.16558823561576444</v>
      </c>
      <c r="U22" s="19">
        <f>INDEX('S6-Summary'!$B$17:$W$43,MATCH($B22,'S6-Summary'!$B$17:$B$43,0),MATCH(U$12,'S6-Summary'!$B$17:$W$17,0))</f>
        <v>16</v>
      </c>
      <c r="V22" s="21"/>
      <c r="W22" s="9" t="s">
        <v>108</v>
      </c>
      <c r="X22" s="30" t="s">
        <v>20</v>
      </c>
    </row>
    <row r="23" spans="2:24" ht="39" x14ac:dyDescent="0.35">
      <c r="B23" s="58">
        <v>22</v>
      </c>
      <c r="C23" s="9" t="s">
        <v>79</v>
      </c>
      <c r="D23" s="58" t="s">
        <v>0</v>
      </c>
      <c r="E23" s="58" t="s">
        <v>26</v>
      </c>
      <c r="F23" s="58" t="s">
        <v>39</v>
      </c>
      <c r="G23" s="58" t="s">
        <v>20</v>
      </c>
      <c r="H23" s="58" t="s">
        <v>36</v>
      </c>
      <c r="I23" s="12">
        <f>INDEX('S6-Summary'!$B$17:$W$43,MATCH($B23,'S6-Summary'!$B$17:$B$43,0),MATCH(I$12,'S6-Summary'!$B$17:$W$17,0))</f>
        <v>0</v>
      </c>
      <c r="J23" s="12">
        <f>INDEX('S6-Summary'!$B$17:$W$43,MATCH($B23,'S6-Summary'!$B$17:$B$43,0),MATCH(J$12,'S6-Summary'!$B$17:$W$17,0))+0.106</f>
        <v>1.3</v>
      </c>
      <c r="K23" s="12">
        <f>INDEX('S6-Summary'!$B$17:$W$43,MATCH($B23,'S6-Summary'!$B$17:$B$43,0),MATCH(K$12,'S6-Summary'!$B$17:$W$17,0))+0.02</f>
        <v>1.6159999999999999</v>
      </c>
      <c r="L23" s="12">
        <f>INDEX('S6-Summary'!$B$17:$W$43,MATCH($B23,'S6-Summary'!$B$17:$B$43,0),MATCH(L$12,'S6-Summary'!$B$17:$W$17,0))-0.06</f>
        <v>1.944</v>
      </c>
      <c r="M23" s="12">
        <f>INDEX('DER Concepts'!$B$6:$V$31,MATCH($B23,'DER Concepts'!$B$6:$B$31,0),MATCH(M$12,'DER Concepts'!$B$6:$V$6,0))</f>
        <v>2.4660000000000002</v>
      </c>
      <c r="N23" s="12">
        <f>INDEX('DER Concepts'!$B$6:$V$31,MATCH($B23,'DER Concepts'!$B$6:$B$31,0),MATCH(N$12,'DER Concepts'!$B$6:$V$6,0))</f>
        <v>3.2759999999999998</v>
      </c>
      <c r="O23" s="12">
        <f>INDEX('DER Concepts'!$B$6:$V$31,MATCH($B23,'DER Concepts'!$B$6:$B$31,0),MATCH(O$12,'DER Concepts'!$B$6:$V$6,0))</f>
        <v>4.1820000000000004</v>
      </c>
      <c r="P23" s="12">
        <f>INDEX('DER Concepts'!$B$6:$V$31,MATCH($B23,'DER Concepts'!$B$6:$B$31,0),MATCH(P$12,'DER Concepts'!$B$6:$V$6,0))</f>
        <v>5.2859999999999996</v>
      </c>
      <c r="Q23" s="12">
        <f>INDEX('DER Concepts'!$B$6:$V$31,MATCH($B23,'DER Concepts'!$B$6:$B$31,0),MATCH(Q$12,'DER Concepts'!$B$6:$V$6,0))</f>
        <v>6.6779999999999999</v>
      </c>
      <c r="R23" s="12">
        <f t="shared" si="0"/>
        <v>4.8599999999999994</v>
      </c>
      <c r="S23" s="46">
        <v>18.415985147405596</v>
      </c>
      <c r="T23" s="75">
        <f>INDEX('S6-Summary'!$B$17:$W$43,MATCH($B23,'S6-Summary'!$B$17:$B$43,0),MATCH(T$12,'S6-Summary'!$B$17:$W$17,0))</f>
        <v>0.21121505752351757</v>
      </c>
      <c r="U23" s="19">
        <f>INDEX('S6-Summary'!$B$17:$W$43,MATCH($B23,'S6-Summary'!$B$17:$B$43,0),MATCH(U$12,'S6-Summary'!$B$17:$W$17,0))</f>
        <v>16</v>
      </c>
      <c r="V23" s="21"/>
      <c r="W23" s="9" t="s">
        <v>196</v>
      </c>
      <c r="X23" s="30" t="s">
        <v>20</v>
      </c>
    </row>
    <row r="24" spans="2:24" ht="65" x14ac:dyDescent="0.35">
      <c r="B24" s="58">
        <v>23</v>
      </c>
      <c r="C24" s="9" t="s">
        <v>81</v>
      </c>
      <c r="D24" s="58" t="s">
        <v>0</v>
      </c>
      <c r="E24" s="58" t="s">
        <v>26</v>
      </c>
      <c r="F24" s="58" t="s">
        <v>39</v>
      </c>
      <c r="G24" s="58" t="s">
        <v>20</v>
      </c>
      <c r="H24" s="58" t="s">
        <v>36</v>
      </c>
      <c r="I24" s="12">
        <f>INDEX('S6-Summary'!$B$17:$W$43,MATCH($B24,'S6-Summary'!$B$17:$B$43,0),MATCH(I$12,'S6-Summary'!$B$17:$W$17,0))</f>
        <v>0</v>
      </c>
      <c r="J24" s="12">
        <f>INDEX('S6-Summary'!$B$17:$W$43,MATCH($B24,'S6-Summary'!$B$17:$B$43,0),MATCH(J$12,'S6-Summary'!$B$17:$W$17,0))+0.01</f>
        <v>0.17800000000000002</v>
      </c>
      <c r="K24" s="12">
        <f>INDEX('S6-Summary'!$B$17:$W$43,MATCH($B24,'S6-Summary'!$B$17:$B$43,0),MATCH(K$12,'S6-Summary'!$B$17:$W$17,0))</f>
        <v>0.22800000000000001</v>
      </c>
      <c r="L24" s="12">
        <f>INDEX('S6-Summary'!$B$17:$W$43,MATCH($B24,'S6-Summary'!$B$17:$B$43,0),MATCH(L$12,'S6-Summary'!$B$17:$W$17,0))-0.01</f>
        <v>0.27200000000000002</v>
      </c>
      <c r="M24" s="12">
        <f>INDEX('DER Concepts'!$B$6:$V$31,MATCH($B24,'DER Concepts'!$B$6:$B$31,0),MATCH(M$12,'DER Concepts'!$B$6:$V$6,0))</f>
        <v>0.34799999999999998</v>
      </c>
      <c r="N24" s="12">
        <f>INDEX('DER Concepts'!$B$6:$V$31,MATCH($B24,'DER Concepts'!$B$6:$B$31,0),MATCH(N$12,'DER Concepts'!$B$6:$V$6,0))</f>
        <v>0.46200000000000002</v>
      </c>
      <c r="O24" s="12">
        <f>INDEX('DER Concepts'!$B$6:$V$31,MATCH($B24,'DER Concepts'!$B$6:$B$31,0),MATCH(O$12,'DER Concepts'!$B$6:$V$6,0))</f>
        <v>0.59399999999999997</v>
      </c>
      <c r="P24" s="12">
        <f>INDEX('DER Concepts'!$B$6:$V$31,MATCH($B24,'DER Concepts'!$B$6:$B$31,0),MATCH(P$12,'DER Concepts'!$B$6:$V$6,0))</f>
        <v>0.75</v>
      </c>
      <c r="Q24" s="12">
        <f>INDEX('DER Concepts'!$B$6:$V$31,MATCH($B24,'DER Concepts'!$B$6:$B$31,0),MATCH(Q$12,'DER Concepts'!$B$6:$V$6,0))</f>
        <v>0.94799999999999995</v>
      </c>
      <c r="R24" s="12">
        <f t="shared" si="0"/>
        <v>0.67800000000000005</v>
      </c>
      <c r="S24" s="46">
        <v>22.472664936145215</v>
      </c>
      <c r="T24" s="75">
        <f>INDEX('S6-Summary'!$B$17:$W$43,MATCH($B24,'S6-Summary'!$B$17:$B$43,0),MATCH(T$12,'S6-Summary'!$B$17:$W$17,0))</f>
        <v>0.17595976874201763</v>
      </c>
      <c r="U24" s="19">
        <f>INDEX('S6-Summary'!$B$17:$W$43,MATCH($B24,'S6-Summary'!$B$17:$B$43,0),MATCH(U$12,'S6-Summary'!$B$17:$W$17,0))</f>
        <v>17</v>
      </c>
      <c r="V24" s="21"/>
      <c r="W24" s="9" t="s">
        <v>197</v>
      </c>
      <c r="X24" s="30" t="s">
        <v>20</v>
      </c>
    </row>
    <row r="25" spans="2:24" ht="78" x14ac:dyDescent="0.35">
      <c r="B25" s="58">
        <v>20</v>
      </c>
      <c r="C25" s="9" t="s">
        <v>75</v>
      </c>
      <c r="D25" s="58" t="s">
        <v>0</v>
      </c>
      <c r="E25" s="58" t="s">
        <v>18</v>
      </c>
      <c r="F25" s="58" t="s">
        <v>73</v>
      </c>
      <c r="G25" s="58" t="s">
        <v>20</v>
      </c>
      <c r="H25" s="58" t="s">
        <v>74</v>
      </c>
      <c r="I25" s="12">
        <f>INDEX('S6-Summary'!$B$17:$W$43,MATCH($B25,'S6-Summary'!$B$17:$B$43,0),MATCH(I$12,'S6-Summary'!$B$17:$W$17,0))</f>
        <v>0</v>
      </c>
      <c r="J25" s="12">
        <f>INDEX('S6-Summary'!$B$17:$W$43,MATCH($B25,'S6-Summary'!$B$17:$B$43,0),MATCH(J$12,'S6-Summary'!$B$17:$W$17,0))</f>
        <v>0.55333333333333334</v>
      </c>
      <c r="K25" s="12">
        <f>INDEX('S6-Summary'!$B$17:$W$43,MATCH($B25,'S6-Summary'!$B$17:$B$43,0),MATCH(K$12,'S6-Summary'!$B$17:$W$17,0))</f>
        <v>0.55333333333333334</v>
      </c>
      <c r="L25" s="12">
        <f>INDEX('S6-Summary'!$B$17:$W$43,MATCH($B25,'S6-Summary'!$B$17:$B$43,0),MATCH(L$12,'S6-Summary'!$B$17:$W$17,0))</f>
        <v>0.55333333333333334</v>
      </c>
      <c r="M25" s="12">
        <f>INDEX('DER Concepts'!$B$6:$V$31,MATCH($B25,'DER Concepts'!$B$6:$B$31,0),MATCH(M$12,'DER Concepts'!$B$6:$V$6,0))</f>
        <v>0.498</v>
      </c>
      <c r="N25" s="12">
        <f>INDEX('DER Concepts'!$B$6:$V$31,MATCH($B25,'DER Concepts'!$B$6:$B$31,0),MATCH(N$12,'DER Concepts'!$B$6:$V$6,0))</f>
        <v>0.498</v>
      </c>
      <c r="O25" s="12">
        <f>INDEX('DER Concepts'!$B$6:$V$31,MATCH($B25,'DER Concepts'!$B$6:$B$31,0),MATCH(O$12,'DER Concepts'!$B$6:$V$6,0))</f>
        <v>0.58099999999999996</v>
      </c>
      <c r="P25" s="12">
        <f>INDEX('DER Concepts'!$B$6:$V$31,MATCH($B25,'DER Concepts'!$B$6:$B$31,0),MATCH(P$12,'DER Concepts'!$B$6:$V$6,0))</f>
        <v>0.66400000000000003</v>
      </c>
      <c r="Q25" s="12">
        <f>INDEX('DER Concepts'!$B$6:$V$31,MATCH($B25,'DER Concepts'!$B$6:$B$31,0),MATCH(Q$12,'DER Concepts'!$B$6:$V$6,0))</f>
        <v>0.66400000000000003</v>
      </c>
      <c r="R25" s="12">
        <f t="shared" si="0"/>
        <v>1.6600000000000001</v>
      </c>
      <c r="S25" s="46">
        <v>9.2076025756029747</v>
      </c>
      <c r="T25" s="75">
        <f>INDEX('S6-Summary'!$B$17:$W$43,MATCH($B25,'S6-Summary'!$B$17:$B$43,0),MATCH(T$12,'S6-Summary'!$B$17:$W$17,0))</f>
        <v>0.1173427519052541</v>
      </c>
      <c r="U25" s="19">
        <f>INDEX('S6-Summary'!$B$17:$W$43,MATCH($B25,'S6-Summary'!$B$17:$B$43,0),MATCH(U$12,'S6-Summary'!$B$17:$W$17,0))</f>
        <v>16</v>
      </c>
      <c r="V25" s="21"/>
      <c r="W25" s="9" t="s">
        <v>107</v>
      </c>
      <c r="X25" s="30" t="s">
        <v>20</v>
      </c>
    </row>
    <row r="27" spans="2:24" x14ac:dyDescent="0.35">
      <c r="L27" s="64" t="s">
        <v>121</v>
      </c>
      <c r="R27" s="39">
        <f>SUM(R17:R25)</f>
        <v>118.92999999999999</v>
      </c>
    </row>
  </sheetData>
  <autoFilter ref="B12:X25">
    <filterColumn colId="19">
      <customFilters>
        <customFilter operator="greaterThanOrEqual" val="15"/>
      </customFilters>
    </filterColumn>
    <filterColumn colId="20">
      <filters blank="1"/>
    </filterColumn>
    <sortState ref="B20:X28">
      <sortCondition descending="1" ref="T15:T28"/>
    </sortState>
  </autoFilter>
  <mergeCells count="1">
    <mergeCell ref="I11:R11"/>
  </mergeCells>
  <pageMargins left="0.7" right="0.7" top="0.75" bottom="0.75" header="0.3" footer="0.3"/>
  <pageSetup scale="49" orientation="landscape" r:id="rId1"/>
  <headerFooter>
    <oddHeader>&amp;LAppendix D-2: DER Preferred Portfolio Selection&amp;RClean Energy Implementation Plan</oddHeader>
    <oddFooter>&amp;LDECEMBER 17, 2021&amp;C&amp;P of &amp;N&amp;RPuget Sound Energy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73A87C8AAD83640BC679CD5F646EDF9" ma:contentTypeVersion="44" ma:contentTypeDescription="" ma:contentTypeScope="" ma:versionID="14124dfb0ff6b13215e98d2fb75e0b5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2021-10-15T07:00:00+00:00</OpenedDate>
    <SignificantOrder xmlns="dc463f71-b30c-4ab2-9473-d307f9d35888">false</SignificantOrder>
    <Date1 xmlns="dc463f71-b30c-4ab2-9473-d307f9d35888">2022-10-10T07:00:00+00:00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210795</DocketNumber>
    <DelegatedOrder xmlns="dc463f71-b30c-4ab2-9473-d307f9d35888">false</DelegatedOrder>
  </documentManagement>
</p:properties>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64977C-3F41-4FE5-B548-FE8A69383A7C}"/>
</file>

<file path=customXml/itemProps2.xml><?xml version="1.0" encoding="utf-8"?>
<ds:datastoreItem xmlns:ds="http://schemas.openxmlformats.org/officeDocument/2006/customXml" ds:itemID="{511FD674-3B70-45A3-A335-6968DE192662}">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DDA1B88A-5A15-40C5-BF17-8871DC733AF0}"/>
</file>

<file path=customXml/itemProps4.xml><?xml version="1.0" encoding="utf-8"?>
<ds:datastoreItem xmlns:ds="http://schemas.openxmlformats.org/officeDocument/2006/customXml" ds:itemID="{EA350770-FEFF-4187-8CB6-E7BD5B92C6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Analysis Summary</vt:lpstr>
      <vt:lpstr>Summary Table (Remove Excluded)</vt:lpstr>
      <vt:lpstr>Summary Table</vt:lpstr>
      <vt:lpstr>Cost per Site</vt:lpstr>
      <vt:lpstr>Metadata</vt:lpstr>
      <vt:lpstr>DER Concepts</vt:lpstr>
      <vt:lpstr>Approach</vt:lpstr>
      <vt:lpstr>S6-Summary</vt:lpstr>
      <vt:lpstr>S6-Filter-Solar</vt:lpstr>
      <vt:lpstr>S6-Filter-Battery</vt:lpstr>
      <vt:lpstr>S6-Selection</vt:lpstr>
      <vt:lpstr>CBI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2021-12-17T19:16:51Z</dcterms:created>
  <dcterms:modified xsi:type="dcterms:W3CDTF">2022-05-18T19:17:55Z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0x0101006E56B4D1795A2E4DB2F0B01679ED314A00073A87C8AAD83640BC679CD5F646EDF9</vt:lpwstr>
  </property>
  <property fmtid="{D5CDD505-2E9C-101B-9397-08002B2CF9AE}" pid="3" name="_dlc_DocIdItemGuid">
    <vt:lpwstr>711ea6c5-235b-4fbf-8afc-6e6b4b9a61ed</vt:lpwstr>
  </property>
  <property fmtid="{D5CDD505-2E9C-101B-9397-08002B2CF9AE}" pid="4" name="_dlc_DocId">
    <vt:lpwstr>ZZD3657U62HA-1482678467-512</vt:lpwstr>
  </property>
  <property fmtid="{D5CDD505-2E9C-101B-9397-08002B2CF9AE}" pid="5" name="_dlc_DocIdUrl">
    <vt:lpwstr>http://ace/Divisions/pcu/_layouts/15/DocIdRedir.aspx?ID=ZZD3657U62HA-1482678467-512, ZZD3657U62HA-1482678467-512</vt:lpwstr>
  </property>
  <property fmtid="{D5CDD505-2E9C-101B-9397-08002B2CF9AE}" pid="6" name="_docset_NoMedatataSyncRequired">
    <vt:lpwstr>False</vt:lpwstr>
  </property>
  <property fmtid="{D5CDD505-2E9C-101B-9397-08002B2CF9AE}" pid="7" name="IsEFSEC">
    <vt:bool>false</vt:bool>
  </property>
</Properties>
</file>