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G\UG_210755_Cascade_LIRC_2021\1_Filings\Testimony_Direct_Response\PC\Mark Garrett\Workpapers\Public Version WP\"/>
    </mc:Choice>
  </mc:AlternateContent>
  <bookViews>
    <workbookView xWindow="22940" yWindow="-30" windowWidth="23250" windowHeight="12570" tabRatio="869" firstSheet="1" activeTab="3"/>
  </bookViews>
  <sheets>
    <sheet name="MEG-3 Summary" sheetId="2" r:id="rId1"/>
    <sheet name="MEG-4 Results of Operations" sheetId="1" r:id="rId2"/>
    <sheet name="MEG-5 2021 AMA" sheetId="15" r:id="rId3"/>
    <sheet name="WP MEG-5.1 2021 AMA" sheetId="4" r:id="rId4"/>
    <sheet name="MEG-6 Restate 2021 Revenue" sheetId="11" r:id="rId5"/>
    <sheet name="WP MEG-6.1" sheetId="12" r:id="rId6"/>
    <sheet name="MEG-7 Restate 2021 Payroll" sheetId="13" r:id="rId7"/>
    <sheet name="WP MEG-7.1" sheetId="14" r:id="rId8"/>
    <sheet name="MEG-8 Executive Incentives" sheetId="16" r:id="rId9"/>
    <sheet name="MEG-9 BOD Expenses" sheetId="17" r:id="rId10"/>
    <sheet name="MEG-10 2021 EOP Revenue Adjust" sheetId="18" r:id="rId11"/>
    <sheet name="WP MEG-10.1 2021 Customer Growt" sheetId="19" r:id="rId12"/>
    <sheet name="MEG-11 2021 EOP Rate Base" sheetId="21" r:id="rId13"/>
    <sheet name="WP MEG-11.1 2021 EOP Rate Base" sheetId="20" r:id="rId14"/>
    <sheet name="MEG-12 2021 Deprec Exp" sheetId="23" r:id="rId15"/>
    <sheet name="WP MEG-12.1 2021 EOP Depr" sheetId="22" r:id="rId16"/>
    <sheet name="MEG-13 Interest Coord. Adj" sheetId="8" r:id="rId17"/>
    <sheet name="MEG-14 Cost of Capital" sheetId="3" r:id="rId18"/>
  </sheets>
  <definedNames>
    <definedName name="_xlnm.Print_Area" localSheetId="12">'MEG-11 2021 EOP Rate Base'!$A$1:$I$19</definedName>
    <definedName name="_xlnm.Print_Area" localSheetId="14">'MEG-12 2021 Deprec Exp'!$A$1:$I$21</definedName>
    <definedName name="_xlnm.Print_Area" localSheetId="16">'MEG-13 Interest Coord. Adj'!$A$1:$H$32</definedName>
    <definedName name="_xlnm.Print_Area" localSheetId="17">'MEG-14 Cost of Capital'!$A$1:$J$35</definedName>
    <definedName name="_xlnm.Print_Area" localSheetId="0">'MEG-3 Summary'!$A$1:$H$30</definedName>
    <definedName name="_xlnm.Print_Area" localSheetId="1">'MEG-4 Results of Operations'!$A$1:$W$50</definedName>
    <definedName name="_xlnm.Print_Area" localSheetId="2">'MEG-5 2021 AMA'!$A$1:$I$24</definedName>
    <definedName name="_xlnm.Print_Area" localSheetId="11">'WP MEG-10.1 2021 Customer Growt'!$A$1:$I$73</definedName>
    <definedName name="_xlnm.Print_Area" localSheetId="13">'WP MEG-11.1 2021 EOP Rate Base'!$A$1:$I$26</definedName>
    <definedName name="_xlnm.Print_Area" localSheetId="15">'WP MEG-12.1 2021 EOP Depr'!$A$1:$G$147</definedName>
    <definedName name="_xlnm.Print_Area" localSheetId="3">'WP MEG-5.1 2021 AMA'!$A$1:$G$41</definedName>
    <definedName name="_xlnm.Print_Area" localSheetId="5">'WP MEG-6.1'!$A$1:$G$55</definedName>
    <definedName name="_xlnm.Print_Area" localSheetId="7">'WP MEG-7.1'!$A$2:$I$41</definedName>
    <definedName name="_xlnm.Print_Titles" localSheetId="15">'WP MEG-12.1 2021 EOP Depr'!$1:$10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7" i="22" l="1"/>
  <c r="A138" i="22" s="1"/>
  <c r="A139" i="22" s="1"/>
  <c r="A140" i="22" s="1"/>
  <c r="A11" i="12"/>
  <c r="A12" i="12" s="1"/>
  <c r="A13" i="12" s="1"/>
  <c r="A16" i="12" s="1"/>
  <c r="A17" i="12" s="1"/>
  <c r="A18" i="12" s="1"/>
  <c r="A21" i="12" s="1"/>
  <c r="A22" i="12" s="1"/>
  <c r="A23" i="12" s="1"/>
  <c r="A24" i="12" s="1"/>
  <c r="A27" i="12" s="1"/>
  <c r="A28" i="12" s="1"/>
  <c r="A29" i="12" s="1"/>
  <c r="A30" i="12" s="1"/>
  <c r="A33" i="12" s="1"/>
  <c r="A34" i="12" s="1"/>
  <c r="A35" i="12" s="1"/>
  <c r="A36" i="12" s="1"/>
  <c r="A39" i="12" s="1"/>
  <c r="A40" i="12" s="1"/>
  <c r="A41" i="12" s="1"/>
  <c r="A42" i="12" s="1"/>
  <c r="A43" i="12" s="1"/>
  <c r="A50" i="12" s="1"/>
  <c r="A51" i="12" s="1"/>
  <c r="A54" i="12" s="1"/>
  <c r="A55" i="12" s="1"/>
  <c r="A12" i="19" l="1"/>
  <c r="A13" i="19" s="1"/>
  <c r="A14" i="19" s="1"/>
  <c r="A15" i="19" s="1"/>
  <c r="A18" i="19" s="1"/>
  <c r="A19" i="19" s="1"/>
  <c r="A20" i="19" s="1"/>
  <c r="A21" i="19" s="1"/>
  <c r="A24" i="19" s="1"/>
  <c r="A25" i="19" s="1"/>
  <c r="A26" i="19" s="1"/>
  <c r="A27" i="19" s="1"/>
  <c r="A32" i="19" s="1"/>
  <c r="A33" i="19" s="1"/>
  <c r="A34" i="19" s="1"/>
  <c r="A35" i="19" s="1"/>
  <c r="A40" i="19" s="1"/>
  <c r="A41" i="19" s="1"/>
  <c r="A42" i="19" s="1"/>
  <c r="A43" i="19" s="1"/>
  <c r="A44" i="19" s="1"/>
  <c r="A47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61" i="19" s="1"/>
  <c r="A62" i="19" s="1"/>
  <c r="A65" i="19" s="1"/>
  <c r="A66" i="19" s="1"/>
  <c r="A67" i="19" s="1"/>
  <c r="A70" i="19" s="1"/>
  <c r="A71" i="19" s="1"/>
  <c r="A72" i="19" s="1"/>
  <c r="A73" i="19" s="1"/>
  <c r="A15" i="4"/>
  <c r="A16" i="4" s="1"/>
  <c r="A17" i="4" s="1"/>
  <c r="A18" i="4" s="1"/>
  <c r="A19" i="4" s="1"/>
  <c r="A24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G24" i="4"/>
  <c r="G19" i="4"/>
  <c r="G18" i="4"/>
  <c r="G16" i="4"/>
  <c r="G15" i="4"/>
  <c r="O26" i="1"/>
  <c r="O18" i="1"/>
  <c r="Q23" i="1"/>
  <c r="S23" i="1" s="1"/>
  <c r="O23" i="1"/>
  <c r="I23" i="1" l="1"/>
  <c r="I27" i="1" l="1"/>
  <c r="I26" i="1"/>
  <c r="I25" i="1"/>
  <c r="I24" i="1"/>
  <c r="I22" i="1"/>
  <c r="I21" i="1"/>
  <c r="I20" i="1"/>
  <c r="I18" i="1"/>
  <c r="I17" i="1"/>
  <c r="I16" i="1"/>
  <c r="I15" i="1"/>
  <c r="I14" i="1"/>
  <c r="I13" i="1"/>
  <c r="E19" i="1"/>
  <c r="E28" i="1" s="1"/>
  <c r="G18" i="16"/>
  <c r="G20" i="16" s="1"/>
  <c r="E18" i="16"/>
  <c r="E20" i="16" s="1"/>
  <c r="I16" i="16"/>
  <c r="I14" i="16"/>
  <c r="I18" i="16" s="1"/>
  <c r="I20" i="16" s="1"/>
  <c r="E34" i="14"/>
  <c r="D34" i="14"/>
  <c r="E32" i="14"/>
  <c r="F32" i="14" s="1"/>
  <c r="G32" i="14" s="1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H14" i="14"/>
  <c r="H15" i="14" s="1"/>
  <c r="H16" i="14" s="1"/>
  <c r="G14" i="14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F13" i="14"/>
  <c r="G28" i="1"/>
  <c r="E17" i="20"/>
  <c r="G17" i="20" s="1"/>
  <c r="I19" i="1" l="1"/>
  <c r="I14" i="14"/>
  <c r="I15" i="14"/>
  <c r="F34" i="14"/>
  <c r="G34" i="14" s="1"/>
  <c r="I22" i="16"/>
  <c r="I24" i="16" s="1"/>
  <c r="I26" i="16" s="1"/>
  <c r="O33" i="1" s="1"/>
  <c r="K33" i="1" s="1"/>
  <c r="E22" i="16"/>
  <c r="E24" i="16" s="1"/>
  <c r="E26" i="16" s="1"/>
  <c r="G22" i="16"/>
  <c r="G24" i="16" s="1"/>
  <c r="G26" i="16" s="1"/>
  <c r="H17" i="14"/>
  <c r="H18" i="14" s="1"/>
  <c r="H19" i="14" s="1"/>
  <c r="H20" i="14" s="1"/>
  <c r="I16" i="14"/>
  <c r="G13" i="14"/>
  <c r="I13" i="14" s="1"/>
  <c r="K38" i="1"/>
  <c r="I17" i="14" l="1"/>
  <c r="H21" i="14"/>
  <c r="I20" i="14"/>
  <c r="I19" i="14"/>
  <c r="I18" i="14"/>
  <c r="E18" i="17"/>
  <c r="I16" i="17"/>
  <c r="I14" i="17"/>
  <c r="C17" i="12"/>
  <c r="G17" i="12" s="1"/>
  <c r="C12" i="12"/>
  <c r="G12" i="12" s="1"/>
  <c r="G20" i="11"/>
  <c r="F73" i="19"/>
  <c r="C19" i="19" l="1"/>
  <c r="J21" i="19" s="1"/>
  <c r="C13" i="19"/>
  <c r="J15" i="19" s="1"/>
  <c r="H22" i="14"/>
  <c r="I21" i="14"/>
  <c r="M40" i="1"/>
  <c r="I40" i="1"/>
  <c r="O24" i="1"/>
  <c r="H23" i="14" l="1"/>
  <c r="I22" i="14"/>
  <c r="D25" i="2"/>
  <c r="E14" i="23"/>
  <c r="G14" i="23"/>
  <c r="G16" i="23" s="1"/>
  <c r="G18" i="23" s="1"/>
  <c r="G20" i="23" s="1"/>
  <c r="E16" i="23" l="1"/>
  <c r="E18" i="23" s="1"/>
  <c r="E20" i="23" s="1"/>
  <c r="O39" i="1" s="1"/>
  <c r="H24" i="14"/>
  <c r="I23" i="14"/>
  <c r="I14" i="23"/>
  <c r="I16" i="23" s="1"/>
  <c r="I18" i="23" s="1"/>
  <c r="I20" i="23" s="1"/>
  <c r="M39" i="1"/>
  <c r="M37" i="1"/>
  <c r="I39" i="1"/>
  <c r="I38" i="1"/>
  <c r="I37" i="1"/>
  <c r="G14" i="21"/>
  <c r="I17" i="20"/>
  <c r="I16" i="20"/>
  <c r="I15" i="20"/>
  <c r="I14" i="20"/>
  <c r="I13" i="20"/>
  <c r="H14" i="18"/>
  <c r="C56" i="19"/>
  <c r="C55" i="19"/>
  <c r="C54" i="19"/>
  <c r="C53" i="19"/>
  <c r="C52" i="19"/>
  <c r="D51" i="19"/>
  <c r="C51" i="19"/>
  <c r="D50" i="19"/>
  <c r="C50" i="19"/>
  <c r="C42" i="19"/>
  <c r="C41" i="19"/>
  <c r="D40" i="19"/>
  <c r="F40" i="19" s="1"/>
  <c r="I40" i="19" s="1"/>
  <c r="C35" i="19"/>
  <c r="C34" i="19"/>
  <c r="C33" i="19"/>
  <c r="D32" i="19"/>
  <c r="C32" i="19"/>
  <c r="C27" i="19"/>
  <c r="C26" i="19"/>
  <c r="C25" i="19"/>
  <c r="D24" i="19"/>
  <c r="C24" i="19"/>
  <c r="D18" i="19"/>
  <c r="C18" i="19"/>
  <c r="D12" i="19"/>
  <c r="F12" i="19" s="1"/>
  <c r="I12" i="19" s="1"/>
  <c r="Q24" i="1"/>
  <c r="D21" i="2"/>
  <c r="D20" i="2"/>
  <c r="G22" i="17"/>
  <c r="E22" i="17"/>
  <c r="I18" i="17"/>
  <c r="I22" i="17" s="1"/>
  <c r="S34" i="1"/>
  <c r="S33" i="1"/>
  <c r="M34" i="1"/>
  <c r="M33" i="1"/>
  <c r="I34" i="1"/>
  <c r="I33" i="1"/>
  <c r="D26" i="2" l="1"/>
  <c r="K39" i="1"/>
  <c r="S39" i="1"/>
  <c r="W39" i="1" s="1"/>
  <c r="H26" i="2" s="1"/>
  <c r="J37" i="19"/>
  <c r="J29" i="19"/>
  <c r="J58" i="19"/>
  <c r="J61" i="19" s="1"/>
  <c r="D72" i="19" s="1"/>
  <c r="J44" i="19"/>
  <c r="H25" i="14"/>
  <c r="I24" i="14"/>
  <c r="I19" i="20"/>
  <c r="E14" i="21" s="1"/>
  <c r="Q38" i="1" s="1"/>
  <c r="F25" i="2" s="1"/>
  <c r="E24" i="17"/>
  <c r="E26" i="17" s="1"/>
  <c r="E28" i="17" s="1"/>
  <c r="K34" i="1" s="1"/>
  <c r="H24" i="18"/>
  <c r="H26" i="18" s="1"/>
  <c r="H18" i="18"/>
  <c r="D13" i="19"/>
  <c r="D42" i="19"/>
  <c r="F42" i="19" s="1"/>
  <c r="I42" i="19" s="1"/>
  <c r="D19" i="19"/>
  <c r="F51" i="19"/>
  <c r="I51" i="19" s="1"/>
  <c r="D53" i="19"/>
  <c r="F32" i="19"/>
  <c r="I32" i="19" s="1"/>
  <c r="F24" i="19"/>
  <c r="I24" i="19" s="1"/>
  <c r="D33" i="19"/>
  <c r="D34" i="19"/>
  <c r="F34" i="19" s="1"/>
  <c r="I34" i="19" s="1"/>
  <c r="D41" i="19"/>
  <c r="D25" i="19"/>
  <c r="D26" i="19"/>
  <c r="F26" i="19" s="1"/>
  <c r="I26" i="19" s="1"/>
  <c r="D27" i="19"/>
  <c r="F27" i="19" s="1"/>
  <c r="I27" i="19" s="1"/>
  <c r="D35" i="19"/>
  <c r="F35" i="19" s="1"/>
  <c r="I35" i="19" s="1"/>
  <c r="F18" i="19"/>
  <c r="I18" i="19" s="1"/>
  <c r="D56" i="19"/>
  <c r="F56" i="19" s="1"/>
  <c r="I56" i="19" s="1"/>
  <c r="W33" i="1"/>
  <c r="H20" i="2" s="1"/>
  <c r="W34" i="1"/>
  <c r="H21" i="2" s="1"/>
  <c r="D54" i="19"/>
  <c r="F54" i="19" s="1"/>
  <c r="I54" i="19" s="1"/>
  <c r="F50" i="19"/>
  <c r="I50" i="19" s="1"/>
  <c r="D55" i="19"/>
  <c r="F55" i="19" s="1"/>
  <c r="I55" i="19" s="1"/>
  <c r="I24" i="17"/>
  <c r="I26" i="17" s="1"/>
  <c r="I28" i="17" s="1"/>
  <c r="G24" i="17"/>
  <c r="G26" i="17" s="1"/>
  <c r="G28" i="17" s="1"/>
  <c r="J47" i="19" l="1"/>
  <c r="D71" i="19" s="1"/>
  <c r="H28" i="18"/>
  <c r="F41" i="19"/>
  <c r="I41" i="19" s="1"/>
  <c r="I43" i="19" s="1"/>
  <c r="D44" i="19"/>
  <c r="I44" i="19" s="1"/>
  <c r="F53" i="19"/>
  <c r="I53" i="19" s="1"/>
  <c r="D58" i="19"/>
  <c r="I58" i="19" s="1"/>
  <c r="I61" i="19" s="1"/>
  <c r="D66" i="19" s="1"/>
  <c r="I72" i="19"/>
  <c r="F66" i="19"/>
  <c r="F65" i="19"/>
  <c r="I71" i="19"/>
  <c r="D73" i="19"/>
  <c r="H26" i="14"/>
  <c r="I25" i="14"/>
  <c r="I14" i="21"/>
  <c r="M38" i="1"/>
  <c r="S38" i="1"/>
  <c r="W38" i="1" s="1"/>
  <c r="H25" i="2" s="1"/>
  <c r="F33" i="19"/>
  <c r="I33" i="19" s="1"/>
  <c r="I36" i="19" s="1"/>
  <c r="D37" i="19"/>
  <c r="I37" i="19" s="1"/>
  <c r="F25" i="19"/>
  <c r="I25" i="19" s="1"/>
  <c r="I28" i="19" s="1"/>
  <c r="D29" i="19"/>
  <c r="I29" i="19" s="1"/>
  <c r="F19" i="19"/>
  <c r="I19" i="19" s="1"/>
  <c r="I20" i="19" s="1"/>
  <c r="D21" i="19"/>
  <c r="I21" i="19" s="1"/>
  <c r="F13" i="19"/>
  <c r="I13" i="19" s="1"/>
  <c r="I14" i="19" s="1"/>
  <c r="D15" i="19"/>
  <c r="I15" i="19" s="1"/>
  <c r="D52" i="19"/>
  <c r="F52" i="19" s="1"/>
  <c r="I52" i="19" s="1"/>
  <c r="F67" i="19" l="1"/>
  <c r="I57" i="19"/>
  <c r="I60" i="19" s="1"/>
  <c r="I73" i="19"/>
  <c r="E16" i="11" s="1"/>
  <c r="I16" i="11" s="1"/>
  <c r="I66" i="19"/>
  <c r="H27" i="14"/>
  <c r="I26" i="14"/>
  <c r="I47" i="19"/>
  <c r="D65" i="19" s="1"/>
  <c r="I46" i="19"/>
  <c r="F14" i="18" s="1"/>
  <c r="M32" i="1"/>
  <c r="M31" i="1"/>
  <c r="I32" i="1"/>
  <c r="I31" i="1"/>
  <c r="G18" i="13"/>
  <c r="G51" i="12"/>
  <c r="E18" i="11" s="1"/>
  <c r="I18" i="11" s="1"/>
  <c r="G26" i="11"/>
  <c r="G28" i="11" s="1"/>
  <c r="G30" i="11" s="1"/>
  <c r="E42" i="12"/>
  <c r="G42" i="12" s="1"/>
  <c r="E41" i="12"/>
  <c r="G41" i="12" s="1"/>
  <c r="E40" i="12"/>
  <c r="G40" i="12" s="1"/>
  <c r="E39" i="12"/>
  <c r="G39" i="12" s="1"/>
  <c r="E34" i="12"/>
  <c r="G34" i="12" s="1"/>
  <c r="E33" i="12"/>
  <c r="G33" i="12" s="1"/>
  <c r="E29" i="12"/>
  <c r="C29" i="12"/>
  <c r="G29" i="12" s="1"/>
  <c r="E28" i="12"/>
  <c r="C28" i="12"/>
  <c r="E27" i="12"/>
  <c r="C27" i="12"/>
  <c r="G27" i="12" s="1"/>
  <c r="E23" i="12"/>
  <c r="G23" i="12" s="1"/>
  <c r="E22" i="12"/>
  <c r="G22" i="12" s="1"/>
  <c r="E21" i="12"/>
  <c r="G21" i="12" s="1"/>
  <c r="E16" i="12"/>
  <c r="C16" i="12"/>
  <c r="E11" i="12"/>
  <c r="G11" i="12" s="1"/>
  <c r="G13" i="12" s="1"/>
  <c r="I30" i="1"/>
  <c r="C38" i="4"/>
  <c r="C17" i="4"/>
  <c r="G17" i="4" s="1"/>
  <c r="G24" i="12" l="1"/>
  <c r="G28" i="12"/>
  <c r="G20" i="13"/>
  <c r="G22" i="13" s="1"/>
  <c r="H28" i="14"/>
  <c r="I27" i="14"/>
  <c r="D67" i="19"/>
  <c r="I65" i="19"/>
  <c r="I67" i="19" s="1"/>
  <c r="F16" i="18" s="1"/>
  <c r="J16" i="18" s="1"/>
  <c r="G16" i="12"/>
  <c r="G18" i="12" s="1"/>
  <c r="J14" i="18"/>
  <c r="J24" i="18" s="1"/>
  <c r="G43" i="12"/>
  <c r="G45" i="12" s="1"/>
  <c r="G30" i="12"/>
  <c r="G35" i="12"/>
  <c r="G36" i="12" l="1"/>
  <c r="G47" i="12" s="1"/>
  <c r="E14" i="11" s="1"/>
  <c r="H29" i="14"/>
  <c r="I28" i="14"/>
  <c r="F18" i="18"/>
  <c r="J18" i="18"/>
  <c r="F22" i="18" l="1"/>
  <c r="J22" i="18" s="1"/>
  <c r="F24" i="18"/>
  <c r="I14" i="11"/>
  <c r="I20" i="11" s="1"/>
  <c r="E20" i="11"/>
  <c r="E26" i="11" s="1"/>
  <c r="I26" i="11" s="1"/>
  <c r="F20" i="18"/>
  <c r="H30" i="14"/>
  <c r="I29" i="14"/>
  <c r="J20" i="18"/>
  <c r="E22" i="11" l="1"/>
  <c r="F26" i="18"/>
  <c r="F28" i="18" s="1"/>
  <c r="J26" i="18"/>
  <c r="J28" i="18" s="1"/>
  <c r="O37" i="1" s="1"/>
  <c r="E24" i="11"/>
  <c r="I24" i="11" s="1"/>
  <c r="H31" i="14"/>
  <c r="I30" i="14"/>
  <c r="I22" i="11"/>
  <c r="K37" i="1" l="1"/>
  <c r="D24" i="2"/>
  <c r="S37" i="1"/>
  <c r="W37" i="1" s="1"/>
  <c r="E28" i="11"/>
  <c r="E30" i="11" s="1"/>
  <c r="O31" i="1" s="1"/>
  <c r="K31" i="1" s="1"/>
  <c r="I28" i="11"/>
  <c r="I30" i="11" s="1"/>
  <c r="H32" i="14"/>
  <c r="I32" i="14" s="1"/>
  <c r="I31" i="14"/>
  <c r="S31" i="1" l="1"/>
  <c r="W31" i="1" s="1"/>
  <c r="H18" i="2" s="1"/>
  <c r="D18" i="2"/>
  <c r="I34" i="14"/>
  <c r="E14" i="13" s="1"/>
  <c r="H24" i="2"/>
  <c r="I36" i="14" l="1"/>
  <c r="E16" i="13" s="1"/>
  <c r="I16" i="13" s="1"/>
  <c r="E18" i="13" l="1"/>
  <c r="E20" i="13" s="1"/>
  <c r="I38" i="14"/>
  <c r="I14" i="13"/>
  <c r="I18" i="13"/>
  <c r="O16" i="1"/>
  <c r="Q19" i="1"/>
  <c r="O19" i="1"/>
  <c r="I20" i="13" l="1"/>
  <c r="I22" i="13" s="1"/>
  <c r="E22" i="13"/>
  <c r="O32" i="1" s="1"/>
  <c r="E21" i="3"/>
  <c r="E28" i="3" s="1"/>
  <c r="H28" i="3"/>
  <c r="H27" i="3"/>
  <c r="H21" i="3"/>
  <c r="H20" i="3"/>
  <c r="H16" i="3"/>
  <c r="H15" i="3"/>
  <c r="S32" i="1" l="1"/>
  <c r="W32" i="1" s="1"/>
  <c r="H19" i="2" s="1"/>
  <c r="D19" i="2"/>
  <c r="K32" i="1"/>
  <c r="Q27" i="1"/>
  <c r="O27" i="1"/>
  <c r="Q25" i="1"/>
  <c r="O25" i="1"/>
  <c r="Q16" i="1"/>
  <c r="Q22" i="1"/>
  <c r="O22" i="1"/>
  <c r="Q21" i="1"/>
  <c r="O21" i="1"/>
  <c r="Q20" i="1"/>
  <c r="O20" i="1"/>
  <c r="S22" i="1" l="1"/>
  <c r="S21" i="1"/>
  <c r="W21" i="1" s="1"/>
  <c r="S20" i="1"/>
  <c r="W20" i="1" s="1"/>
  <c r="S27" i="1"/>
  <c r="S25" i="1"/>
  <c r="W22" i="1"/>
  <c r="I28" i="1" l="1"/>
  <c r="E35" i="1" l="1"/>
  <c r="E41" i="1" s="1"/>
  <c r="G35" i="1"/>
  <c r="G41" i="1" s="1"/>
  <c r="I35" i="1"/>
  <c r="E21" i="4"/>
  <c r="I41" i="1" l="1"/>
  <c r="H15" i="2"/>
  <c r="S19" i="1"/>
  <c r="S16" i="1"/>
  <c r="G21" i="4" l="1"/>
  <c r="E14" i="15" s="1"/>
  <c r="I14" i="15" s="1"/>
  <c r="Q30" i="1" s="1"/>
  <c r="E16" i="15"/>
  <c r="I16" i="15" s="1"/>
  <c r="O30" i="1" s="1"/>
  <c r="D17" i="2" l="1"/>
  <c r="F17" i="2"/>
  <c r="F22" i="2" s="1"/>
  <c r="K30" i="1"/>
  <c r="H41" i="1"/>
  <c r="F15" i="2"/>
  <c r="F41" i="1"/>
  <c r="D15" i="2"/>
  <c r="Q17" i="1"/>
  <c r="O17" i="1"/>
  <c r="Q15" i="1"/>
  <c r="O15" i="1"/>
  <c r="Q14" i="1"/>
  <c r="O14" i="1"/>
  <c r="Q13" i="1"/>
  <c r="O13" i="1"/>
  <c r="D22" i="2" l="1"/>
  <c r="F29" i="2"/>
  <c r="Q28" i="1"/>
  <c r="S30" i="1"/>
  <c r="M30" i="1"/>
  <c r="S14" i="1"/>
  <c r="S17" i="1"/>
  <c r="S15" i="1"/>
  <c r="S13" i="1"/>
  <c r="Q35" i="1" l="1"/>
  <c r="Q41" i="1" s="1"/>
  <c r="W30" i="1"/>
  <c r="C40" i="4"/>
  <c r="H17" i="2" l="1"/>
  <c r="H22" i="2" s="1"/>
  <c r="C21" i="4" l="1"/>
  <c r="C28" i="3" l="1"/>
  <c r="G16" i="3"/>
  <c r="G15" i="3"/>
  <c r="C17" i="3"/>
  <c r="O28" i="1" l="1"/>
  <c r="G28" i="3"/>
  <c r="J28" i="3" s="1"/>
  <c r="G21" i="3"/>
  <c r="F16" i="8"/>
  <c r="G20" i="3"/>
  <c r="G27" i="3"/>
  <c r="S18" i="1"/>
  <c r="G17" i="3"/>
  <c r="E20" i="3"/>
  <c r="E27" i="3" s="1"/>
  <c r="J15" i="3"/>
  <c r="J16" i="3"/>
  <c r="J21" i="3"/>
  <c r="O35" i="1" l="1"/>
  <c r="C22" i="3"/>
  <c r="C27" i="3"/>
  <c r="J17" i="3"/>
  <c r="G22" i="3" l="1"/>
  <c r="G24" i="3" s="1"/>
  <c r="J20" i="3"/>
  <c r="J22" i="3" s="1"/>
  <c r="J24" i="3" s="1"/>
  <c r="C29" i="3"/>
  <c r="S26" i="1" l="1"/>
  <c r="G29" i="3"/>
  <c r="W19" i="1" s="1"/>
  <c r="D16" i="8"/>
  <c r="J27" i="3"/>
  <c r="J29" i="3" s="1"/>
  <c r="J31" i="3" s="1"/>
  <c r="G31" i="3" l="1"/>
  <c r="W26" i="1"/>
  <c r="W16" i="1"/>
  <c r="W18" i="1"/>
  <c r="W25" i="1"/>
  <c r="W13" i="1"/>
  <c r="W14" i="1"/>
  <c r="W15" i="1"/>
  <c r="W17" i="1"/>
  <c r="W27" i="1"/>
  <c r="D14" i="8"/>
  <c r="M28" i="1" l="1"/>
  <c r="D18" i="8"/>
  <c r="D22" i="8" s="1"/>
  <c r="D26" i="8" s="1"/>
  <c r="D28" i="8" s="1"/>
  <c r="O40" i="1" s="1"/>
  <c r="O41" i="1" s="1"/>
  <c r="F18" i="8"/>
  <c r="F22" i="8" s="1"/>
  <c r="F26" i="8" s="1"/>
  <c r="F28" i="8" s="1"/>
  <c r="M35" i="1" l="1"/>
  <c r="M41" i="1" s="1"/>
  <c r="K40" i="1"/>
  <c r="D27" i="2"/>
  <c r="D29" i="2" s="1"/>
  <c r="S40" i="1"/>
  <c r="H26" i="8"/>
  <c r="S24" i="1"/>
  <c r="H28" i="8"/>
  <c r="S28" i="1" l="1"/>
  <c r="K28" i="1"/>
  <c r="W40" i="1"/>
  <c r="W24" i="1"/>
  <c r="K35" i="1" l="1"/>
  <c r="K41" i="1" s="1"/>
  <c r="S35" i="1"/>
  <c r="S41" i="1" s="1"/>
  <c r="W28" i="1"/>
  <c r="H27" i="2"/>
  <c r="H29" i="2" s="1"/>
  <c r="W35" i="1" l="1"/>
  <c r="W41" i="1" s="1"/>
</calcChain>
</file>

<file path=xl/sharedStrings.xml><?xml version="1.0" encoding="utf-8"?>
<sst xmlns="http://schemas.openxmlformats.org/spreadsheetml/2006/main" count="965" uniqueCount="502">
  <si>
    <t>(1)</t>
  </si>
  <si>
    <t>Customer Accounts</t>
  </si>
  <si>
    <t>Rate Base</t>
  </si>
  <si>
    <t>(2)</t>
  </si>
  <si>
    <t>(3)</t>
  </si>
  <si>
    <t>(4)</t>
  </si>
  <si>
    <t>Public Counsel Unit Summary Recommendations</t>
  </si>
  <si>
    <t>Line</t>
  </si>
  <si>
    <t>Pre-Tax</t>
  </si>
  <si>
    <t>Rate</t>
  </si>
  <si>
    <t>No.</t>
  </si>
  <si>
    <t>Description</t>
  </si>
  <si>
    <t>Increase</t>
  </si>
  <si>
    <t>Plant in Service</t>
  </si>
  <si>
    <t>Accumulated Deferred Income Tax</t>
  </si>
  <si>
    <t>Total Rate Base Adjustments</t>
  </si>
  <si>
    <t>Operating Income Adjustments</t>
  </si>
  <si>
    <t>Taxes Other Than Income Tax</t>
  </si>
  <si>
    <t>Public Counsel Unit Cost of Capital</t>
  </si>
  <si>
    <t>Weighted</t>
  </si>
  <si>
    <t>Capital</t>
  </si>
  <si>
    <t>Cost of</t>
  </si>
  <si>
    <t>Structure</t>
  </si>
  <si>
    <t>Cost</t>
  </si>
  <si>
    <t>Long-Term Debt</t>
  </si>
  <si>
    <t>Common Equity</t>
  </si>
  <si>
    <t>Totals</t>
  </si>
  <si>
    <t>Adjustment</t>
  </si>
  <si>
    <t>Revenue</t>
  </si>
  <si>
    <t>Conversion</t>
  </si>
  <si>
    <t>(5)</t>
  </si>
  <si>
    <t>Accumulated Depreciation</t>
  </si>
  <si>
    <t>Depreciation &amp; Amortization Exp.</t>
  </si>
  <si>
    <t>Wage</t>
  </si>
  <si>
    <t>PCU</t>
  </si>
  <si>
    <t>Note 1</t>
  </si>
  <si>
    <t>Total Expense Adjustments</t>
  </si>
  <si>
    <t>Reference</t>
  </si>
  <si>
    <t>Note 1:</t>
  </si>
  <si>
    <r>
      <t>Requested Amounts</t>
    </r>
    <r>
      <rPr>
        <u/>
        <vertAlign val="superscript"/>
        <sz val="12"/>
        <color theme="1"/>
        <rFont val="Times New Roman"/>
        <family val="1"/>
      </rPr>
      <t>1</t>
    </r>
  </si>
  <si>
    <r>
      <t>Factor</t>
    </r>
    <r>
      <rPr>
        <vertAlign val="superscript"/>
        <sz val="12"/>
        <color theme="1"/>
        <rFont val="Times New Roman"/>
        <family val="1"/>
      </rPr>
      <t>2</t>
    </r>
  </si>
  <si>
    <t>Note 2:</t>
  </si>
  <si>
    <t>PCU ROE Adjustment</t>
  </si>
  <si>
    <t>PCU Recommended Return on Equity</t>
  </si>
  <si>
    <t>PCU Capital Structure Adjustment</t>
  </si>
  <si>
    <t>PCU Recommended Capital Structure</t>
  </si>
  <si>
    <t>Public Counsel Adjustments</t>
  </si>
  <si>
    <t>Public Counsel</t>
  </si>
  <si>
    <t>Rev. Req.</t>
  </si>
  <si>
    <t>PC Adjustment</t>
  </si>
  <si>
    <t>and/or PC Neutral in Direct</t>
  </si>
  <si>
    <t>Position on PSE's</t>
  </si>
  <si>
    <t>Impact of</t>
  </si>
  <si>
    <t>Adj. #</t>
  </si>
  <si>
    <t xml:space="preserve">Description </t>
  </si>
  <si>
    <t xml:space="preserve">NOI   </t>
  </si>
  <si>
    <t>Rev Req</t>
  </si>
  <si>
    <t>NOI</t>
  </si>
  <si>
    <t>Position</t>
  </si>
  <si>
    <t>Differences</t>
  </si>
  <si>
    <t>PC Neutral in Direct</t>
  </si>
  <si>
    <t>PC Opposes</t>
  </si>
  <si>
    <t>(6)</t>
  </si>
  <si>
    <t>CNGC</t>
  </si>
  <si>
    <t>R-1</t>
  </si>
  <si>
    <t>R-2</t>
  </si>
  <si>
    <t>R-3</t>
  </si>
  <si>
    <t>R-4</t>
  </si>
  <si>
    <t>R-5</t>
  </si>
  <si>
    <t>R-6</t>
  </si>
  <si>
    <t>P-1</t>
  </si>
  <si>
    <t>P-2</t>
  </si>
  <si>
    <t>P-3</t>
  </si>
  <si>
    <t>P-4</t>
  </si>
  <si>
    <t>Amortize CRM Adjustment</t>
  </si>
  <si>
    <t>Promotional Advertising Adj</t>
  </si>
  <si>
    <t>Restate End of Period Adjustment</t>
  </si>
  <si>
    <t>Restate Wages</t>
  </si>
  <si>
    <t>Interest Coordination Adjustment</t>
  </si>
  <si>
    <t>Pro Forma Wage Adjustment</t>
  </si>
  <si>
    <t>MAOP Deferral Amortization</t>
  </si>
  <si>
    <t>Income Taxes</t>
  </si>
  <si>
    <t>Revenue Taxes</t>
  </si>
  <si>
    <t>Per CNGC</t>
  </si>
  <si>
    <t>Net Operating Income</t>
  </si>
  <si>
    <r>
      <t>Adjustment</t>
    </r>
    <r>
      <rPr>
        <vertAlign val="superscript"/>
        <sz val="12"/>
        <color theme="1"/>
        <rFont val="Times New Roman"/>
        <family val="1"/>
      </rPr>
      <t>1</t>
    </r>
  </si>
  <si>
    <r>
      <t>Adjustment</t>
    </r>
    <r>
      <rPr>
        <vertAlign val="superscript"/>
        <sz val="12"/>
        <color theme="1"/>
        <rFont val="Times New Roman"/>
        <family val="1"/>
      </rPr>
      <t>2</t>
    </r>
  </si>
  <si>
    <t>Public Counsel Unit Interest Coordination Adjustment</t>
  </si>
  <si>
    <t>Weighted Average Cost of Debt</t>
  </si>
  <si>
    <t>Interest Deduction</t>
  </si>
  <si>
    <t>Test Period Interest Expense</t>
  </si>
  <si>
    <t>Adjustment  to Interest Expense</t>
  </si>
  <si>
    <t>Income Tax Rate</t>
  </si>
  <si>
    <t>Total Adjustment</t>
  </si>
  <si>
    <t>Adjustment to Operating Income</t>
  </si>
  <si>
    <t>to CNGC</t>
  </si>
  <si>
    <t>Amounts</t>
  </si>
  <si>
    <t>Adjustment to deductible interest resulting from PCU rate base recommendations.</t>
  </si>
  <si>
    <t>Public Counsel Results of Operations Summary Sheet</t>
  </si>
  <si>
    <t>Directors' Fees</t>
  </si>
  <si>
    <t>Income Tax</t>
  </si>
  <si>
    <t>(7)</t>
  </si>
  <si>
    <t>Operating</t>
  </si>
  <si>
    <t>Income</t>
  </si>
  <si>
    <t>CNGC Adjusted Amounts</t>
  </si>
  <si>
    <t>PC Recommended Amounts</t>
  </si>
  <si>
    <t>Page 1 of 1</t>
  </si>
  <si>
    <t>Exhibit MEG-11</t>
  </si>
  <si>
    <t>Docket UG-200586</t>
  </si>
  <si>
    <t>Exhibit MEG-9</t>
  </si>
  <si>
    <t>Exhibit MEG-7</t>
  </si>
  <si>
    <t>Exhibit MEG-6</t>
  </si>
  <si>
    <t>Exhibit MEG-10</t>
  </si>
  <si>
    <t>MEG-5</t>
  </si>
  <si>
    <t>MEG-6</t>
  </si>
  <si>
    <t>MEG-7</t>
  </si>
  <si>
    <t>MEG-8</t>
  </si>
  <si>
    <t>MEG-9</t>
  </si>
  <si>
    <t>MEG-10</t>
  </si>
  <si>
    <t>Docket UG-210755</t>
  </si>
  <si>
    <t>Exhibit MEG-3</t>
  </si>
  <si>
    <t>Twelve Months Ended December 31, 2020; Docket No. UG-210755</t>
  </si>
  <si>
    <t>Customer Adv. for Construction</t>
  </si>
  <si>
    <t>AMA Test Year End 12/31/2020</t>
  </si>
  <si>
    <t>Restate Incentives</t>
  </si>
  <si>
    <t>R-7</t>
  </si>
  <si>
    <t>R-8</t>
  </si>
  <si>
    <t>R-9</t>
  </si>
  <si>
    <t>Restate Late Payment Charges</t>
  </si>
  <si>
    <t>Removal of FP-319072 &amp; FP-319209</t>
  </si>
  <si>
    <t>Annualize Revenue Adjustment</t>
  </si>
  <si>
    <t>CNGC requested capital structure from MCG WP-1.18.</t>
  </si>
  <si>
    <t>Note 2</t>
  </si>
  <si>
    <t>Exhibit MEG-4</t>
  </si>
  <si>
    <t>Working Capital Allowance</t>
  </si>
  <si>
    <t>Production</t>
  </si>
  <si>
    <t>Distribution</t>
  </si>
  <si>
    <t>Customer Service</t>
  </si>
  <si>
    <t>Sales</t>
  </si>
  <si>
    <t>Administrative and General</t>
  </si>
  <si>
    <t>Expenses</t>
  </si>
  <si>
    <t>2021 AMA</t>
  </si>
  <si>
    <t>Exhibit MEG-8</t>
  </si>
  <si>
    <t>Restate for 2021 AMA</t>
  </si>
  <si>
    <t>PC Recommends</t>
  </si>
  <si>
    <t>Public Counsel Unit Restate 2021 Revenue</t>
  </si>
  <si>
    <t>Cascade Natural Gas Corp.</t>
  </si>
  <si>
    <t>2021 Revenue Restating Adjustment</t>
  </si>
  <si>
    <t>Jan - Jun 2021</t>
  </si>
  <si>
    <t>Price</t>
  </si>
  <si>
    <t>Therms</t>
  </si>
  <si>
    <t>Difference</t>
  </si>
  <si>
    <t>Restating Adj</t>
  </si>
  <si>
    <t>CNGWA503</t>
  </si>
  <si>
    <t>CNG WA Margin</t>
  </si>
  <si>
    <t>CNGWA504 Combined</t>
  </si>
  <si>
    <t>CNGWA505 Combined</t>
  </si>
  <si>
    <t>First 500 Therms</t>
  </si>
  <si>
    <t>Next 3500 Therms</t>
  </si>
  <si>
    <t>Over 4000 Therms</t>
  </si>
  <si>
    <t>Total</t>
  </si>
  <si>
    <t>CNGWA511 Combined</t>
  </si>
  <si>
    <t>First 20,000 Therms</t>
  </si>
  <si>
    <t>Next 80,000 Therms</t>
  </si>
  <si>
    <t>Over 100,000 Therms</t>
  </si>
  <si>
    <t>CNGWA570</t>
  </si>
  <si>
    <t>First 30,000 Therms</t>
  </si>
  <si>
    <t>Over 30,000 Therms</t>
  </si>
  <si>
    <t>Total Sales Margin Adjustment</t>
  </si>
  <si>
    <t>CNGWA6631-Combined (6631 - 6635)</t>
  </si>
  <si>
    <t>First 100,000 Therms</t>
  </si>
  <si>
    <t>Next 200,000 Therms</t>
  </si>
  <si>
    <t>Over 500,000 Therms</t>
  </si>
  <si>
    <t>Restate 2021 Revenue for July 2021 Rate Change</t>
  </si>
  <si>
    <t>Total Rate Restating Adjustments</t>
  </si>
  <si>
    <t>Remove 2021 Provision for Rate Refund</t>
  </si>
  <si>
    <t>Total 2021 Revenue Restating Adjustments</t>
  </si>
  <si>
    <t>PC Recommended Adjustment</t>
  </si>
  <si>
    <t>2021 Revenue Exclusion Adjustment</t>
  </si>
  <si>
    <t>Account</t>
  </si>
  <si>
    <t>Jan-Mar</t>
  </si>
  <si>
    <t>Effective</t>
  </si>
  <si>
    <t>Restating</t>
  </si>
  <si>
    <t>Union Payroll</t>
  </si>
  <si>
    <t>Operation Supervision &amp; Engineering</t>
  </si>
  <si>
    <t>Distribution Load Dispatching</t>
  </si>
  <si>
    <t xml:space="preserve">Compressor Station Operating </t>
  </si>
  <si>
    <t>Routine Main/Service Operation</t>
  </si>
  <si>
    <t>Measuring and Regulating-General</t>
  </si>
  <si>
    <t>Measuring and Regulating-Industrial</t>
  </si>
  <si>
    <t>Routine Meter and House Regulator</t>
  </si>
  <si>
    <t>Customer Installation</t>
  </si>
  <si>
    <t>Distribution Maps/Records &amp; Misc.</t>
  </si>
  <si>
    <t>Mains-Maintenance</t>
  </si>
  <si>
    <t>Compressor Station Maintenance</t>
  </si>
  <si>
    <t>Maintenance of Measuring &amp; Regulating</t>
  </si>
  <si>
    <t>Maintenance of Services</t>
  </si>
  <si>
    <t>Meter/Regulator Maintenance</t>
  </si>
  <si>
    <t>Maintenance of Other</t>
  </si>
  <si>
    <t>Routine Meter Reading</t>
  </si>
  <si>
    <t>Customer Collection</t>
  </si>
  <si>
    <t>Administration &amp; General</t>
  </si>
  <si>
    <t>Maintenance of General Plant</t>
  </si>
  <si>
    <t>Note 3</t>
  </si>
  <si>
    <t>Total Restate 2021 Union Payroll</t>
  </si>
  <si>
    <t>Income Tax Expense</t>
  </si>
  <si>
    <t>Total Operating Expenses</t>
  </si>
  <si>
    <t>Impact on Net Operating Income</t>
  </si>
  <si>
    <t>Restate 2020 Revenue</t>
  </si>
  <si>
    <t>Restate 2021 Union Payroll</t>
  </si>
  <si>
    <t>MEG-11</t>
  </si>
  <si>
    <t>Remove 50% of BOD Cost</t>
  </si>
  <si>
    <t>MEG-12</t>
  </si>
  <si>
    <t>Remove Executive Incentives</t>
  </si>
  <si>
    <t>for 2021 AMA</t>
  </si>
  <si>
    <t>Update</t>
  </si>
  <si>
    <t>Update Rate Base for 2021 AMA</t>
  </si>
  <si>
    <t>Update Operating Income to 2021 Reported Amounts</t>
  </si>
  <si>
    <t>Public Counsel Unit 2021 Payroll Expense</t>
  </si>
  <si>
    <t>Public Counsel Unit 2021 Executive Incentive Expense</t>
  </si>
  <si>
    <t>Public Counsel Unit 2021 Board of Directors Cost</t>
  </si>
  <si>
    <t>Disallowed Percentage</t>
  </si>
  <si>
    <t>Net Expense Adjustment</t>
  </si>
  <si>
    <t>Net Operating Income Adjustment</t>
  </si>
  <si>
    <t>Total Executive Incentives</t>
  </si>
  <si>
    <t>Executive Incentive Adjustment</t>
  </si>
  <si>
    <t>2021 AMA Results</t>
  </si>
  <si>
    <t>Remove 2021 Executive Incentives</t>
  </si>
  <si>
    <t>Remove 50% of BOD Expense</t>
  </si>
  <si>
    <t>Twelve Months Ended December 31, 2020, Docket No. 210755</t>
  </si>
  <si>
    <t>Public Counsel Unit Restate 2021 Customer Growth Adjustment</t>
  </si>
  <si>
    <t>EOP</t>
  </si>
  <si>
    <t>PC-49 - EOP</t>
  </si>
  <si>
    <t>Amount</t>
  </si>
  <si>
    <t>Basic Service Charge</t>
  </si>
  <si>
    <t>Total Sales Revenue Adjustment</t>
  </si>
  <si>
    <t>Total Transmission Revenue Adjustment</t>
  </si>
  <si>
    <t>From PC-49, Attachment 1.</t>
  </si>
  <si>
    <t>AMA</t>
  </si>
  <si>
    <t>Restate 2021 Rate Base to End of Period</t>
  </si>
  <si>
    <t>MEG-13</t>
  </si>
  <si>
    <t>Adjust Revenue for Customer Growth</t>
  </si>
  <si>
    <t>Adjust Rate Base to EOP 2021</t>
  </si>
  <si>
    <t>Adjust Depreciation Expense</t>
  </si>
  <si>
    <t>December 2021</t>
  </si>
  <si>
    <t>Deprec.</t>
  </si>
  <si>
    <t>Depreciation</t>
  </si>
  <si>
    <t>Plant</t>
  </si>
  <si>
    <t>Expense</t>
  </si>
  <si>
    <t>WA</t>
  </si>
  <si>
    <t>Washington</t>
  </si>
  <si>
    <t>CNG-302-G-Franchises-00048</t>
  </si>
  <si>
    <t>00048</t>
  </si>
  <si>
    <t>CNG-303-G-Intang-00048-20 YR-2017</t>
  </si>
  <si>
    <t>CNG-303-G-Intang-00048-40 YR-2014</t>
  </si>
  <si>
    <t>CNG-303-G-Intang-00048-40 YR-2015</t>
  </si>
  <si>
    <t>CNG-303-G-Intang-00048-40 YR-2017</t>
  </si>
  <si>
    <t>CNG-303-G-Intang-00048-40 YR-2018</t>
  </si>
  <si>
    <t>CNG-303-G-Intang-00048-40 YR-2020</t>
  </si>
  <si>
    <t>CNG-303-G-Intang-00048-40 YR-2021</t>
  </si>
  <si>
    <t>CNG-365-G-Land and Land Right-00048</t>
  </si>
  <si>
    <t>CNG-365-G-Rights-of-Way-00048</t>
  </si>
  <si>
    <t>CNG-367-G-Mains-00048</t>
  </si>
  <si>
    <t>CNG-367-G-Mains-00048 (Adjustment)</t>
  </si>
  <si>
    <t>CNG-369-G-Measuring/Regulatin-00048</t>
  </si>
  <si>
    <t>CNG-374-G-Land Right-00048</t>
  </si>
  <si>
    <t>CNG-374-G-Land-00048</t>
  </si>
  <si>
    <t>CNG-375-G-Structures &amp; Improv-00048</t>
  </si>
  <si>
    <t>CNG-376-G-Mains-High Pressure-00048</t>
  </si>
  <si>
    <t>CNG-376-G-Mains-Plastic-00048</t>
  </si>
  <si>
    <t>CNG-376-G-Mains-Steel-00048</t>
  </si>
  <si>
    <t>CNG-377-G-Compressor Station-00048</t>
  </si>
  <si>
    <t>CNG-378-G-Measure/Regulation -00048</t>
  </si>
  <si>
    <t>CNG-379-G-Meas/Reg City -00048</t>
  </si>
  <si>
    <t>CNG-380-G-Services-Plastc-00048</t>
  </si>
  <si>
    <t>CNG-380-G-Services-Steel-00048</t>
  </si>
  <si>
    <t>CNG-381-G-Meters-00048</t>
  </si>
  <si>
    <t>CNG-382-G-Meter Set Installat-00048</t>
  </si>
  <si>
    <t>CNG-385-G-Industrial Meas. &amp; -00048</t>
  </si>
  <si>
    <t>CNG-389-G-Land &amp; Land Rights-00048</t>
  </si>
  <si>
    <t>CNG-390-G-Leasehold Improveme-00048</t>
  </si>
  <si>
    <t>CNG-390-G-Structures &amp; Improv-00048</t>
  </si>
  <si>
    <t>CNG-391-G-Office Equip-00048</t>
  </si>
  <si>
    <t>CNG-391-G-Office Furniture &amp; -00048</t>
  </si>
  <si>
    <t>CNG-392-G-Trailers-00048</t>
  </si>
  <si>
    <t>CNG-392-G-Transportation Equi-00048</t>
  </si>
  <si>
    <t>CNG-393-G-Stores Equip-00048</t>
  </si>
  <si>
    <t>CNG-394-G-Tools,Shop,Garage E-00048</t>
  </si>
  <si>
    <t>CNG-394-G-Vehicle CNG Equip-00048</t>
  </si>
  <si>
    <t>CNG-395-G-Laboratory Equip-00048</t>
  </si>
  <si>
    <t>CNG-396-G-Power Operated Equi-00048</t>
  </si>
  <si>
    <t>CNG-396-G-Trailers-Work Equip-00048</t>
  </si>
  <si>
    <t>CNG-397-G-Radio Comm Equip-Fi-00048</t>
  </si>
  <si>
    <t>CNG-397-G-Radio Comm Equip-Mo-00048</t>
  </si>
  <si>
    <t>CNG-397-G-Supervisory &amp; Telem-00048</t>
  </si>
  <si>
    <t>CNG-397-G-Telephone &amp; Telex E-00048</t>
  </si>
  <si>
    <t>CNG-398-G-Miscellaneous Equip-00048</t>
  </si>
  <si>
    <t>00048 Total</t>
  </si>
  <si>
    <t>AS</t>
  </si>
  <si>
    <t>Allocated States</t>
  </si>
  <si>
    <t>CNG-301-G-Organization-00100</t>
  </si>
  <si>
    <t>00100</t>
  </si>
  <si>
    <t>CNG-303-G-Intang-00100-1 YR-2020</t>
  </si>
  <si>
    <t>12/31/21 undepreciated balance</t>
  </si>
  <si>
    <t>CNG-303-G-Intang-00100-10 YR-2015</t>
  </si>
  <si>
    <t>CNG-303-G-Intang-00100-10 YR-2016</t>
  </si>
  <si>
    <t>CNG-303-G-Intang-00100-10 YR-2017</t>
  </si>
  <si>
    <t>CNG-303-G-Intang-00100-10 YR-2019</t>
  </si>
  <si>
    <t>CNG-303-G-Intang-00100-10 YR-2021</t>
  </si>
  <si>
    <t>CNG-303-G-Intang-00100-12 YR-2019</t>
  </si>
  <si>
    <t>CNG-303-G-Intang-00100-12 YR-2020</t>
  </si>
  <si>
    <t>CNG-303-G-Intang-00100-12 YR-2021</t>
  </si>
  <si>
    <t>CNG-303-G-Intang-00100-13 YR-2012</t>
  </si>
  <si>
    <t>CNG-303-G-Intang-00100-14 YR-2010</t>
  </si>
  <si>
    <t>CNG-303-G-Intang-00100-14 YR-2011</t>
  </si>
  <si>
    <t>CNG-303-G-Intang-00100-15 YR-2010</t>
  </si>
  <si>
    <t>CNG-303-G-Intang-00100-15 YR-2012</t>
  </si>
  <si>
    <t>CNG-303-G-Intang-00100-15 YR-2017</t>
  </si>
  <si>
    <t>CNG-303-G-Intang-00100-15 YR-2018</t>
  </si>
  <si>
    <t>CNG-303-G-Intang-00100-3 YR-2010</t>
  </si>
  <si>
    <t>CNG-303-G-Intang-00100-3 YR-2017</t>
  </si>
  <si>
    <t>CNG-303-G-Intang-00100-3 YR-2021</t>
  </si>
  <si>
    <t>CNG-303-G-Intang-00100-4 YR-2021</t>
  </si>
  <si>
    <t>CNG-303-G-Intang-00100-5 YR-2011</t>
  </si>
  <si>
    <t>CNG-303-G-Intang-00100-5 YR-2016</t>
  </si>
  <si>
    <t>CNG-303-G-Intang-00100-5 YR-2017</t>
  </si>
  <si>
    <t>CNG-303-G-Intang-00100-5 YR-2018</t>
  </si>
  <si>
    <t>CNG-303-G-Intang-00100-5 YR-2019</t>
  </si>
  <si>
    <t>CNG-303-G-Intang-00100-5 YR-2020</t>
  </si>
  <si>
    <t>CNG-303-G-Intang-00100-5 YR-2021</t>
  </si>
  <si>
    <t>CNG-303-G-Intang-00100-7 YR-2012</t>
  </si>
  <si>
    <t>CNG-303-G-Intang-00100-7 YR-2013</t>
  </si>
  <si>
    <t>CNG-303-G-Intang-00100-7 YR-2014</t>
  </si>
  <si>
    <t>CNG-303-G-Intang-00100-7 YR-2015</t>
  </si>
  <si>
    <t>CNG-303-G-Intang-00100-7 YR-2016</t>
  </si>
  <si>
    <t>CNG-303-G-Intang-00100-7 YR-2017</t>
  </si>
  <si>
    <t>CNG-303-G-Intang-00100-7 YR-2018</t>
  </si>
  <si>
    <t>CNG-303-G-Intang-00100-7 YR-2019</t>
  </si>
  <si>
    <t>CNG-303-G-Intang-00100-7 YR-2020</t>
  </si>
  <si>
    <t>CNG-303-G-Intang-00100-7 YR-2021</t>
  </si>
  <si>
    <t>CNG-303-G-Intang-00100-8 YR-2019</t>
  </si>
  <si>
    <t>CNG-303-G-Intang-00100-Fully Amort</t>
  </si>
  <si>
    <t>CNG-303-G-Intang-00100-PowerPlan</t>
  </si>
  <si>
    <t>CNG-374-G-Land-00100</t>
  </si>
  <si>
    <t>CNG-375-G-Structures &amp; Improv-00100</t>
  </si>
  <si>
    <t>CNG-389-G-Land &amp; Land Rights-00100</t>
  </si>
  <si>
    <t>CNG-390-G-Structures &amp; Improv-00100</t>
  </si>
  <si>
    <t>CNG-391-G-Comp Equip-Server &amp;-00100</t>
  </si>
  <si>
    <t>CNG-391-G-Office Equip-00100</t>
  </si>
  <si>
    <t>CNG-391-G-Office Furniture &amp; -00100</t>
  </si>
  <si>
    <t>CNG-391-G-Software-00100</t>
  </si>
  <si>
    <t>CNG-392-G-Trailers-00100</t>
  </si>
  <si>
    <t>CNG-392-G-Transportation Equi-00100</t>
  </si>
  <si>
    <t>CNG-393-G-Stores Equip-00100</t>
  </si>
  <si>
    <t>CNG-394-G-Tools,Shop,Garage E-00100</t>
  </si>
  <si>
    <t>CNG-395-G-Laboratory Equip-00100</t>
  </si>
  <si>
    <t>CNG-396-G-Power Operated Equi-00100</t>
  </si>
  <si>
    <t>CNG-396-G-Trailers-Work Equip-00100</t>
  </si>
  <si>
    <t>CNG-397-G-Radio Comm Equip-Fi-00100</t>
  </si>
  <si>
    <t>CNG-397-G-Radio Comm Equip-Mo-00100</t>
  </si>
  <si>
    <t>CNG-397-G-Supervisory &amp; Telem-00100</t>
  </si>
  <si>
    <t>CNG-397-G-Telephone &amp; Telex E-00100</t>
  </si>
  <si>
    <t>CNG-398-G-Miscellaneous Equip-00100</t>
  </si>
  <si>
    <t>CNG-381-G-ERTS-00101</t>
  </si>
  <si>
    <t>00101</t>
  </si>
  <si>
    <t>CNG-381-G-Meters-00101</t>
  </si>
  <si>
    <t>CNG-382-G-Meter Set Installat-00101</t>
  </si>
  <si>
    <t>CNG-383-G-Service Regulators-00101</t>
  </si>
  <si>
    <t>00100 - 00101 Total</t>
  </si>
  <si>
    <t>No Jurisdiction Allocation</t>
  </si>
  <si>
    <t>CNG-372-G-Aro Trans Plant</t>
  </si>
  <si>
    <t>CNG-372-G-ARO-Trans Manual Adj</t>
  </si>
  <si>
    <t>CNG-388-G-Aro Distrib Plant-OR</t>
  </si>
  <si>
    <t>CNG-388-G-Aro Distrib Plant-WA</t>
  </si>
  <si>
    <t>CNG-388-G-ARO-Dist Manual Adj</t>
  </si>
  <si>
    <t>Grand Total</t>
  </si>
  <si>
    <t>WA 00048 Total (from above)</t>
  </si>
  <si>
    <t>100 AS accounts (allocation on 3 Factor Allocator)</t>
  </si>
  <si>
    <t>101 AS accounts (allocation on Customer Allocator)</t>
  </si>
  <si>
    <t>ARO Distribution Plant-WA</t>
  </si>
  <si>
    <t>Total WA Plant</t>
  </si>
  <si>
    <t>2021 Depreciation Expense</t>
  </si>
  <si>
    <t>End of Period Depreciation Adjustment</t>
  </si>
  <si>
    <t>Exhibit MEG-14</t>
  </si>
  <si>
    <t>Adjustment to Net Operating Income</t>
  </si>
  <si>
    <t>Exhibit MEG-13</t>
  </si>
  <si>
    <t>Exhibit MEG-12</t>
  </si>
  <si>
    <t>Public Counsel Unit Plant and Operating Income Update</t>
  </si>
  <si>
    <t>Employer's FICA at 7.65%</t>
  </si>
  <si>
    <t>Total Wage Increase</t>
  </si>
  <si>
    <t>Total Expense Adjustment</t>
  </si>
  <si>
    <t>Payroll Tax Expense</t>
  </si>
  <si>
    <t>CRM</t>
  </si>
  <si>
    <t>Adjusted CRM Sales Revenue</t>
  </si>
  <si>
    <t>Proposed Transmission CRM Revenue</t>
  </si>
  <si>
    <t>CRM adjustments</t>
  </si>
  <si>
    <t>Transmission</t>
  </si>
  <si>
    <t>Restate 2021 CRM Revenue</t>
  </si>
  <si>
    <t>Customer Accounts Expenses</t>
  </si>
  <si>
    <t>(PC-49)</t>
  </si>
  <si>
    <t>CRM 2021 AMA Adjustments</t>
  </si>
  <si>
    <t>CP EOP</t>
  </si>
  <si>
    <t>CP 2021 Update</t>
  </si>
  <si>
    <t>Adjust 2021 Revenue for Customer Growth</t>
  </si>
  <si>
    <t>Adjust 2021 CRM Revenue</t>
  </si>
  <si>
    <t>Total 2021 EOP Revenue Adjustments</t>
  </si>
  <si>
    <t>Weather Adjustment</t>
  </si>
  <si>
    <t>Total Restating Adjustments</t>
  </si>
  <si>
    <t>PC-49 and</t>
  </si>
  <si>
    <t>PC-52</t>
  </si>
  <si>
    <r>
      <t xml:space="preserve">D&amp;O Expense </t>
    </r>
    <r>
      <rPr>
        <vertAlign val="superscript"/>
        <sz val="12"/>
        <color theme="1"/>
        <rFont val="Times New Roman"/>
        <family val="1"/>
      </rPr>
      <t>1</t>
    </r>
  </si>
  <si>
    <r>
      <t xml:space="preserve">Directions and Officers Insurance </t>
    </r>
    <r>
      <rPr>
        <vertAlign val="superscript"/>
        <sz val="12"/>
        <color theme="1"/>
        <rFont val="Times New Roman"/>
        <family val="1"/>
      </rPr>
      <t>2</t>
    </r>
  </si>
  <si>
    <r>
      <t>Rate Base</t>
    </r>
    <r>
      <rPr>
        <vertAlign val="superscript"/>
        <sz val="12"/>
        <color theme="1"/>
        <rFont val="Times New Roman"/>
        <family val="1"/>
      </rPr>
      <t>1</t>
    </r>
  </si>
  <si>
    <t>2/</t>
  </si>
  <si>
    <t>CNGC and Staff Proposed Settlement</t>
  </si>
  <si>
    <t>January</t>
  </si>
  <si>
    <t>February</t>
  </si>
  <si>
    <t>March</t>
  </si>
  <si>
    <t xml:space="preserve"> $                       -  </t>
  </si>
  <si>
    <t>Allocated Annual Executive Incentives</t>
  </si>
  <si>
    <t>Allocated Stock Based Compensation</t>
  </si>
  <si>
    <t>R-10</t>
  </si>
  <si>
    <t>Reclass Rate Base (AWEC DR 5)</t>
  </si>
  <si>
    <r>
      <t>Adjusted</t>
    </r>
    <r>
      <rPr>
        <vertAlign val="superscript"/>
        <sz val="12"/>
        <color theme="1"/>
        <rFont val="Times New Roman"/>
        <family val="1"/>
      </rPr>
      <t>1</t>
    </r>
  </si>
  <si>
    <t>Note 4</t>
  </si>
  <si>
    <t>3/</t>
  </si>
  <si>
    <t>4/</t>
  </si>
  <si>
    <t>Note 5</t>
  </si>
  <si>
    <t>Exhibit MEG-5</t>
  </si>
  <si>
    <t>WP MEG-7.1</t>
  </si>
  <si>
    <t>Based on the March 23, 2022 Joint Settlement filing.</t>
  </si>
  <si>
    <t>Adjustment to recognize the 2021AMA Revenue requirement</t>
  </si>
  <si>
    <t>Adjustment to Normalize Revenue Based on Authorized Rates</t>
  </si>
  <si>
    <t>Adjustment to Recognized the 2021 Union Pay Increase</t>
  </si>
  <si>
    <t>Adjustment to Remove 2021 Executive Incentives</t>
  </si>
  <si>
    <t>(8)</t>
  </si>
  <si>
    <t>Adjustment to Remove 50% of 2021 Board of Directors Cost.</t>
  </si>
  <si>
    <t>(9)</t>
  </si>
  <si>
    <t>(10)</t>
  </si>
  <si>
    <t>Adjust Rate Base to 2021 End of Period.</t>
  </si>
  <si>
    <t>Adjust Depreciation Expense to 2021 End of Period.</t>
  </si>
  <si>
    <r>
      <t xml:space="preserve">Cascade Natural Gas Company (Note </t>
    </r>
    <r>
      <rPr>
        <vertAlign val="superscript"/>
        <sz val="12"/>
        <color theme="1"/>
        <rFont val="Times New Roman"/>
        <family val="1"/>
      </rPr>
      <t>1)</t>
    </r>
  </si>
  <si>
    <t xml:space="preserve">     2021 EOP Total</t>
  </si>
  <si>
    <t>PC 2021 End of Period Amounts</t>
  </si>
  <si>
    <t>5/</t>
  </si>
  <si>
    <t>WP MEG-6.1</t>
  </si>
  <si>
    <t>WP MEG-10.1</t>
  </si>
  <si>
    <t>WP MEG-11.1</t>
  </si>
  <si>
    <t>Total (Line 1 + Line 2)</t>
  </si>
  <si>
    <t>Adjust Revenue to Recognize 2021 Customer Growth.</t>
  </si>
  <si>
    <t>Remove Supplemental Schedules</t>
  </si>
  <si>
    <t>Operating Income</t>
  </si>
  <si>
    <t>Total Transportation Pricing Restating Adjustment</t>
  </si>
  <si>
    <r>
      <t>Increase</t>
    </r>
    <r>
      <rPr>
        <b/>
        <vertAlign val="superscript"/>
        <sz val="11"/>
        <color theme="1"/>
        <rFont val="Times New Roman"/>
        <family val="1"/>
      </rPr>
      <t>3</t>
    </r>
  </si>
  <si>
    <t>Public Counsel Unit Restate 2021 End of Period Rate Base Adjustment</t>
  </si>
  <si>
    <t>Public Counsel Unit Restate 2021 End of Period Depreciation Expense Adjustment</t>
  </si>
  <si>
    <t>Restate 2021 Depreciation Expense to End of Period</t>
  </si>
  <si>
    <t>Docket No. UG-210755</t>
  </si>
  <si>
    <t>April 25, 2022</t>
  </si>
  <si>
    <t>Ref.</t>
  </si>
  <si>
    <t>WP MEG-10.1, ln 51</t>
  </si>
  <si>
    <r>
      <t>2021 Provision for Rate Refund</t>
    </r>
    <r>
      <rPr>
        <vertAlign val="superscript"/>
        <sz val="12"/>
        <color theme="1"/>
        <rFont val="Times New Roman"/>
        <family val="1"/>
      </rPr>
      <t>3</t>
    </r>
  </si>
  <si>
    <t>WP MEG-6.1, ln 34</t>
  </si>
  <si>
    <t>WP MEG-6.1, ln 31</t>
  </si>
  <si>
    <t>WP MEG-5.1, ln 7</t>
  </si>
  <si>
    <t>WP MEG-5.1, ln 22</t>
  </si>
  <si>
    <t>Note:</t>
  </si>
  <si>
    <t>WP MEG-7.1, ln 22</t>
  </si>
  <si>
    <t>WP MEG-7.1, ln 23</t>
  </si>
  <si>
    <t>PC-057</t>
  </si>
  <si>
    <t>WP MEG-10.1, lns 28,40</t>
  </si>
  <si>
    <t>WP MEG-10.1, ln 46</t>
  </si>
  <si>
    <t>WP MEG-11.1, ln 6</t>
  </si>
  <si>
    <t>WP MEG-12.1, ln 129</t>
  </si>
  <si>
    <t>Line 1 x 21%</t>
  </si>
  <si>
    <t>MEG-4</t>
  </si>
  <si>
    <t>Note 1: See MEG-4 for 2021 end of period rate base.</t>
  </si>
  <si>
    <t>Note: 2: CNGC did not update plant and operating income to 2021 levels and made no synchronized interest adjustment for 2021.</t>
  </si>
  <si>
    <t>WORKPAPER - Public Counsel Unit Plant in Service</t>
  </si>
  <si>
    <t>WORKPAPER - Public Counsel Unit 2021 Revenue Restating Adjustment</t>
  </si>
  <si>
    <t>WORKPAPER - Public Counsel Unit 2021 Union Payroll Restating Adjustment</t>
  </si>
  <si>
    <t>WORKPAPER - Public Counsel Unit 2021 Customer Annualization Adjustment</t>
  </si>
  <si>
    <t>WORKPAPER - Public Counsel Unit 2021 EOP Rate Base Adjustment</t>
  </si>
  <si>
    <t>WORKPAPER - Public Counsel Unit 2021 Depreciation Annualization Adjustment</t>
  </si>
  <si>
    <t>Note 2: Based on an analysis of CNGC Response to Public Counsel Data Request No. 19, Attachment A (WP MEG-7.3).</t>
  </si>
  <si>
    <t>Note 1: See CNGC Response to Public Counsel Data Request No. 53 (WP MEG-9.1).</t>
  </si>
  <si>
    <t>Revenue conversion factor for Exh MCG-4 - Conversion Factor.</t>
  </si>
  <si>
    <t>Note 1: December 2021 plant balances from CNGC Response to AWEC Data Request No. 65, Attachment A.</t>
  </si>
  <si>
    <t>Note 1:  See CNGC Response to AWEC Data Request No. 65, Attachment A.</t>
  </si>
  <si>
    <t>Note 3: From CNGC Response to AWEC Data Request No. 67, with Confidential Attachment A.</t>
  </si>
  <si>
    <t>Plant and Accumulated Depreciation from CNGC Response to AWEC Data Request No. 65, Attachment A.</t>
  </si>
  <si>
    <t>Operating Income from CNGC Response to AWEC Data Request No. 67, with Confidential Attachment A.</t>
  </si>
  <si>
    <t>From 210755-JOINT Exh-JT-2-3-22-22.xlsx, tab Gresham, Exh MCG-2 ROO summary (WP MEG-5.2).</t>
  </si>
  <si>
    <t>Customer Advances for Construction and Accumulated Deferred Income Taxes from CNGC Response to Public Counsel Data Request PC-58, Attachment A.</t>
  </si>
  <si>
    <t>Working Capital from CNGC Response to Public Counsel Data Request No. 59, Attachment A (WP MEG-5.3).</t>
  </si>
  <si>
    <t>Note 1: From CNGC Response to Public Counsel Data Request No. 57 (WP MEG-8.1)</t>
  </si>
  <si>
    <t>Note 2: See CNGC Response to Public Counsel Data Request No. 58, Attahcment A.</t>
  </si>
  <si>
    <t>Note 1:  January through March bargaining payroll from CNGC Response to Public Counsel Data Request No. 64, Attachment A (WP MEG-7.2).</t>
  </si>
  <si>
    <t>Note 1: See CNGC's Response to Public Counsel's Data Request No. 49, Attachment A (WP MEG-6.2) .</t>
  </si>
  <si>
    <t>Note 2: See CNGC's Response to Public Counsel's Data Request No. 52, Attachment A (WP MEG-6.3).</t>
  </si>
  <si>
    <t>WP MEG-5.1C</t>
  </si>
  <si>
    <t>Note 2: See CNGC Response to Public Counsel Data Request No. 54 (WP MEG-9.2C).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</si>
</sst>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_(&quot;$&quot;* #,##0.00000_);_(&quot;$&quot;* \(#,##0.00000\);_(&quot;$&quot;* &quot;-&quot;??_);_(@_)"/>
    <numFmt numFmtId="168" formatCode="0.000000"/>
    <numFmt numFmtId="169" formatCode="&quot;$&quot;#,##0.000000"/>
    <numFmt numFmtId="170" formatCode="&quot;$&quot;#,##0.00000"/>
    <numFmt numFmtId="171" formatCode="&quot;$&quot;#,##0.00"/>
  </numFmts>
  <fonts count="2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vertAlign val="superscript"/>
      <sz val="12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2"/>
      <color theme="1"/>
      <name val="Times New Roman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2"/>
    </font>
    <font>
      <b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0" xfId="2" applyNumberFormat="1" applyFont="1"/>
    <xf numFmtId="166" fontId="4" fillId="0" borderId="0" xfId="3" applyNumberFormat="1" applyFont="1"/>
    <xf numFmtId="10" fontId="4" fillId="0" borderId="0" xfId="0" applyNumberFormat="1" applyFont="1"/>
    <xf numFmtId="166" fontId="4" fillId="0" borderId="0" xfId="0" applyNumberFormat="1" applyFont="1"/>
    <xf numFmtId="10" fontId="4" fillId="0" borderId="1" xfId="0" applyNumberFormat="1" applyFont="1" applyBorder="1"/>
    <xf numFmtId="166" fontId="4" fillId="0" borderId="1" xfId="3" applyNumberFormat="1" applyFont="1" applyBorder="1"/>
    <xf numFmtId="166" fontId="4" fillId="0" borderId="2" xfId="0" applyNumberFormat="1" applyFont="1" applyBorder="1"/>
    <xf numFmtId="166" fontId="4" fillId="0" borderId="3" xfId="0" applyNumberFormat="1" applyFon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5" fontId="0" fillId="0" borderId="3" xfId="0" applyNumberFormat="1" applyBorder="1"/>
    <xf numFmtId="165" fontId="0" fillId="0" borderId="3" xfId="2" applyNumberFormat="1" applyFont="1" applyBorder="1"/>
    <xf numFmtId="164" fontId="0" fillId="0" borderId="0" xfId="1" applyNumberFormat="1" applyFont="1" applyBorder="1"/>
    <xf numFmtId="0" fontId="0" fillId="0" borderId="0" xfId="0" applyBorder="1"/>
    <xf numFmtId="164" fontId="0" fillId="0" borderId="0" xfId="0" applyNumberFormat="1"/>
    <xf numFmtId="43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6" fillId="0" borderId="0" xfId="0" applyFont="1"/>
    <xf numFmtId="10" fontId="0" fillId="0" borderId="0" xfId="0" applyNumberFormat="1"/>
    <xf numFmtId="165" fontId="0" fillId="0" borderId="1" xfId="2" applyNumberFormat="1" applyFont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165" fontId="0" fillId="0" borderId="0" xfId="2" applyNumberFormat="1" applyFont="1" applyBorder="1"/>
    <xf numFmtId="49" fontId="0" fillId="0" borderId="0" xfId="0" applyNumberFormat="1"/>
    <xf numFmtId="0" fontId="0" fillId="0" borderId="0" xfId="0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41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/>
    <xf numFmtId="37" fontId="0" fillId="0" borderId="0" xfId="0" applyNumberFormat="1"/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quotePrefix="1" applyNumberFormat="1"/>
    <xf numFmtId="37" fontId="0" fillId="0" borderId="1" xfId="0" applyNumberFormat="1" applyBorder="1"/>
    <xf numFmtId="41" fontId="0" fillId="0" borderId="1" xfId="0" applyNumberFormat="1" applyBorder="1"/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0" xfId="0" applyFont="1"/>
    <xf numFmtId="41" fontId="9" fillId="0" borderId="0" xfId="0" applyNumberFormat="1" applyFont="1"/>
    <xf numFmtId="0" fontId="10" fillId="0" borderId="0" xfId="0" applyFont="1"/>
    <xf numFmtId="10" fontId="10" fillId="0" borderId="0" xfId="0" quotePrefix="1" applyNumberFormat="1" applyFont="1" applyAlignment="1">
      <alignment horizontal="right"/>
    </xf>
    <xf numFmtId="0" fontId="11" fillId="0" borderId="0" xfId="0" applyFont="1"/>
    <xf numFmtId="41" fontId="11" fillId="0" borderId="0" xfId="0" applyNumberFormat="1" applyFont="1"/>
    <xf numFmtId="41" fontId="10" fillId="0" borderId="0" xfId="0" applyNumberFormat="1" applyFont="1"/>
    <xf numFmtId="49" fontId="10" fillId="0" borderId="0" xfId="0" applyNumberFormat="1" applyFont="1"/>
    <xf numFmtId="0" fontId="10" fillId="0" borderId="0" xfId="0" quotePrefix="1" applyFont="1" applyAlignment="1">
      <alignment horizontal="right"/>
    </xf>
    <xf numFmtId="0" fontId="0" fillId="0" borderId="1" xfId="0" applyFill="1" applyBorder="1" applyAlignment="1">
      <alignment horizontal="center"/>
    </xf>
    <xf numFmtId="166" fontId="0" fillId="0" borderId="1" xfId="0" applyNumberFormat="1" applyBorder="1"/>
    <xf numFmtId="9" fontId="0" fillId="0" borderId="1" xfId="0" applyNumberFormat="1" applyBorder="1"/>
    <xf numFmtId="165" fontId="0" fillId="0" borderId="5" xfId="0" applyNumberFormat="1" applyBorder="1"/>
    <xf numFmtId="37" fontId="4" fillId="0" borderId="0" xfId="0" applyNumberFormat="1" applyFont="1"/>
    <xf numFmtId="165" fontId="0" fillId="0" borderId="6" xfId="2" applyNumberFormat="1" applyFont="1" applyBorder="1"/>
    <xf numFmtId="166" fontId="0" fillId="0" borderId="0" xfId="0" applyNumberFormat="1" applyBorder="1"/>
    <xf numFmtId="9" fontId="0" fillId="0" borderId="0" xfId="0" applyNumberFormat="1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65" fontId="0" fillId="0" borderId="0" xfId="0" applyNumberFormat="1" applyBorder="1"/>
    <xf numFmtId="0" fontId="8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167" fontId="0" fillId="0" borderId="0" xfId="2" applyNumberFormat="1" applyFont="1"/>
    <xf numFmtId="44" fontId="0" fillId="0" borderId="0" xfId="0" applyNumberFormat="1"/>
    <xf numFmtId="44" fontId="0" fillId="0" borderId="0" xfId="2" applyFont="1"/>
    <xf numFmtId="164" fontId="15" fillId="0" borderId="0" xfId="1" applyNumberFormat="1" applyFont="1" applyFill="1" applyBorder="1" applyAlignment="1">
      <alignment horizontal="right"/>
    </xf>
    <xf numFmtId="44" fontId="12" fillId="0" borderId="3" xfId="0" applyNumberFormat="1" applyFont="1" applyBorder="1"/>
    <xf numFmtId="43" fontId="0" fillId="0" borderId="3" xfId="0" applyNumberFormat="1" applyBorder="1"/>
    <xf numFmtId="41" fontId="4" fillId="0" borderId="0" xfId="0" applyNumberFormat="1" applyFont="1"/>
    <xf numFmtId="0" fontId="0" fillId="0" borderId="0" xfId="0" applyAlignment="1">
      <alignment horizontal="center"/>
    </xf>
    <xf numFmtId="165" fontId="0" fillId="0" borderId="0" xfId="2" applyNumberFormat="1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164" fontId="0" fillId="0" borderId="1" xfId="1" applyNumberFormat="1" applyFont="1" applyFill="1" applyBorder="1"/>
    <xf numFmtId="164" fontId="4" fillId="0" borderId="0" xfId="1" applyNumberFormat="1" applyFont="1"/>
    <xf numFmtId="164" fontId="4" fillId="0" borderId="1" xfId="1" applyNumberFormat="1" applyFont="1" applyBorder="1"/>
    <xf numFmtId="0" fontId="0" fillId="0" borderId="0" xfId="0" applyFill="1" applyBorder="1" applyAlignment="1">
      <alignment horizontal="center"/>
    </xf>
    <xf numFmtId="37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4" fillId="0" borderId="0" xfId="0" applyFont="1" applyAlignment="1"/>
    <xf numFmtId="15" fontId="0" fillId="0" borderId="0" xfId="0" quotePrefix="1" applyNumberFormat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0" xfId="0" quotePrefix="1" applyAlignment="1">
      <alignment horizontal="right"/>
    </xf>
    <xf numFmtId="165" fontId="18" fillId="0" borderId="0" xfId="2" applyNumberFormat="1" applyFont="1" applyAlignment="1">
      <alignment horizontal="center"/>
    </xf>
    <xf numFmtId="165" fontId="0" fillId="0" borderId="2" xfId="0" applyNumberFormat="1" applyBorder="1"/>
    <xf numFmtId="0" fontId="4" fillId="0" borderId="0" xfId="1" applyNumberFormat="1" applyFont="1" applyAlignment="1">
      <alignment horizontal="center"/>
    </xf>
    <xf numFmtId="164" fontId="0" fillId="0" borderId="0" xfId="2" applyNumberFormat="1" applyFont="1" applyBorder="1"/>
    <xf numFmtId="164" fontId="0" fillId="0" borderId="3" xfId="2" applyNumberFormat="1" applyFont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165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8" fillId="0" borderId="0" xfId="0" applyFont="1" applyAlignment="1">
      <alignment horizontal="right"/>
    </xf>
    <xf numFmtId="164" fontId="2" fillId="0" borderId="0" xfId="1" applyNumberFormat="1" applyFont="1"/>
    <xf numFmtId="44" fontId="2" fillId="0" borderId="0" xfId="2" applyFont="1"/>
    <xf numFmtId="165" fontId="2" fillId="0" borderId="0" xfId="0" applyNumberFormat="1" applyFont="1"/>
    <xf numFmtId="167" fontId="2" fillId="0" borderId="0" xfId="2" applyNumberFormat="1" applyFont="1"/>
    <xf numFmtId="165" fontId="2" fillId="0" borderId="1" xfId="0" applyNumberFormat="1" applyFont="1" applyBorder="1"/>
    <xf numFmtId="43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1" fillId="0" borderId="0" xfId="0" applyFont="1"/>
    <xf numFmtId="44" fontId="21" fillId="0" borderId="0" xfId="0" applyNumberFormat="1" applyFont="1"/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2" fillId="0" borderId="0" xfId="0" applyNumberFormat="1" applyFont="1" applyBorder="1"/>
    <xf numFmtId="44" fontId="12" fillId="0" borderId="0" xfId="0" applyNumberFormat="1" applyFont="1" applyBorder="1"/>
    <xf numFmtId="42" fontId="9" fillId="0" borderId="5" xfId="1" applyNumberFormat="1" applyFont="1" applyBorder="1"/>
    <xf numFmtId="42" fontId="0" fillId="0" borderId="0" xfId="1" applyNumberFormat="1" applyFont="1"/>
    <xf numFmtId="10" fontId="0" fillId="0" borderId="0" xfId="3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42" fontId="0" fillId="0" borderId="3" xfId="0" applyNumberFormat="1" applyBorder="1"/>
    <xf numFmtId="165" fontId="2" fillId="0" borderId="5" xfId="0" applyNumberFormat="1" applyFont="1" applyBorder="1"/>
    <xf numFmtId="169" fontId="2" fillId="0" borderId="0" xfId="0" applyNumberFormat="1" applyFont="1" applyAlignment="1">
      <alignment horizontal="center"/>
    </xf>
    <xf numFmtId="170" fontId="2" fillId="0" borderId="0" xfId="2" applyNumberFormat="1" applyFont="1" applyAlignment="1">
      <alignment horizontal="center"/>
    </xf>
    <xf numFmtId="171" fontId="2" fillId="0" borderId="0" xfId="2" applyNumberFormat="1" applyFont="1" applyAlignment="1">
      <alignment horizontal="center"/>
    </xf>
    <xf numFmtId="165" fontId="9" fillId="0" borderId="3" xfId="0" applyNumberFormat="1" applyFont="1" applyBorder="1"/>
    <xf numFmtId="165" fontId="9" fillId="0" borderId="0" xfId="0" applyNumberFormat="1" applyFont="1"/>
    <xf numFmtId="10" fontId="4" fillId="0" borderId="0" xfId="0" applyNumberFormat="1" applyFont="1" applyBorder="1"/>
    <xf numFmtId="0" fontId="0" fillId="2" borderId="0" xfId="0" applyFill="1"/>
    <xf numFmtId="165" fontId="0" fillId="2" borderId="1" xfId="0" applyNumberFormat="1" applyFill="1" applyBorder="1"/>
    <xf numFmtId="165" fontId="0" fillId="2" borderId="3" xfId="0" applyNumberFormat="1" applyFill="1" applyBorder="1"/>
    <xf numFmtId="0" fontId="0" fillId="3" borderId="0" xfId="0" applyFill="1"/>
    <xf numFmtId="164" fontId="0" fillId="3" borderId="0" xfId="1" applyNumberFormat="1" applyFont="1" applyFill="1" applyAlignment="1">
      <alignment horizontal="center"/>
    </xf>
    <xf numFmtId="164" fontId="0" fillId="3" borderId="0" xfId="1" applyNumberFormat="1" applyFont="1" applyFill="1"/>
    <xf numFmtId="164" fontId="0" fillId="3" borderId="0" xfId="1" applyNumberFormat="1" applyFont="1" applyFill="1" applyBorder="1"/>
    <xf numFmtId="164" fontId="0" fillId="3" borderId="1" xfId="1" applyNumberFormat="1" applyFont="1" applyFill="1" applyBorder="1"/>
    <xf numFmtId="165" fontId="0" fillId="3" borderId="0" xfId="0" applyNumberFormat="1" applyFill="1"/>
    <xf numFmtId="165" fontId="0" fillId="3" borderId="1" xfId="0" applyNumberFormat="1" applyFill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8">
    <cellStyle name="Comma" xfId="1" builtinId="3"/>
    <cellStyle name="Comma 49" xfId="6"/>
    <cellStyle name="Currency" xfId="2" builtinId="4"/>
    <cellStyle name="Normal" xfId="0" builtinId="0"/>
    <cellStyle name="Normal 91" xfId="5"/>
    <cellStyle name="Normal 92" xfId="4"/>
    <cellStyle name="Normal 93" xfId="7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F18" sqref="F18"/>
    </sheetView>
  </sheetViews>
  <sheetFormatPr defaultRowHeight="15.5" x14ac:dyDescent="0.35"/>
  <cols>
    <col min="1" max="1" width="4.33203125" bestFit="1" customWidth="1"/>
    <col min="2" max="2" width="33.75" bestFit="1" customWidth="1"/>
    <col min="3" max="3" width="16.08203125" customWidth="1"/>
    <col min="4" max="4" width="14.08203125" customWidth="1"/>
    <col min="5" max="5" width="1.75" customWidth="1"/>
    <col min="6" max="6" width="13.33203125" bestFit="1" customWidth="1"/>
    <col min="7" max="7" width="2.83203125" customWidth="1"/>
    <col min="8" max="8" width="12.25" customWidth="1"/>
    <col min="9" max="9" width="11.75" bestFit="1" customWidth="1"/>
    <col min="11" max="11" width="13.08203125" customWidth="1"/>
    <col min="12" max="12" width="13.58203125" bestFit="1" customWidth="1"/>
    <col min="13" max="13" width="13.08203125" customWidth="1"/>
    <col min="14" max="14" width="9.58203125" bestFit="1" customWidth="1"/>
  </cols>
  <sheetData>
    <row r="1" spans="1:12" x14ac:dyDescent="0.35">
      <c r="H1" s="29" t="s">
        <v>119</v>
      </c>
    </row>
    <row r="2" spans="1:12" x14ac:dyDescent="0.35">
      <c r="A2" s="4"/>
      <c r="B2" s="4"/>
      <c r="C2" s="4"/>
      <c r="D2" s="4"/>
      <c r="E2" s="4"/>
      <c r="F2" s="4"/>
      <c r="G2" s="4"/>
      <c r="H2" s="29" t="s">
        <v>120</v>
      </c>
    </row>
    <row r="3" spans="1:12" x14ac:dyDescent="0.35">
      <c r="A3" s="4"/>
      <c r="B3" s="4"/>
      <c r="C3" s="4"/>
      <c r="D3" s="4"/>
      <c r="E3" s="4"/>
      <c r="F3" s="4"/>
      <c r="G3" s="4"/>
      <c r="H3" s="111" t="s">
        <v>458</v>
      </c>
    </row>
    <row r="4" spans="1:12" x14ac:dyDescent="0.35">
      <c r="A4" s="4"/>
      <c r="B4" s="4"/>
      <c r="C4" s="4"/>
      <c r="D4" s="4"/>
      <c r="E4" s="4"/>
      <c r="F4" s="4"/>
      <c r="G4" s="4"/>
      <c r="H4" s="29" t="s">
        <v>106</v>
      </c>
    </row>
    <row r="5" spans="1:12" x14ac:dyDescent="0.35">
      <c r="A5" s="4"/>
      <c r="B5" s="4"/>
      <c r="C5" s="4"/>
      <c r="D5" s="4"/>
      <c r="E5" s="4"/>
      <c r="F5" s="4"/>
      <c r="G5" s="4"/>
      <c r="H5" s="29"/>
    </row>
    <row r="6" spans="1:12" x14ac:dyDescent="0.35">
      <c r="A6" s="168" t="s">
        <v>146</v>
      </c>
      <c r="B6" s="168"/>
      <c r="C6" s="168"/>
      <c r="D6" s="168"/>
      <c r="E6" s="168"/>
      <c r="F6" s="168"/>
      <c r="G6" s="168"/>
      <c r="H6" s="168"/>
    </row>
    <row r="7" spans="1:12" x14ac:dyDescent="0.35">
      <c r="A7" s="169" t="s">
        <v>6</v>
      </c>
      <c r="B7" s="169"/>
      <c r="C7" s="169"/>
      <c r="D7" s="169"/>
      <c r="E7" s="169"/>
      <c r="F7" s="169"/>
      <c r="G7" s="169"/>
      <c r="H7" s="169"/>
    </row>
    <row r="8" spans="1:12" x14ac:dyDescent="0.35">
      <c r="A8" s="169" t="s">
        <v>121</v>
      </c>
      <c r="B8" s="169"/>
      <c r="C8" s="169"/>
      <c r="D8" s="169"/>
      <c r="E8" s="169"/>
      <c r="F8" s="169"/>
      <c r="G8" s="169"/>
      <c r="H8" s="169"/>
    </row>
    <row r="9" spans="1:12" x14ac:dyDescent="0.35">
      <c r="A9" s="4"/>
      <c r="B9" s="4"/>
      <c r="C9" s="4"/>
      <c r="D9" s="4"/>
      <c r="E9" s="4"/>
      <c r="F9" s="4"/>
      <c r="G9" s="4"/>
    </row>
    <row r="10" spans="1:12" x14ac:dyDescent="0.35">
      <c r="A10" s="4"/>
      <c r="B10" s="4"/>
      <c r="C10" s="4"/>
      <c r="D10" s="4"/>
      <c r="E10" s="4"/>
      <c r="F10" s="4"/>
      <c r="G10" s="4"/>
    </row>
    <row r="11" spans="1:12" x14ac:dyDescent="0.35">
      <c r="A11" s="4"/>
      <c r="B11" s="4"/>
      <c r="C11" s="4"/>
      <c r="D11" s="4"/>
      <c r="E11" s="4"/>
      <c r="F11" s="4"/>
      <c r="G11" s="4"/>
    </row>
    <row r="12" spans="1:12" x14ac:dyDescent="0.35">
      <c r="A12" s="73" t="s">
        <v>7</v>
      </c>
      <c r="B12" s="73"/>
      <c r="C12" s="73"/>
      <c r="D12" s="73" t="s">
        <v>102</v>
      </c>
      <c r="E12" s="73"/>
      <c r="G12" s="73"/>
      <c r="H12" s="73" t="s">
        <v>9</v>
      </c>
    </row>
    <row r="13" spans="1:12" x14ac:dyDescent="0.35">
      <c r="A13" s="6" t="s">
        <v>10</v>
      </c>
      <c r="B13" s="6" t="s">
        <v>11</v>
      </c>
      <c r="C13" s="6" t="s">
        <v>37</v>
      </c>
      <c r="D13" s="6" t="s">
        <v>103</v>
      </c>
      <c r="F13" s="6" t="s">
        <v>2</v>
      </c>
      <c r="G13" s="6"/>
      <c r="H13" s="6" t="s">
        <v>12</v>
      </c>
    </row>
    <row r="14" spans="1:12" x14ac:dyDescent="0.35">
      <c r="A14" s="73"/>
      <c r="B14" s="4"/>
      <c r="C14" s="4"/>
      <c r="F14" s="4"/>
      <c r="G14" s="4"/>
    </row>
    <row r="15" spans="1:12" x14ac:dyDescent="0.35">
      <c r="A15" s="69">
        <v>1</v>
      </c>
      <c r="B15" t="s">
        <v>104</v>
      </c>
      <c r="C15" s="119" t="s">
        <v>475</v>
      </c>
      <c r="D15" s="7">
        <f>+'MEG-4 Results of Operations'!E41</f>
        <v>24506893</v>
      </c>
      <c r="F15" s="7">
        <f>+'MEG-4 Results of Operations'!G41</f>
        <v>470412306</v>
      </c>
      <c r="G15" s="4"/>
      <c r="H15" s="7">
        <f>+'MEG-4 Results of Operations'!I35</f>
        <v>10692992.462493677</v>
      </c>
      <c r="L15" s="7"/>
    </row>
    <row r="16" spans="1:12" x14ac:dyDescent="0.35">
      <c r="A16" s="50"/>
      <c r="D16" s="7"/>
      <c r="F16" s="7"/>
      <c r="G16" s="4"/>
      <c r="H16" s="7"/>
    </row>
    <row r="17" spans="1:13" x14ac:dyDescent="0.35">
      <c r="A17" s="69">
        <v>2</v>
      </c>
      <c r="B17" t="s">
        <v>226</v>
      </c>
      <c r="C17" s="119" t="s">
        <v>113</v>
      </c>
      <c r="D17" s="19">
        <f>+'MEG-4 Results of Operations'!O30</f>
        <v>4129425</v>
      </c>
      <c r="E17" s="20"/>
      <c r="F17" s="19">
        <f>+'MEG-4 Results of Operations'!Q30</f>
        <v>16106493</v>
      </c>
      <c r="G17" s="20"/>
      <c r="H17" s="100">
        <f>+'MEG-4 Results of Operations'!W30</f>
        <v>-3991582.9955242751</v>
      </c>
      <c r="L17" s="21"/>
    </row>
    <row r="18" spans="1:13" x14ac:dyDescent="0.35">
      <c r="A18" s="69">
        <v>3</v>
      </c>
      <c r="B18" t="s">
        <v>147</v>
      </c>
      <c r="C18" s="119" t="s">
        <v>114</v>
      </c>
      <c r="D18" s="2">
        <f>+'MEG-4 Results of Operations'!O31</f>
        <v>1604789.1622634286</v>
      </c>
      <c r="F18" s="2"/>
      <c r="H18" s="40">
        <f>+'MEG-4 Results of Operations'!W31</f>
        <v>-2125376.3840967212</v>
      </c>
      <c r="I18" s="40"/>
      <c r="J18" s="40"/>
      <c r="K18" s="40"/>
      <c r="L18" s="40"/>
      <c r="M18" s="40"/>
    </row>
    <row r="19" spans="1:13" x14ac:dyDescent="0.35">
      <c r="A19" s="69">
        <v>4</v>
      </c>
      <c r="B19" t="s">
        <v>209</v>
      </c>
      <c r="C19" s="119" t="s">
        <v>115</v>
      </c>
      <c r="D19" s="2">
        <f>+'MEG-4 Results of Operations'!O32</f>
        <v>-78974.309493232213</v>
      </c>
      <c r="F19" s="2"/>
      <c r="H19" s="40">
        <f>+'MEG-4 Results of Operations'!W32</f>
        <v>104593.26140420955</v>
      </c>
    </row>
    <row r="20" spans="1:13" x14ac:dyDescent="0.35">
      <c r="A20" s="69">
        <v>5</v>
      </c>
      <c r="B20" t="s">
        <v>227</v>
      </c>
      <c r="C20" s="119" t="s">
        <v>116</v>
      </c>
      <c r="D20" s="2">
        <f>+'MEG-4 Results of Operations'!O33</f>
        <v>1419828.29</v>
      </c>
      <c r="F20" s="2"/>
      <c r="H20" s="40">
        <f>+'MEG-4 Results of Operations'!W33</f>
        <v>-1880414.9404786895</v>
      </c>
    </row>
    <row r="21" spans="1:13" x14ac:dyDescent="0.35">
      <c r="A21" s="69">
        <v>6</v>
      </c>
      <c r="B21" s="4" t="s">
        <v>228</v>
      </c>
      <c r="C21" s="119" t="s">
        <v>117</v>
      </c>
      <c r="D21" s="16">
        <f>+'MEG-4 Results of Operations'!O34</f>
        <v>140713</v>
      </c>
      <c r="E21" s="20"/>
      <c r="F21" s="16"/>
      <c r="G21" s="20"/>
      <c r="H21" s="16">
        <f>+'MEG-4 Results of Operations'!W34</f>
        <v>-186359.73757050428</v>
      </c>
      <c r="K21" s="40"/>
    </row>
    <row r="22" spans="1:13" x14ac:dyDescent="0.35">
      <c r="A22" s="69">
        <v>7</v>
      </c>
      <c r="B22" s="4" t="s">
        <v>105</v>
      </c>
      <c r="C22" s="120"/>
      <c r="D22" s="7">
        <f>SUM(D15:D21)</f>
        <v>31722674.142770194</v>
      </c>
      <c r="E22" s="20"/>
      <c r="F22" s="7">
        <f>SUM(F15:F21)</f>
        <v>486518799</v>
      </c>
      <c r="G22" s="20"/>
      <c r="H22" s="7">
        <f>SUM(H15:H21)</f>
        <v>2613851.6662276965</v>
      </c>
    </row>
    <row r="23" spans="1:13" x14ac:dyDescent="0.35">
      <c r="A23" s="50"/>
      <c r="B23" s="4"/>
      <c r="C23" s="120"/>
      <c r="D23" s="19"/>
      <c r="E23" s="20"/>
      <c r="F23" s="19"/>
      <c r="G23" s="20"/>
      <c r="H23" s="19"/>
    </row>
    <row r="24" spans="1:13" x14ac:dyDescent="0.35">
      <c r="A24" s="69">
        <v>8</v>
      </c>
      <c r="B24" t="s">
        <v>241</v>
      </c>
      <c r="C24" s="119" t="s">
        <v>118</v>
      </c>
      <c r="D24" s="19">
        <f>+'MEG-4 Results of Operations'!O37</f>
        <v>677345.14201770572</v>
      </c>
      <c r="F24" s="19"/>
      <c r="H24" s="19">
        <f>+'MEG-4 Results of Operations'!W37</f>
        <v>-897073.21221973503</v>
      </c>
    </row>
    <row r="25" spans="1:13" x14ac:dyDescent="0.35">
      <c r="A25" s="69">
        <v>9</v>
      </c>
      <c r="B25" t="s">
        <v>242</v>
      </c>
      <c r="C25" s="119" t="s">
        <v>210</v>
      </c>
      <c r="D25" s="19">
        <f>+'MEG-4 Results of Operations'!O38</f>
        <v>0</v>
      </c>
      <c r="F25" s="19">
        <f>+'MEG-4 Results of Operations'!Q38</f>
        <v>25725843</v>
      </c>
      <c r="H25" s="19">
        <f>+'MEG-4 Results of Operations'!W38</f>
        <v>2359771.5997740594</v>
      </c>
      <c r="I25" s="40"/>
      <c r="K25" s="40"/>
      <c r="M25" s="40"/>
    </row>
    <row r="26" spans="1:13" x14ac:dyDescent="0.35">
      <c r="A26" s="69">
        <v>10</v>
      </c>
      <c r="B26" t="s">
        <v>243</v>
      </c>
      <c r="C26" s="119" t="s">
        <v>212</v>
      </c>
      <c r="D26" s="19">
        <f>+'MEG-4 Results of Operations'!O39</f>
        <v>-861677.74954561202</v>
      </c>
      <c r="E26" s="20"/>
      <c r="F26" s="19"/>
      <c r="G26" s="20"/>
      <c r="H26" s="19">
        <f>+'MEG-4 Results of Operations'!W39</f>
        <v>1141202.584520712</v>
      </c>
      <c r="I26" s="23"/>
    </row>
    <row r="27" spans="1:13" x14ac:dyDescent="0.35">
      <c r="A27" s="69">
        <v>11</v>
      </c>
      <c r="B27" t="s">
        <v>78</v>
      </c>
      <c r="C27" s="119" t="s">
        <v>240</v>
      </c>
      <c r="D27" s="16">
        <f>+'MEG-4 Results of Operations'!O40</f>
        <v>14909.722090199813</v>
      </c>
      <c r="F27" s="16"/>
      <c r="H27" s="16">
        <f>+'MEG-4 Results of Operations'!W40</f>
        <v>-19746.376638823618</v>
      </c>
    </row>
    <row r="28" spans="1:13" x14ac:dyDescent="0.35">
      <c r="A28" s="50"/>
      <c r="B28" s="4"/>
      <c r="C28" s="71"/>
      <c r="D28" s="19"/>
      <c r="F28" s="19"/>
      <c r="H28" s="40"/>
    </row>
    <row r="29" spans="1:13" ht="16" thickBot="1" x14ac:dyDescent="0.4">
      <c r="A29" s="69">
        <v>12</v>
      </c>
      <c r="B29" s="4" t="s">
        <v>443</v>
      </c>
      <c r="C29" s="71"/>
      <c r="D29" s="60">
        <f>SUM(D22:D28)</f>
        <v>31553251.257332489</v>
      </c>
      <c r="F29" s="60">
        <f>SUM(F22:F28)</f>
        <v>512244642</v>
      </c>
      <c r="H29" s="60">
        <f>SUM(H22:H28)</f>
        <v>5198006.2616639091</v>
      </c>
    </row>
    <row r="30" spans="1:13" ht="16" thickTop="1" x14ac:dyDescent="0.35">
      <c r="A30" s="69"/>
      <c r="C30" s="119"/>
    </row>
    <row r="31" spans="1:13" x14ac:dyDescent="0.35">
      <c r="A31" s="69"/>
      <c r="C31" s="99"/>
    </row>
    <row r="32" spans="1:13" x14ac:dyDescent="0.35">
      <c r="A32" s="88"/>
      <c r="I32" s="40"/>
      <c r="K32" s="40"/>
      <c r="M32" s="40"/>
    </row>
    <row r="36" spans="12:14" x14ac:dyDescent="0.35">
      <c r="L36" s="23"/>
      <c r="M36" s="23"/>
      <c r="N36" s="40"/>
    </row>
    <row r="38" spans="12:14" x14ac:dyDescent="0.35">
      <c r="L38" s="23"/>
      <c r="M38" s="23"/>
      <c r="N38" s="40"/>
    </row>
    <row r="40" spans="12:14" x14ac:dyDescent="0.35">
      <c r="L40" s="21"/>
      <c r="M40" s="23"/>
      <c r="N40" s="40"/>
    </row>
    <row r="42" spans="12:14" x14ac:dyDescent="0.35">
      <c r="L42" s="21"/>
    </row>
  </sheetData>
  <mergeCells count="3">
    <mergeCell ref="A6:H6"/>
    <mergeCell ref="A7:H7"/>
    <mergeCell ref="A8:H8"/>
  </mergeCells>
  <printOptions horizontalCentered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B32" sqref="B32"/>
    </sheetView>
  </sheetViews>
  <sheetFormatPr defaultRowHeight="15.5" x14ac:dyDescent="0.35"/>
  <cols>
    <col min="1" max="1" width="6.25" bestFit="1" customWidth="1"/>
    <col min="2" max="2" width="28.33203125" customWidth="1"/>
    <col min="3" max="3" width="11.25" bestFit="1" customWidth="1"/>
    <col min="4" max="4" width="7.5" bestFit="1" customWidth="1"/>
    <col min="5" max="5" width="14.83203125" customWidth="1"/>
    <col min="6" max="6" width="4.58203125" customWidth="1"/>
    <col min="7" max="7" width="15.08203125" customWidth="1"/>
    <col min="8" max="8" width="4.5" customWidth="1"/>
    <col min="9" max="9" width="13.8320312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109</v>
      </c>
    </row>
    <row r="3" spans="1:9" x14ac:dyDescent="0.35">
      <c r="A3" s="4"/>
      <c r="I3" s="113" t="s">
        <v>458</v>
      </c>
    </row>
    <row r="4" spans="1:9" x14ac:dyDescent="0.35">
      <c r="A4" s="4"/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220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4"/>
    </row>
    <row r="9" spans="1:9" x14ac:dyDescent="0.35">
      <c r="A9" s="4"/>
      <c r="D9" s="77"/>
    </row>
    <row r="10" spans="1:9" x14ac:dyDescent="0.35">
      <c r="A10" s="77"/>
      <c r="B10" s="77"/>
      <c r="C10" s="77"/>
      <c r="D10" s="77"/>
      <c r="H10" s="77"/>
      <c r="I10" s="77" t="s">
        <v>27</v>
      </c>
    </row>
    <row r="11" spans="1:9" x14ac:dyDescent="0.35">
      <c r="A11" s="77" t="s">
        <v>7</v>
      </c>
      <c r="B11" s="77"/>
      <c r="C11" s="77"/>
      <c r="D11" s="77"/>
      <c r="E11" s="77" t="s">
        <v>34</v>
      </c>
      <c r="G11" s="77" t="s">
        <v>63</v>
      </c>
      <c r="H11" s="77"/>
      <c r="I11" s="77" t="s">
        <v>95</v>
      </c>
    </row>
    <row r="12" spans="1:9" x14ac:dyDescent="0.35">
      <c r="A12" s="76" t="s">
        <v>10</v>
      </c>
      <c r="B12" s="76" t="s">
        <v>11</v>
      </c>
      <c r="C12" s="76"/>
      <c r="D12" s="76"/>
      <c r="E12" s="76" t="s">
        <v>27</v>
      </c>
      <c r="F12" s="72"/>
      <c r="G12" s="76" t="s">
        <v>27</v>
      </c>
      <c r="H12" s="57"/>
      <c r="I12" s="57" t="s">
        <v>96</v>
      </c>
    </row>
    <row r="13" spans="1:9" x14ac:dyDescent="0.35">
      <c r="A13" s="77"/>
    </row>
    <row r="14" spans="1:9" ht="18.5" x14ac:dyDescent="0.35">
      <c r="A14" s="41">
        <v>1</v>
      </c>
      <c r="B14" t="s">
        <v>410</v>
      </c>
      <c r="C14" s="3"/>
      <c r="E14" s="89">
        <v>154270</v>
      </c>
      <c r="G14" s="3">
        <v>0</v>
      </c>
      <c r="H14" s="3"/>
      <c r="I14" s="3">
        <f>+E14-G14</f>
        <v>154270</v>
      </c>
    </row>
    <row r="16" spans="1:9" ht="18.5" x14ac:dyDescent="0.35">
      <c r="A16" s="41">
        <v>2</v>
      </c>
      <c r="B16" t="s">
        <v>411</v>
      </c>
      <c r="E16" s="16">
        <v>202378</v>
      </c>
      <c r="F16" s="2"/>
      <c r="G16" s="16">
        <v>0</v>
      </c>
      <c r="H16" s="2"/>
      <c r="I16" s="16">
        <f>+E16-G16</f>
        <v>202378</v>
      </c>
    </row>
    <row r="18" spans="1:9" x14ac:dyDescent="0.35">
      <c r="A18" s="41">
        <v>3</v>
      </c>
      <c r="B18" t="s">
        <v>448</v>
      </c>
      <c r="E18" s="89">
        <f>+E14+E16</f>
        <v>356648</v>
      </c>
      <c r="G18" s="3">
        <v>0</v>
      </c>
      <c r="H18" s="3"/>
      <c r="I18" s="3">
        <f>+E18-G18</f>
        <v>356648</v>
      </c>
    </row>
    <row r="19" spans="1:9" x14ac:dyDescent="0.35">
      <c r="A19" s="41"/>
    </row>
    <row r="20" spans="1:9" x14ac:dyDescent="0.35">
      <c r="A20" s="41">
        <v>4</v>
      </c>
      <c r="B20" t="s">
        <v>221</v>
      </c>
      <c r="E20" s="59">
        <v>0.5</v>
      </c>
      <c r="G20" s="59">
        <v>0.5</v>
      </c>
      <c r="I20" s="59">
        <v>0.5</v>
      </c>
    </row>
    <row r="21" spans="1:9" x14ac:dyDescent="0.35">
      <c r="A21" s="41"/>
    </row>
    <row r="22" spans="1:9" x14ac:dyDescent="0.35">
      <c r="A22" s="41">
        <v>5</v>
      </c>
      <c r="B22" t="s">
        <v>27</v>
      </c>
      <c r="E22" s="3">
        <f>-E18*E20</f>
        <v>-178324</v>
      </c>
      <c r="G22" s="3">
        <f>-G18*G20</f>
        <v>0</v>
      </c>
      <c r="I22" s="3">
        <f>-I18*I20</f>
        <v>-178324</v>
      </c>
    </row>
    <row r="23" spans="1:9" x14ac:dyDescent="0.35">
      <c r="A23" s="41"/>
    </row>
    <row r="24" spans="1:9" x14ac:dyDescent="0.35">
      <c r="A24" s="41">
        <v>6</v>
      </c>
      <c r="B24" t="s">
        <v>100</v>
      </c>
      <c r="E24" s="16">
        <f>-E22*0.21</f>
        <v>37448.04</v>
      </c>
      <c r="G24" s="16">
        <f>-G22*0.21</f>
        <v>0</v>
      </c>
      <c r="I24" s="16">
        <f>-I22*0.21</f>
        <v>37448.04</v>
      </c>
    </row>
    <row r="26" spans="1:9" x14ac:dyDescent="0.35">
      <c r="A26" s="41">
        <v>7</v>
      </c>
      <c r="B26" t="s">
        <v>222</v>
      </c>
      <c r="E26" s="21">
        <f>+E22+E24</f>
        <v>-140875.96</v>
      </c>
      <c r="G26" s="22">
        <f>+G22+G24</f>
        <v>0</v>
      </c>
      <c r="I26" s="21">
        <f>+I22+I24</f>
        <v>-140875.96</v>
      </c>
    </row>
    <row r="27" spans="1:9" x14ac:dyDescent="0.35">
      <c r="A27" s="41"/>
      <c r="E27" s="21"/>
      <c r="I27" s="21"/>
    </row>
    <row r="28" spans="1:9" ht="16" thickBot="1" x14ac:dyDescent="0.4">
      <c r="A28" s="41">
        <v>8</v>
      </c>
      <c r="B28" t="s">
        <v>223</v>
      </c>
      <c r="E28" s="150">
        <f>-E26</f>
        <v>140875.96</v>
      </c>
      <c r="G28" s="86">
        <f>-G26</f>
        <v>0</v>
      </c>
      <c r="I28" s="150">
        <f>-I26</f>
        <v>140875.96</v>
      </c>
    </row>
    <row r="29" spans="1:9" ht="16" thickTop="1" x14ac:dyDescent="0.35">
      <c r="A29" s="41"/>
    </row>
    <row r="31" spans="1:9" x14ac:dyDescent="0.35">
      <c r="B31" t="s">
        <v>485</v>
      </c>
    </row>
    <row r="32" spans="1:9" x14ac:dyDescent="0.35">
      <c r="B32" t="s">
        <v>501</v>
      </c>
    </row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activeCell="E15" sqref="E15"/>
    </sheetView>
  </sheetViews>
  <sheetFormatPr defaultRowHeight="15.5" x14ac:dyDescent="0.35"/>
  <cols>
    <col min="1" max="1" width="6.25" bestFit="1" customWidth="1"/>
    <col min="2" max="2" width="35.75" customWidth="1"/>
    <col min="3" max="3" width="2.75" customWidth="1"/>
    <col min="4" max="4" width="19.25" customWidth="1"/>
    <col min="5" max="5" width="6.33203125" customWidth="1"/>
    <col min="6" max="6" width="14" customWidth="1"/>
    <col min="7" max="7" width="1.58203125" customWidth="1"/>
    <col min="8" max="8" width="12.83203125" customWidth="1"/>
    <col min="9" max="9" width="1.25" customWidth="1"/>
    <col min="10" max="10" width="14.75" customWidth="1"/>
  </cols>
  <sheetData>
    <row r="1" spans="1:10" x14ac:dyDescent="0.35">
      <c r="J1" s="29" t="s">
        <v>119</v>
      </c>
    </row>
    <row r="2" spans="1:10" x14ac:dyDescent="0.35">
      <c r="A2" s="4"/>
      <c r="J2" s="29" t="s">
        <v>112</v>
      </c>
    </row>
    <row r="3" spans="1:10" x14ac:dyDescent="0.35">
      <c r="A3" s="4"/>
      <c r="J3" s="113" t="s">
        <v>458</v>
      </c>
    </row>
    <row r="4" spans="1:10" x14ac:dyDescent="0.35">
      <c r="A4" s="4"/>
      <c r="J4" s="29" t="s">
        <v>106</v>
      </c>
    </row>
    <row r="5" spans="1:10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 x14ac:dyDescent="0.35">
      <c r="A6" s="169" t="s">
        <v>230</v>
      </c>
      <c r="B6" s="169"/>
      <c r="C6" s="169"/>
      <c r="D6" s="169"/>
      <c r="E6" s="169"/>
      <c r="F6" s="169"/>
      <c r="G6" s="169"/>
      <c r="H6" s="169"/>
      <c r="I6" s="169"/>
      <c r="J6" s="169"/>
    </row>
    <row r="7" spans="1:10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  <c r="J7" s="169"/>
    </row>
    <row r="8" spans="1:10" x14ac:dyDescent="0.35">
      <c r="A8" s="4"/>
    </row>
    <row r="9" spans="1:10" x14ac:dyDescent="0.35">
      <c r="A9" s="4"/>
      <c r="D9" s="77"/>
      <c r="E9" s="106"/>
    </row>
    <row r="10" spans="1:10" x14ac:dyDescent="0.35">
      <c r="A10" s="77"/>
      <c r="B10" s="77"/>
      <c r="C10" s="77"/>
      <c r="D10" s="77"/>
      <c r="E10" s="106"/>
      <c r="I10" s="77"/>
      <c r="J10" s="77" t="s">
        <v>27</v>
      </c>
    </row>
    <row r="11" spans="1:10" x14ac:dyDescent="0.35">
      <c r="A11" s="77" t="s">
        <v>7</v>
      </c>
      <c r="B11" s="77"/>
      <c r="C11" s="77"/>
      <c r="D11" s="77"/>
      <c r="E11" s="106"/>
      <c r="F11" s="77" t="s">
        <v>34</v>
      </c>
      <c r="H11" s="77" t="s">
        <v>63</v>
      </c>
      <c r="I11" s="77"/>
      <c r="J11" s="77" t="s">
        <v>95</v>
      </c>
    </row>
    <row r="12" spans="1:10" x14ac:dyDescent="0.35">
      <c r="A12" s="76" t="s">
        <v>10</v>
      </c>
      <c r="B12" s="76" t="s">
        <v>11</v>
      </c>
      <c r="C12" s="76"/>
      <c r="D12" s="76" t="s">
        <v>37</v>
      </c>
      <c r="E12" s="105"/>
      <c r="F12" s="76" t="s">
        <v>27</v>
      </c>
      <c r="G12" s="72"/>
      <c r="H12" s="76" t="s">
        <v>27</v>
      </c>
      <c r="I12" s="57"/>
      <c r="J12" s="57" t="s">
        <v>96</v>
      </c>
    </row>
    <row r="13" spans="1:10" x14ac:dyDescent="0.35">
      <c r="A13" s="77"/>
    </row>
    <row r="14" spans="1:10" x14ac:dyDescent="0.35">
      <c r="A14" s="41">
        <v>1</v>
      </c>
      <c r="B14" t="s">
        <v>403</v>
      </c>
      <c r="C14" s="3"/>
      <c r="D14" s="41" t="s">
        <v>470</v>
      </c>
      <c r="E14" s="41"/>
      <c r="F14" s="3">
        <f>+'WP MEG-10.1 2021 Customer Growt'!I46+'WP MEG-10.1 2021 Customer Growt'!I60</f>
        <v>848777.61959794548</v>
      </c>
      <c r="H14" s="3">
        <f>+'WP MEG-10.1 2021 Customer Growt'!K46+'WP MEG-10.1 2021 Customer Growt'!K60</f>
        <v>0</v>
      </c>
      <c r="I14" s="3"/>
      <c r="J14" s="3">
        <f>+F14-H14</f>
        <v>848777.61959794548</v>
      </c>
    </row>
    <row r="15" spans="1:10" x14ac:dyDescent="0.35">
      <c r="A15" s="41"/>
      <c r="C15" s="3"/>
      <c r="F15" s="3"/>
      <c r="H15" s="3"/>
      <c r="I15" s="3"/>
      <c r="J15" s="3"/>
    </row>
    <row r="16" spans="1:10" x14ac:dyDescent="0.35">
      <c r="A16" s="41">
        <v>2</v>
      </c>
      <c r="B16" t="s">
        <v>404</v>
      </c>
      <c r="C16" s="3"/>
      <c r="D16" s="41" t="s">
        <v>471</v>
      </c>
      <c r="E16" s="41"/>
      <c r="F16" s="16">
        <f>+'WP MEG-10.1 2021 Customer Growt'!I67</f>
        <v>11724.288430169399</v>
      </c>
      <c r="G16" s="2"/>
      <c r="H16" s="16">
        <v>0</v>
      </c>
      <c r="I16" s="2"/>
      <c r="J16" s="16">
        <f>+F16-H16</f>
        <v>11724.288430169399</v>
      </c>
    </row>
    <row r="17" spans="1:11" x14ac:dyDescent="0.35">
      <c r="A17" s="41"/>
      <c r="C17" s="3"/>
      <c r="F17" s="2"/>
      <c r="G17" s="2"/>
      <c r="H17" s="2"/>
      <c r="I17" s="2"/>
      <c r="J17" s="2"/>
    </row>
    <row r="18" spans="1:11" x14ac:dyDescent="0.35">
      <c r="A18" s="41">
        <v>3</v>
      </c>
      <c r="B18" t="s">
        <v>405</v>
      </c>
      <c r="C18" s="3"/>
      <c r="F18" s="3">
        <f>+F14+F16</f>
        <v>860501.90802811482</v>
      </c>
      <c r="G18" s="2"/>
      <c r="H18" s="3">
        <f>+H14+H16</f>
        <v>0</v>
      </c>
      <c r="I18" s="2"/>
      <c r="J18" s="3">
        <f>+J14+J16</f>
        <v>860501.90802811482</v>
      </c>
    </row>
    <row r="19" spans="1:11" x14ac:dyDescent="0.35">
      <c r="A19" s="41"/>
      <c r="C19" s="3"/>
      <c r="F19" s="2"/>
      <c r="G19" s="2"/>
      <c r="H19" s="2"/>
      <c r="I19" s="2"/>
      <c r="J19" s="2"/>
    </row>
    <row r="20" spans="1:11" x14ac:dyDescent="0.35">
      <c r="A20" s="41">
        <v>4</v>
      </c>
      <c r="B20" t="s">
        <v>82</v>
      </c>
      <c r="C20" s="3"/>
      <c r="F20" s="2">
        <f>+F18*0.002</f>
        <v>1721.0038160562297</v>
      </c>
      <c r="G20" s="2"/>
      <c r="H20" s="2">
        <v>0</v>
      </c>
      <c r="I20" s="2"/>
      <c r="J20" s="2">
        <f>+F20-H20</f>
        <v>1721.0038160562297</v>
      </c>
    </row>
    <row r="21" spans="1:11" x14ac:dyDescent="0.35">
      <c r="A21" s="41"/>
      <c r="C21" s="3"/>
      <c r="F21" s="2"/>
      <c r="G21" s="2"/>
      <c r="H21" s="2"/>
      <c r="I21" s="2"/>
      <c r="J21" s="2"/>
    </row>
    <row r="22" spans="1:11" x14ac:dyDescent="0.35">
      <c r="A22" s="41">
        <v>5</v>
      </c>
      <c r="B22" t="s">
        <v>398</v>
      </c>
      <c r="C22" s="3"/>
      <c r="F22" s="2">
        <f>+F18*0.00371</f>
        <v>3192.462078784306</v>
      </c>
      <c r="G22" s="2"/>
      <c r="H22" s="2">
        <v>0</v>
      </c>
      <c r="I22" s="2"/>
      <c r="J22" s="2">
        <f>+F22-H22</f>
        <v>3192.462078784306</v>
      </c>
      <c r="K22" s="21"/>
    </row>
    <row r="23" spans="1:11" x14ac:dyDescent="0.35">
      <c r="A23" s="41"/>
      <c r="F23" s="2"/>
      <c r="G23" s="2"/>
      <c r="H23" s="2"/>
      <c r="I23" s="2"/>
      <c r="J23" s="2"/>
    </row>
    <row r="24" spans="1:11" x14ac:dyDescent="0.35">
      <c r="A24" s="41">
        <v>6</v>
      </c>
      <c r="B24" t="s">
        <v>205</v>
      </c>
      <c r="D24" s="106"/>
      <c r="E24" s="106"/>
      <c r="F24" s="16">
        <f>+F18*0.21</f>
        <v>180705.40068590411</v>
      </c>
      <c r="H24" s="16">
        <f>+H14*0.21</f>
        <v>0</v>
      </c>
      <c r="J24" s="16">
        <f>+J14*0.21</f>
        <v>178243.30011556853</v>
      </c>
    </row>
    <row r="25" spans="1:11" x14ac:dyDescent="0.35">
      <c r="A25" s="41"/>
      <c r="F25" s="19"/>
      <c r="H25" s="19"/>
      <c r="J25" s="19"/>
    </row>
    <row r="26" spans="1:11" x14ac:dyDescent="0.35">
      <c r="A26" s="41">
        <v>7</v>
      </c>
      <c r="B26" t="s">
        <v>36</v>
      </c>
      <c r="F26" s="27">
        <f>SUM(F20:F25)</f>
        <v>185618.86658074465</v>
      </c>
      <c r="H26" s="27">
        <f>SUM(H20:H25)</f>
        <v>0</v>
      </c>
      <c r="J26" s="27">
        <f>SUM(J20:J25)</f>
        <v>183156.76601040908</v>
      </c>
    </row>
    <row r="27" spans="1:11" x14ac:dyDescent="0.35">
      <c r="A27" s="41"/>
    </row>
    <row r="28" spans="1:11" ht="16" thickBot="1" x14ac:dyDescent="0.4">
      <c r="A28" s="41">
        <v>8</v>
      </c>
      <c r="B28" t="s">
        <v>84</v>
      </c>
      <c r="F28" s="18">
        <f>+F18-F26</f>
        <v>674883.0414473702</v>
      </c>
      <c r="H28" s="18">
        <f>+H18-H26</f>
        <v>0</v>
      </c>
      <c r="J28" s="18">
        <f>+J18-J26</f>
        <v>677345.14201770572</v>
      </c>
    </row>
    <row r="29" spans="1:11" ht="16" thickTop="1" x14ac:dyDescent="0.35">
      <c r="A29" s="41"/>
    </row>
    <row r="30" spans="1:11" x14ac:dyDescent="0.35">
      <c r="A30" s="41"/>
      <c r="F30" s="23"/>
    </row>
    <row r="31" spans="1:11" x14ac:dyDescent="0.35">
      <c r="A31" s="41"/>
      <c r="J31" s="23"/>
    </row>
    <row r="32" spans="1:11" x14ac:dyDescent="0.35">
      <c r="A32" s="41"/>
    </row>
    <row r="33" spans="1:10" x14ac:dyDescent="0.35">
      <c r="A33" s="41"/>
      <c r="J33" s="22"/>
    </row>
    <row r="34" spans="1:10" x14ac:dyDescent="0.35">
      <c r="A34" s="41"/>
      <c r="J34" s="22"/>
    </row>
    <row r="35" spans="1:10" x14ac:dyDescent="0.35">
      <c r="A35" s="41"/>
    </row>
    <row r="36" spans="1:10" x14ac:dyDescent="0.35">
      <c r="A36" s="41"/>
    </row>
    <row r="37" spans="1:10" x14ac:dyDescent="0.35">
      <c r="A37" s="41"/>
    </row>
    <row r="38" spans="1:10" x14ac:dyDescent="0.35">
      <c r="A38" s="41"/>
    </row>
    <row r="39" spans="1:10" x14ac:dyDescent="0.35">
      <c r="A39" s="41"/>
    </row>
    <row r="40" spans="1:10" x14ac:dyDescent="0.35">
      <c r="A40" s="41"/>
    </row>
  </sheetData>
  <mergeCells count="3">
    <mergeCell ref="A5:J5"/>
    <mergeCell ref="A6:J6"/>
    <mergeCell ref="A7:J7"/>
  </mergeCells>
  <printOptions horizontalCentered="1"/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opLeftCell="A9" workbookViewId="0">
      <selection activeCell="P12" sqref="P12"/>
    </sheetView>
  </sheetViews>
  <sheetFormatPr defaultRowHeight="15.5" x14ac:dyDescent="0.35"/>
  <cols>
    <col min="1" max="1" width="6.08203125" customWidth="1"/>
    <col min="2" max="2" width="27.33203125" customWidth="1"/>
    <col min="3" max="3" width="13.33203125" customWidth="1"/>
    <col min="4" max="4" width="16.25" customWidth="1"/>
    <col min="5" max="5" width="4.08203125" customWidth="1"/>
    <col min="6" max="7" width="13.33203125" customWidth="1"/>
    <col min="8" max="8" width="5.75" customWidth="1"/>
    <col min="9" max="9" width="15.25" customWidth="1"/>
    <col min="10" max="10" width="14.08203125" customWidth="1"/>
    <col min="14" max="14" width="9.58203125" bestFit="1" customWidth="1"/>
  </cols>
  <sheetData>
    <row r="1" spans="1:11" x14ac:dyDescent="0.35">
      <c r="I1" s="29" t="s">
        <v>119</v>
      </c>
    </row>
    <row r="2" spans="1:11" x14ac:dyDescent="0.35">
      <c r="I2" s="29" t="s">
        <v>446</v>
      </c>
    </row>
    <row r="3" spans="1:11" x14ac:dyDescent="0.35">
      <c r="I3" s="29" t="s">
        <v>106</v>
      </c>
    </row>
    <row r="4" spans="1:11" x14ac:dyDescent="0.35">
      <c r="A4" s="174" t="s">
        <v>146</v>
      </c>
      <c r="B4" s="174"/>
      <c r="C4" s="174"/>
      <c r="D4" s="174"/>
      <c r="E4" s="174"/>
      <c r="F4" s="174"/>
      <c r="G4" s="174"/>
      <c r="H4" s="174"/>
      <c r="I4" s="174"/>
    </row>
    <row r="5" spans="1:11" x14ac:dyDescent="0.35">
      <c r="A5" s="175" t="s">
        <v>481</v>
      </c>
      <c r="B5" s="175"/>
      <c r="C5" s="175"/>
      <c r="D5" s="175"/>
      <c r="E5" s="175"/>
      <c r="F5" s="175"/>
      <c r="G5" s="175"/>
      <c r="H5" s="175"/>
      <c r="I5" s="175"/>
    </row>
    <row r="6" spans="1:11" x14ac:dyDescent="0.35">
      <c r="A6" s="169" t="s">
        <v>121</v>
      </c>
      <c r="B6" s="169"/>
      <c r="C6" s="169"/>
      <c r="D6" s="169"/>
      <c r="E6" s="169"/>
      <c r="F6" s="169"/>
      <c r="G6" s="169"/>
      <c r="H6" s="169"/>
      <c r="I6" s="169"/>
      <c r="J6" s="110"/>
      <c r="K6" s="110"/>
    </row>
    <row r="7" spans="1:11" x14ac:dyDescent="0.35">
      <c r="C7" s="176"/>
      <c r="D7" s="176"/>
      <c r="E7" s="176"/>
      <c r="F7" s="176"/>
    </row>
    <row r="8" spans="1:11" x14ac:dyDescent="0.35">
      <c r="A8" s="107" t="s">
        <v>7</v>
      </c>
      <c r="B8" s="107"/>
      <c r="C8" s="103" t="s">
        <v>408</v>
      </c>
      <c r="D8" s="116">
        <v>2021</v>
      </c>
      <c r="E8" s="116"/>
      <c r="F8" s="103" t="s">
        <v>151</v>
      </c>
      <c r="G8" s="4"/>
      <c r="H8" s="4"/>
      <c r="I8" s="103"/>
    </row>
    <row r="9" spans="1:11" x14ac:dyDescent="0.35">
      <c r="A9" s="108" t="s">
        <v>10</v>
      </c>
      <c r="B9" s="108" t="s">
        <v>11</v>
      </c>
      <c r="C9" s="6" t="s">
        <v>409</v>
      </c>
      <c r="D9" s="6" t="s">
        <v>231</v>
      </c>
      <c r="E9" s="6"/>
      <c r="F9" s="6" t="s">
        <v>232</v>
      </c>
      <c r="G9" s="6" t="s">
        <v>9</v>
      </c>
      <c r="H9" s="6"/>
      <c r="I9" s="6" t="s">
        <v>233</v>
      </c>
    </row>
    <row r="11" spans="1:11" x14ac:dyDescent="0.35">
      <c r="A11" s="41">
        <v>1</v>
      </c>
      <c r="B11" s="80" t="s">
        <v>153</v>
      </c>
    </row>
    <row r="12" spans="1:11" x14ac:dyDescent="0.35">
      <c r="A12" s="41">
        <f>+A11+1</f>
        <v>2</v>
      </c>
      <c r="B12" t="s">
        <v>234</v>
      </c>
      <c r="C12" s="127">
        <v>2405319</v>
      </c>
      <c r="D12" s="127">
        <f>12*1009945/G12</f>
        <v>2423868</v>
      </c>
      <c r="E12" s="127"/>
      <c r="F12" s="127">
        <f>+D12-C12</f>
        <v>18549</v>
      </c>
      <c r="G12" s="154">
        <v>5</v>
      </c>
      <c r="H12" s="128"/>
      <c r="I12" s="129">
        <f>+F12*G12</f>
        <v>92745</v>
      </c>
    </row>
    <row r="13" spans="1:11" x14ac:dyDescent="0.35">
      <c r="A13" s="41">
        <f t="shared" ref="A13:A73" si="0">+A12+1</f>
        <v>3</v>
      </c>
      <c r="B13" t="s">
        <v>154</v>
      </c>
      <c r="C13" s="127">
        <f>83318617+40346022+'WP MEG-6.1'!C12</f>
        <v>127494069</v>
      </c>
      <c r="D13" s="127">
        <f>+C13*D12/C12</f>
        <v>128477259.78919719</v>
      </c>
      <c r="E13" s="127"/>
      <c r="F13" s="127">
        <f>+D13-C13</f>
        <v>983190.7891971916</v>
      </c>
      <c r="G13" s="153">
        <v>0.31274000000000002</v>
      </c>
      <c r="H13" s="130"/>
      <c r="I13" s="131">
        <f>+F13*G13</f>
        <v>307483.08741352969</v>
      </c>
    </row>
    <row r="14" spans="1:11" x14ac:dyDescent="0.35">
      <c r="A14" s="41">
        <f t="shared" si="0"/>
        <v>4</v>
      </c>
      <c r="C14" s="132"/>
      <c r="D14" s="132"/>
      <c r="E14" s="132"/>
      <c r="F14" s="133"/>
      <c r="G14" s="152"/>
      <c r="H14" s="133"/>
      <c r="I14" s="129">
        <f>SUM(I12:I13)</f>
        <v>400228.08741352969</v>
      </c>
    </row>
    <row r="15" spans="1:11" x14ac:dyDescent="0.35">
      <c r="A15" s="41">
        <f t="shared" si="0"/>
        <v>5</v>
      </c>
      <c r="B15" t="s">
        <v>392</v>
      </c>
      <c r="C15" s="134"/>
      <c r="D15" s="134">
        <f>+D13</f>
        <v>128477259.78919719</v>
      </c>
      <c r="E15" s="134"/>
      <c r="F15" s="133"/>
      <c r="G15" s="153">
        <v>5.4099999999999999E-3</v>
      </c>
      <c r="H15" s="130"/>
      <c r="I15" s="129">
        <f>+D15*G15</f>
        <v>695061.97545955679</v>
      </c>
      <c r="J15" s="82">
        <f>+C13*G15</f>
        <v>689742.91328999994</v>
      </c>
    </row>
    <row r="16" spans="1:11" x14ac:dyDescent="0.35">
      <c r="A16" s="41"/>
      <c r="C16" s="133"/>
      <c r="D16" s="133"/>
      <c r="E16" s="133"/>
      <c r="F16" s="133"/>
      <c r="G16" s="152"/>
      <c r="H16" s="133"/>
      <c r="I16" s="129"/>
    </row>
    <row r="17" spans="1:10" x14ac:dyDescent="0.35">
      <c r="A17" s="41">
        <v>6</v>
      </c>
      <c r="B17" s="80" t="s">
        <v>155</v>
      </c>
      <c r="C17" s="133"/>
      <c r="D17" s="133"/>
      <c r="E17" s="133"/>
      <c r="F17" s="133"/>
      <c r="G17" s="152"/>
      <c r="H17" s="133"/>
      <c r="I17" s="129"/>
    </row>
    <row r="18" spans="1:10" x14ac:dyDescent="0.35">
      <c r="A18" s="41">
        <f t="shared" si="0"/>
        <v>7</v>
      </c>
      <c r="B18" t="s">
        <v>234</v>
      </c>
      <c r="C18" s="127">
        <f>326313+12</f>
        <v>326325</v>
      </c>
      <c r="D18" s="127">
        <f>12*(13+356135-455)/G18</f>
        <v>328332</v>
      </c>
      <c r="E18" s="127"/>
      <c r="F18" s="127">
        <f t="shared" ref="F18:F19" si="1">+D18-C18</f>
        <v>2007</v>
      </c>
      <c r="G18" s="154">
        <v>13</v>
      </c>
      <c r="H18" s="128"/>
      <c r="I18" s="129">
        <f>+F18*G18</f>
        <v>26091</v>
      </c>
    </row>
    <row r="19" spans="1:10" x14ac:dyDescent="0.35">
      <c r="A19" s="41">
        <f t="shared" si="0"/>
        <v>8</v>
      </c>
      <c r="B19" t="s">
        <v>154</v>
      </c>
      <c r="C19" s="127">
        <f>56215389+29300994+37582+14876+'WP MEG-6.1'!C17</f>
        <v>88458784</v>
      </c>
      <c r="D19" s="127">
        <f>+C19*D18/C18</f>
        <v>89002832.96801655</v>
      </c>
      <c r="E19" s="127"/>
      <c r="F19" s="127">
        <f t="shared" si="1"/>
        <v>544048.96801654994</v>
      </c>
      <c r="G19" s="153">
        <v>0.26283000000000001</v>
      </c>
      <c r="H19" s="130"/>
      <c r="I19" s="131">
        <f>+F19*G19</f>
        <v>142992.39026378983</v>
      </c>
    </row>
    <row r="20" spans="1:10" x14ac:dyDescent="0.35">
      <c r="A20" s="41">
        <f t="shared" si="0"/>
        <v>9</v>
      </c>
      <c r="C20" s="132"/>
      <c r="D20" s="132"/>
      <c r="E20" s="132"/>
      <c r="F20" s="133"/>
      <c r="G20" s="152"/>
      <c r="H20" s="133"/>
      <c r="I20" s="129">
        <f>SUM(I18:I19)</f>
        <v>169083.39026378983</v>
      </c>
    </row>
    <row r="21" spans="1:10" x14ac:dyDescent="0.35">
      <c r="A21" s="41">
        <f t="shared" si="0"/>
        <v>10</v>
      </c>
      <c r="B21" t="s">
        <v>392</v>
      </c>
      <c r="C21" s="132"/>
      <c r="D21" s="134">
        <f>+D19</f>
        <v>89002832.96801655</v>
      </c>
      <c r="E21" s="134"/>
      <c r="F21" s="133"/>
      <c r="G21" s="153">
        <v>3.5100000000000001E-3</v>
      </c>
      <c r="H21" s="130"/>
      <c r="I21" s="129">
        <f>+D21*G21</f>
        <v>312399.94371773809</v>
      </c>
      <c r="J21" s="82">
        <f>+C19*G21</f>
        <v>310490.33184</v>
      </c>
    </row>
    <row r="22" spans="1:10" x14ac:dyDescent="0.35">
      <c r="A22" s="41"/>
      <c r="C22" s="133"/>
      <c r="D22" s="133"/>
      <c r="E22" s="133"/>
      <c r="F22" s="133"/>
      <c r="G22" s="152"/>
      <c r="H22" s="133"/>
      <c r="I22" s="129"/>
    </row>
    <row r="23" spans="1:10" x14ac:dyDescent="0.35">
      <c r="A23" s="41">
        <v>11</v>
      </c>
      <c r="B23" s="80" t="s">
        <v>156</v>
      </c>
      <c r="C23" s="133"/>
      <c r="D23" s="133"/>
      <c r="E23" s="133"/>
      <c r="F23" s="133"/>
      <c r="G23" s="152"/>
      <c r="H23" s="133"/>
      <c r="I23" s="129"/>
    </row>
    <row r="24" spans="1:10" x14ac:dyDescent="0.35">
      <c r="A24" s="41">
        <f t="shared" si="0"/>
        <v>12</v>
      </c>
      <c r="B24" t="s">
        <v>234</v>
      </c>
      <c r="C24" s="127">
        <f>5535+12</f>
        <v>5547</v>
      </c>
      <c r="D24" s="127">
        <f>12*(29220+60)/G24</f>
        <v>5856</v>
      </c>
      <c r="E24" s="127"/>
      <c r="F24" s="127">
        <f t="shared" ref="F24:F27" si="2">+D24-C24</f>
        <v>309</v>
      </c>
      <c r="G24" s="154">
        <v>60</v>
      </c>
      <c r="H24" s="128"/>
      <c r="I24" s="129">
        <f>+F24*G24</f>
        <v>18540</v>
      </c>
    </row>
    <row r="25" spans="1:10" x14ac:dyDescent="0.35">
      <c r="A25" s="41">
        <f t="shared" si="0"/>
        <v>13</v>
      </c>
      <c r="B25" t="s">
        <v>157</v>
      </c>
      <c r="C25" s="127">
        <f>971389+711426</f>
        <v>1682815</v>
      </c>
      <c r="D25" s="127">
        <f>+C25*D24/C24</f>
        <v>1776557.5338020551</v>
      </c>
      <c r="E25" s="127"/>
      <c r="F25" s="127">
        <f t="shared" si="2"/>
        <v>93742.533802055055</v>
      </c>
      <c r="G25" s="153">
        <v>0.20271</v>
      </c>
      <c r="H25" s="130"/>
      <c r="I25" s="129">
        <f t="shared" ref="I25:I26" si="3">+F25*G25</f>
        <v>19002.549027014582</v>
      </c>
    </row>
    <row r="26" spans="1:10" x14ac:dyDescent="0.35">
      <c r="A26" s="41">
        <f t="shared" si="0"/>
        <v>14</v>
      </c>
      <c r="B26" t="s">
        <v>158</v>
      </c>
      <c r="C26" s="127">
        <f>3209755+2172398</f>
        <v>5382153</v>
      </c>
      <c r="D26" s="127">
        <f>+C26*D24/C24</f>
        <v>5681970.0681449436</v>
      </c>
      <c r="E26" s="127"/>
      <c r="F26" s="127">
        <f t="shared" si="2"/>
        <v>299817.06814494357</v>
      </c>
      <c r="G26" s="153">
        <v>0.16594</v>
      </c>
      <c r="H26" s="130"/>
      <c r="I26" s="129">
        <f t="shared" si="3"/>
        <v>49751.64428797194</v>
      </c>
    </row>
    <row r="27" spans="1:10" x14ac:dyDescent="0.35">
      <c r="A27" s="41">
        <f t="shared" si="0"/>
        <v>15</v>
      </c>
      <c r="B27" t="s">
        <v>159</v>
      </c>
      <c r="C27" s="127">
        <f>2005849+2181150</f>
        <v>4186999</v>
      </c>
      <c r="D27" s="127">
        <f>+C27*D24/C24</f>
        <v>4420239.0740941046</v>
      </c>
      <c r="E27" s="127"/>
      <c r="F27" s="127">
        <f t="shared" si="2"/>
        <v>233240.07409410458</v>
      </c>
      <c r="G27" s="153">
        <v>0.16037999999999999</v>
      </c>
      <c r="H27" s="130"/>
      <c r="I27" s="131">
        <f>+F27*G27</f>
        <v>37407.043083212491</v>
      </c>
    </row>
    <row r="28" spans="1:10" x14ac:dyDescent="0.35">
      <c r="A28" s="41"/>
      <c r="C28" s="132"/>
      <c r="D28" s="133"/>
      <c r="E28" s="133"/>
      <c r="F28" s="133"/>
      <c r="G28" s="152"/>
      <c r="H28" s="133"/>
      <c r="I28" s="129">
        <f>SUM(I24:I27)</f>
        <v>124701.23639819902</v>
      </c>
    </row>
    <row r="29" spans="1:10" x14ac:dyDescent="0.35">
      <c r="A29" s="41">
        <v>15</v>
      </c>
      <c r="B29" t="s">
        <v>392</v>
      </c>
      <c r="C29" s="132"/>
      <c r="D29" s="134">
        <f>+SUM(D25:D27)</f>
        <v>11878766.676041104</v>
      </c>
      <c r="E29" s="134"/>
      <c r="F29" s="133"/>
      <c r="G29" s="153">
        <v>2.7100000000000002E-3</v>
      </c>
      <c r="H29" s="130"/>
      <c r="I29" s="129">
        <f>+D29*G29</f>
        <v>32191.457692071395</v>
      </c>
      <c r="J29" s="82">
        <f>+SUM(C25:C27)*G29</f>
        <v>30492.830570000002</v>
      </c>
    </row>
    <row r="30" spans="1:10" x14ac:dyDescent="0.35">
      <c r="A30" s="41"/>
      <c r="C30" s="133"/>
      <c r="D30" s="133"/>
      <c r="E30" s="133"/>
      <c r="F30" s="133"/>
      <c r="G30" s="152"/>
      <c r="H30" s="133"/>
      <c r="I30" s="129"/>
    </row>
    <row r="31" spans="1:10" x14ac:dyDescent="0.35">
      <c r="A31" s="41">
        <v>16</v>
      </c>
      <c r="B31" s="80" t="s">
        <v>161</v>
      </c>
      <c r="C31" s="133"/>
      <c r="D31" s="133"/>
      <c r="E31" s="133"/>
      <c r="F31" s="133"/>
      <c r="G31" s="152"/>
      <c r="H31" s="133"/>
      <c r="I31" s="129"/>
    </row>
    <row r="32" spans="1:10" x14ac:dyDescent="0.35">
      <c r="A32" s="41">
        <f t="shared" si="0"/>
        <v>17</v>
      </c>
      <c r="B32" t="s">
        <v>234</v>
      </c>
      <c r="C32" s="127">
        <f>1114+25</f>
        <v>1139</v>
      </c>
      <c r="D32" s="127">
        <f>12*(375+12000-125)/G32</f>
        <v>1176</v>
      </c>
      <c r="E32" s="127"/>
      <c r="F32" s="127">
        <f t="shared" ref="F32:F35" si="4">+D32-C32</f>
        <v>37</v>
      </c>
      <c r="G32" s="154">
        <v>125</v>
      </c>
      <c r="H32" s="128"/>
      <c r="I32" s="129">
        <f>+F32*G32</f>
        <v>4625</v>
      </c>
    </row>
    <row r="33" spans="1:10" x14ac:dyDescent="0.35">
      <c r="A33" s="41">
        <f t="shared" si="0"/>
        <v>18</v>
      </c>
      <c r="B33" t="s">
        <v>162</v>
      </c>
      <c r="C33" s="127">
        <f>5555829+3537255+196091</f>
        <v>9289175</v>
      </c>
      <c r="D33" s="127">
        <f>+C33*D32/C32</f>
        <v>9590930.4653204568</v>
      </c>
      <c r="E33" s="127"/>
      <c r="F33" s="127">
        <f t="shared" si="4"/>
        <v>301755.46532045677</v>
      </c>
      <c r="G33" s="153">
        <v>0.16163</v>
      </c>
      <c r="H33" s="130"/>
      <c r="I33" s="129">
        <f t="shared" ref="I33:I34" si="5">+F33*G33</f>
        <v>48772.735859745429</v>
      </c>
    </row>
    <row r="34" spans="1:10" x14ac:dyDescent="0.35">
      <c r="A34" s="41">
        <f t="shared" si="0"/>
        <v>19</v>
      </c>
      <c r="B34" t="s">
        <v>163</v>
      </c>
      <c r="C34" s="127">
        <f>2590800+1786108+191798+33924</f>
        <v>4602630</v>
      </c>
      <c r="D34" s="127">
        <f>+C34*D32/C32</f>
        <v>4752144.7585601406</v>
      </c>
      <c r="E34" s="127"/>
      <c r="F34" s="127">
        <f t="shared" si="4"/>
        <v>149514.75856014062</v>
      </c>
      <c r="G34" s="153">
        <v>0.12539</v>
      </c>
      <c r="H34" s="130"/>
      <c r="I34" s="129">
        <f t="shared" si="5"/>
        <v>18747.655575856032</v>
      </c>
    </row>
    <row r="35" spans="1:10" x14ac:dyDescent="0.35">
      <c r="A35" s="41">
        <f t="shared" si="0"/>
        <v>20</v>
      </c>
      <c r="B35" t="s">
        <v>164</v>
      </c>
      <c r="C35" s="127">
        <f>641898+177464</f>
        <v>819362</v>
      </c>
      <c r="D35" s="127">
        <f>+C35*D32/C32</f>
        <v>845978.67603160662</v>
      </c>
      <c r="E35" s="127"/>
      <c r="F35" s="127">
        <f t="shared" si="4"/>
        <v>26616.676031606621</v>
      </c>
      <c r="G35" s="153">
        <v>3.5740000000000001E-2</v>
      </c>
      <c r="H35" s="130"/>
      <c r="I35" s="131">
        <f>+F35*G35</f>
        <v>951.28000136962066</v>
      </c>
    </row>
    <row r="36" spans="1:10" x14ac:dyDescent="0.35">
      <c r="A36" s="41"/>
      <c r="C36" s="132"/>
      <c r="D36" s="133"/>
      <c r="E36" s="133"/>
      <c r="F36" s="133"/>
      <c r="G36" s="152"/>
      <c r="H36" s="133"/>
      <c r="I36" s="129">
        <f>SUM(I32:I35)</f>
        <v>73096.671436971083</v>
      </c>
    </row>
    <row r="37" spans="1:10" x14ac:dyDescent="0.35">
      <c r="A37" s="41">
        <v>21</v>
      </c>
      <c r="B37" t="s">
        <v>392</v>
      </c>
      <c r="C37" s="132"/>
      <c r="D37" s="134">
        <f>+SUM(D33:D35)</f>
        <v>15189053.899912203</v>
      </c>
      <c r="E37" s="134"/>
      <c r="F37" s="133"/>
      <c r="G37" s="153">
        <v>1.5399999999999999E-3</v>
      </c>
      <c r="H37" s="130"/>
      <c r="I37" s="129">
        <f>+D37*G37</f>
        <v>23391.143005864789</v>
      </c>
      <c r="J37" s="82">
        <f>+SUM(C33:C35)*G37</f>
        <v>22655.197179999999</v>
      </c>
    </row>
    <row r="38" spans="1:10" x14ac:dyDescent="0.35">
      <c r="A38" s="41"/>
      <c r="C38" s="133"/>
      <c r="D38" s="133"/>
      <c r="E38" s="133"/>
      <c r="F38" s="133"/>
      <c r="G38" s="152"/>
      <c r="H38" s="133"/>
      <c r="I38" s="129"/>
    </row>
    <row r="39" spans="1:10" x14ac:dyDescent="0.35">
      <c r="A39" s="41">
        <v>22</v>
      </c>
      <c r="B39" s="80" t="s">
        <v>165</v>
      </c>
      <c r="C39" s="135"/>
      <c r="D39" s="133"/>
      <c r="E39" s="133"/>
      <c r="F39" s="133"/>
      <c r="G39" s="152"/>
      <c r="H39" s="133"/>
      <c r="I39" s="129"/>
    </row>
    <row r="40" spans="1:10" x14ac:dyDescent="0.35">
      <c r="A40" s="41">
        <f t="shared" si="0"/>
        <v>23</v>
      </c>
      <c r="B40" t="s">
        <v>234</v>
      </c>
      <c r="C40" s="127">
        <v>84</v>
      </c>
      <c r="D40" s="127">
        <f>12*(1141)/G40</f>
        <v>84</v>
      </c>
      <c r="E40" s="127"/>
      <c r="F40" s="127">
        <f t="shared" ref="F40:F42" si="6">+D40-C40</f>
        <v>0</v>
      </c>
      <c r="G40" s="154">
        <v>163</v>
      </c>
      <c r="H40" s="128"/>
      <c r="I40" s="129">
        <f>+F40*G40</f>
        <v>0</v>
      </c>
    </row>
    <row r="41" spans="1:10" x14ac:dyDescent="0.35">
      <c r="A41" s="41">
        <f t="shared" si="0"/>
        <v>24</v>
      </c>
      <c r="B41" t="s">
        <v>166</v>
      </c>
      <c r="C41" s="127">
        <f>595981+503297</f>
        <v>1099278</v>
      </c>
      <c r="D41" s="127">
        <f>+C41*D40/C40</f>
        <v>1099278</v>
      </c>
      <c r="E41" s="127"/>
      <c r="F41" s="127">
        <f t="shared" si="6"/>
        <v>0</v>
      </c>
      <c r="G41" s="153">
        <v>9.0410000000000004E-2</v>
      </c>
      <c r="H41" s="130"/>
      <c r="I41" s="129">
        <f t="shared" ref="I41" si="7">+F41*G41</f>
        <v>0</v>
      </c>
    </row>
    <row r="42" spans="1:10" x14ac:dyDescent="0.35">
      <c r="A42" s="41">
        <f t="shared" si="0"/>
        <v>25</v>
      </c>
      <c r="B42" t="s">
        <v>167</v>
      </c>
      <c r="C42" s="127">
        <f>695939+322390</f>
        <v>1018329</v>
      </c>
      <c r="D42" s="127">
        <f>+C42*D40/C40</f>
        <v>1018329</v>
      </c>
      <c r="E42" s="127"/>
      <c r="F42" s="127">
        <f t="shared" si="6"/>
        <v>0</v>
      </c>
      <c r="G42" s="153">
        <v>2.9229999999999999E-2</v>
      </c>
      <c r="H42" s="130"/>
      <c r="I42" s="131">
        <f>+F42*G42</f>
        <v>0</v>
      </c>
    </row>
    <row r="43" spans="1:10" x14ac:dyDescent="0.35">
      <c r="A43" s="41">
        <f t="shared" si="0"/>
        <v>26</v>
      </c>
      <c r="C43" s="132"/>
      <c r="D43" s="133"/>
      <c r="E43" s="133"/>
      <c r="F43" s="133"/>
      <c r="G43" s="152"/>
      <c r="H43" s="133"/>
      <c r="I43" s="129">
        <f>SUM(I39:I42)</f>
        <v>0</v>
      </c>
    </row>
    <row r="44" spans="1:10" x14ac:dyDescent="0.35">
      <c r="A44" s="41">
        <f t="shared" si="0"/>
        <v>27</v>
      </c>
      <c r="B44" t="s">
        <v>392</v>
      </c>
      <c r="C44" s="132"/>
      <c r="D44" s="134">
        <f>+SUM(D41:D42)</f>
        <v>2117607</v>
      </c>
      <c r="E44" s="134"/>
      <c r="F44" s="133"/>
      <c r="G44" s="153">
        <v>1.8E-3</v>
      </c>
      <c r="H44" s="130"/>
      <c r="I44" s="129">
        <f>+D44*G44</f>
        <v>3811.6925999999999</v>
      </c>
      <c r="J44" s="82">
        <f>+SUM(C40:C42)*G44</f>
        <v>3811.8438000000001</v>
      </c>
    </row>
    <row r="45" spans="1:10" x14ac:dyDescent="0.35">
      <c r="A45" s="41"/>
      <c r="C45" s="132"/>
      <c r="D45" s="133"/>
      <c r="E45" s="133"/>
      <c r="F45" s="133"/>
      <c r="G45" s="152"/>
      <c r="H45" s="133"/>
      <c r="I45" s="129"/>
    </row>
    <row r="46" spans="1:10" ht="16" thickBot="1" x14ac:dyDescent="0.4">
      <c r="A46" s="41">
        <v>28</v>
      </c>
      <c r="B46" t="s">
        <v>235</v>
      </c>
      <c r="C46" s="132"/>
      <c r="D46" s="133"/>
      <c r="E46" s="133"/>
      <c r="F46" s="133"/>
      <c r="G46" s="152"/>
      <c r="H46" s="133"/>
      <c r="I46" s="155">
        <f>+I14+I20+I28+I36+I43</f>
        <v>767109.38551248959</v>
      </c>
    </row>
    <row r="47" spans="1:10" ht="16.5" thickTop="1" thickBot="1" x14ac:dyDescent="0.4">
      <c r="A47" s="41">
        <f t="shared" si="0"/>
        <v>29</v>
      </c>
      <c r="B47" t="s">
        <v>393</v>
      </c>
      <c r="C47" s="132"/>
      <c r="D47" s="133"/>
      <c r="E47" s="133"/>
      <c r="F47" s="133"/>
      <c r="G47" s="152"/>
      <c r="H47" s="133"/>
      <c r="I47" s="155">
        <f>+I15+I21+I29+I37+I45</f>
        <v>1063044.5198752312</v>
      </c>
      <c r="J47" s="85">
        <f>+J15+J21+J29+J37+J45</f>
        <v>1053381.2728799998</v>
      </c>
    </row>
    <row r="48" spans="1:10" ht="16" thickTop="1" x14ac:dyDescent="0.35">
      <c r="A48" s="41"/>
      <c r="C48" s="132"/>
      <c r="D48" s="133"/>
      <c r="E48" s="133"/>
      <c r="F48" s="133"/>
      <c r="G48" s="152"/>
      <c r="H48" s="133"/>
      <c r="I48" s="141"/>
      <c r="J48" s="142"/>
    </row>
    <row r="49" spans="1:14" x14ac:dyDescent="0.35">
      <c r="A49" s="41">
        <f>+A47+1</f>
        <v>30</v>
      </c>
      <c r="B49" s="80" t="s">
        <v>169</v>
      </c>
      <c r="C49" s="136"/>
      <c r="D49" s="133"/>
      <c r="E49" s="133"/>
      <c r="F49" s="133"/>
      <c r="G49" s="152"/>
      <c r="H49" s="133"/>
      <c r="I49" s="129"/>
    </row>
    <row r="50" spans="1:14" x14ac:dyDescent="0.35">
      <c r="A50" s="41">
        <f t="shared" si="0"/>
        <v>31</v>
      </c>
      <c r="C50" s="127">
        <f>2303+12+12+12</f>
        <v>2339</v>
      </c>
      <c r="D50" s="127">
        <f>12*(120625+625+625+625)/G50</f>
        <v>2352</v>
      </c>
      <c r="E50" s="127"/>
      <c r="F50" s="127">
        <f t="shared" ref="F50:F56" si="8">+D50-C50</f>
        <v>13</v>
      </c>
      <c r="G50" s="154">
        <v>625</v>
      </c>
      <c r="H50" s="128"/>
      <c r="I50" s="129">
        <f>+F50*G50</f>
        <v>8125</v>
      </c>
    </row>
    <row r="51" spans="1:14" x14ac:dyDescent="0.35">
      <c r="A51" s="41">
        <f t="shared" si="0"/>
        <v>32</v>
      </c>
      <c r="C51" s="127">
        <f>25146760+6240000</f>
        <v>31386760</v>
      </c>
      <c r="D51" s="127">
        <f>12*(419359+104000)/G51</f>
        <v>31401540</v>
      </c>
      <c r="E51" s="127"/>
      <c r="F51" s="127">
        <f t="shared" si="8"/>
        <v>14780</v>
      </c>
      <c r="G51" s="154">
        <v>0.2</v>
      </c>
      <c r="H51" s="128"/>
      <c r="I51" s="129">
        <f t="shared" ref="I51:I54" si="9">+F51*G51</f>
        <v>2956</v>
      </c>
    </row>
    <row r="52" spans="1:14" x14ac:dyDescent="0.35">
      <c r="A52" s="41">
        <f t="shared" si="0"/>
        <v>33</v>
      </c>
      <c r="C52" s="127">
        <f>546183550+115557200+7669550+45616000</f>
        <v>715026300</v>
      </c>
      <c r="D52" s="127">
        <f>+SUM(D53:D56)</f>
        <v>717096073.22103465</v>
      </c>
      <c r="E52" s="127"/>
      <c r="F52" s="127">
        <f t="shared" si="8"/>
        <v>2069773.221034646</v>
      </c>
      <c r="G52" s="153">
        <v>4.0000000000000002E-4</v>
      </c>
      <c r="H52" s="130"/>
      <c r="I52" s="129">
        <f t="shared" si="9"/>
        <v>827.90928841385846</v>
      </c>
    </row>
    <row r="53" spans="1:14" x14ac:dyDescent="0.35">
      <c r="A53" s="41">
        <f t="shared" si="0"/>
        <v>34</v>
      </c>
      <c r="B53" t="s">
        <v>170</v>
      </c>
      <c r="C53" s="127">
        <f>49445083+48415610+600000+566817+600000+599817+600000+599817</f>
        <v>101427144</v>
      </c>
      <c r="D53" s="127">
        <f>+D$50*C53/C$50</f>
        <v>101990869.04147072</v>
      </c>
      <c r="E53" s="127"/>
      <c r="F53" s="127">
        <f t="shared" si="8"/>
        <v>563725.04147072136</v>
      </c>
      <c r="G53" s="153">
        <v>0.06</v>
      </c>
      <c r="H53" s="130"/>
      <c r="I53" s="129">
        <f t="shared" si="9"/>
        <v>33823.502488243277</v>
      </c>
    </row>
    <row r="54" spans="1:14" x14ac:dyDescent="0.35">
      <c r="A54" s="41">
        <f t="shared" si="0"/>
        <v>35</v>
      </c>
      <c r="B54" t="s">
        <v>171</v>
      </c>
      <c r="C54" s="127">
        <f>33950223+32740033+1200000+1197598+1200000+1197598+1152622+1197598</f>
        <v>73835672</v>
      </c>
      <c r="D54" s="127">
        <f t="shared" ref="D54:D56" si="10">+D$50*C54/C$50</f>
        <v>74246045.551090211</v>
      </c>
      <c r="E54" s="127"/>
      <c r="F54" s="127">
        <f t="shared" si="8"/>
        <v>410373.55109021068</v>
      </c>
      <c r="G54" s="153">
        <v>2.3310000000000001E-2</v>
      </c>
      <c r="H54" s="130"/>
      <c r="I54" s="129">
        <f t="shared" si="9"/>
        <v>9565.8074759128103</v>
      </c>
    </row>
    <row r="55" spans="1:14" x14ac:dyDescent="0.35">
      <c r="A55" s="41">
        <f t="shared" si="0"/>
        <v>36</v>
      </c>
      <c r="B55" t="s">
        <v>171</v>
      </c>
      <c r="C55" s="127">
        <f>16458487+16278116+1200000+1195748+1200000+775394+1000000+1195748</f>
        <v>39303493</v>
      </c>
      <c r="D55" s="127">
        <f t="shared" si="10"/>
        <v>39521939.091919623</v>
      </c>
      <c r="E55" s="127"/>
      <c r="F55" s="127">
        <f t="shared" si="8"/>
        <v>218446.09191962332</v>
      </c>
      <c r="G55" s="153">
        <v>1.5049999999999999E-2</v>
      </c>
      <c r="H55" s="130"/>
      <c r="I55" s="129">
        <f>+F55*G55</f>
        <v>3287.6136833903306</v>
      </c>
    </row>
    <row r="56" spans="1:14" x14ac:dyDescent="0.35">
      <c r="A56" s="41">
        <f t="shared" si="0"/>
        <v>37</v>
      </c>
      <c r="B56" t="s">
        <v>172</v>
      </c>
      <c r="C56" s="127">
        <f>175793787+171833647+46491766+62695759+1641105+451334+12597736+27061089</f>
        <v>498566223</v>
      </c>
      <c r="D56" s="127">
        <f t="shared" si="10"/>
        <v>501337219.5365541</v>
      </c>
      <c r="E56" s="127"/>
      <c r="F56" s="127">
        <f t="shared" si="8"/>
        <v>2770996.5365540981</v>
      </c>
      <c r="G56" s="153">
        <v>8.3300000000000006E-3</v>
      </c>
      <c r="H56" s="130"/>
      <c r="I56" s="131">
        <f>+F56*G56</f>
        <v>23082.401149495639</v>
      </c>
      <c r="N56" s="23"/>
    </row>
    <row r="57" spans="1:14" x14ac:dyDescent="0.35">
      <c r="A57" s="41">
        <f t="shared" si="0"/>
        <v>38</v>
      </c>
      <c r="C57" s="132"/>
      <c r="D57" s="133"/>
      <c r="E57" s="133"/>
      <c r="F57" s="133"/>
      <c r="G57" s="152"/>
      <c r="H57" s="133"/>
      <c r="I57" s="156">
        <f>SUM(I50:I56)</f>
        <v>81668.234085455915</v>
      </c>
    </row>
    <row r="58" spans="1:14" x14ac:dyDescent="0.35">
      <c r="A58" s="41">
        <f t="shared" si="0"/>
        <v>39</v>
      </c>
      <c r="B58" t="s">
        <v>392</v>
      </c>
      <c r="C58" s="132"/>
      <c r="D58" s="134">
        <f>+SUM(D53:D56)</f>
        <v>717096073.22103465</v>
      </c>
      <c r="E58" s="134"/>
      <c r="F58" s="133"/>
      <c r="G58" s="153">
        <v>5.1999999999999995E-4</v>
      </c>
      <c r="H58" s="130"/>
      <c r="I58" s="129">
        <f>+D58*G58</f>
        <v>372889.95807493798</v>
      </c>
      <c r="J58" s="82">
        <f>+SUM(C53:C56)*G58</f>
        <v>370828.91663999995</v>
      </c>
    </row>
    <row r="59" spans="1:14" x14ac:dyDescent="0.35">
      <c r="A59" s="41"/>
      <c r="C59" s="133"/>
      <c r="D59" s="133"/>
      <c r="E59" s="133"/>
      <c r="F59" s="133"/>
      <c r="G59" s="138"/>
      <c r="H59" s="133"/>
      <c r="I59" s="129"/>
    </row>
    <row r="60" spans="1:14" ht="16" thickBot="1" x14ac:dyDescent="0.4">
      <c r="A60" s="41">
        <v>40</v>
      </c>
      <c r="B60" t="s">
        <v>236</v>
      </c>
      <c r="C60" s="133"/>
      <c r="D60" s="133"/>
      <c r="E60" s="133"/>
      <c r="F60" s="133"/>
      <c r="G60" s="133"/>
      <c r="H60" s="133"/>
      <c r="I60" s="155">
        <f>+I57</f>
        <v>81668.234085455915</v>
      </c>
      <c r="J60" s="85"/>
    </row>
    <row r="61" spans="1:14" ht="16.5" thickTop="1" thickBot="1" x14ac:dyDescent="0.4">
      <c r="A61" s="41">
        <f t="shared" si="0"/>
        <v>41</v>
      </c>
      <c r="B61" t="s">
        <v>394</v>
      </c>
      <c r="C61" s="133"/>
      <c r="D61" s="133"/>
      <c r="E61" s="133"/>
      <c r="F61" s="133"/>
      <c r="G61" s="133"/>
      <c r="H61" s="133"/>
      <c r="I61" s="155">
        <f>+I58</f>
        <v>372889.95807493798</v>
      </c>
      <c r="J61" s="85">
        <f>+J58</f>
        <v>370828.91663999995</v>
      </c>
    </row>
    <row r="62" spans="1:14" ht="16" thickTop="1" x14ac:dyDescent="0.35">
      <c r="A62" s="41">
        <f t="shared" si="0"/>
        <v>42</v>
      </c>
      <c r="B62" t="s">
        <v>237</v>
      </c>
      <c r="C62" s="133"/>
      <c r="D62" s="133"/>
      <c r="E62" s="133"/>
      <c r="F62" s="133"/>
      <c r="G62" s="133"/>
      <c r="H62" s="133"/>
      <c r="I62" s="133"/>
    </row>
    <row r="63" spans="1:14" x14ac:dyDescent="0.35">
      <c r="A63" s="41"/>
      <c r="C63" s="133"/>
      <c r="D63" s="133"/>
      <c r="E63" s="133"/>
      <c r="F63" s="137">
        <v>2021</v>
      </c>
      <c r="G63" s="133"/>
      <c r="H63" s="133"/>
      <c r="I63" s="133"/>
    </row>
    <row r="64" spans="1:14" x14ac:dyDescent="0.35">
      <c r="A64" s="41">
        <v>43</v>
      </c>
      <c r="B64" t="s">
        <v>400</v>
      </c>
      <c r="C64" s="133"/>
      <c r="D64" s="139" t="s">
        <v>401</v>
      </c>
      <c r="E64" s="139"/>
      <c r="F64" s="140" t="s">
        <v>231</v>
      </c>
      <c r="G64" s="133"/>
      <c r="H64" s="133"/>
      <c r="I64" s="133"/>
    </row>
    <row r="65" spans="1:10" x14ac:dyDescent="0.35">
      <c r="A65" s="41">
        <f t="shared" si="0"/>
        <v>44</v>
      </c>
      <c r="B65" t="s">
        <v>138</v>
      </c>
      <c r="C65" s="133"/>
      <c r="D65" s="129">
        <f>+I47</f>
        <v>1063044.5198752312</v>
      </c>
      <c r="E65" s="129"/>
      <c r="F65" s="129">
        <f>+D71</f>
        <v>1053381.2728799998</v>
      </c>
      <c r="G65" s="129"/>
      <c r="H65" s="129"/>
      <c r="I65" s="129">
        <f>+D65-F65</f>
        <v>9663.2469952313695</v>
      </c>
      <c r="J65" s="23"/>
    </row>
    <row r="66" spans="1:10" x14ac:dyDescent="0.35">
      <c r="A66" s="41">
        <f t="shared" si="0"/>
        <v>45</v>
      </c>
      <c r="B66" t="s">
        <v>396</v>
      </c>
      <c r="C66" s="133"/>
      <c r="D66" s="131">
        <f>+I61</f>
        <v>372889.95807493798</v>
      </c>
      <c r="E66" s="131"/>
      <c r="F66" s="131">
        <f>+D72</f>
        <v>370828.91663999995</v>
      </c>
      <c r="G66" s="129"/>
      <c r="H66" s="129"/>
      <c r="I66" s="131">
        <f>+D66-F66</f>
        <v>2061.0414349380299</v>
      </c>
      <c r="J66" s="24"/>
    </row>
    <row r="67" spans="1:10" x14ac:dyDescent="0.35">
      <c r="A67" s="41">
        <f t="shared" si="0"/>
        <v>46</v>
      </c>
      <c r="B67" t="s">
        <v>26</v>
      </c>
      <c r="C67" s="133"/>
      <c r="D67" s="129">
        <f t="shared" ref="D67:F67" si="11">SUM(D65:D66)</f>
        <v>1435934.4779501692</v>
      </c>
      <c r="E67" s="129"/>
      <c r="F67" s="129">
        <f t="shared" si="11"/>
        <v>1424210.1895199998</v>
      </c>
      <c r="G67" s="133"/>
      <c r="H67" s="133"/>
      <c r="I67" s="129">
        <f>SUM(I65:I66)</f>
        <v>11724.288430169399</v>
      </c>
      <c r="J67" s="23"/>
    </row>
    <row r="68" spans="1:10" x14ac:dyDescent="0.35">
      <c r="A68" s="41"/>
      <c r="C68" s="133"/>
      <c r="D68" s="133"/>
      <c r="E68" s="133"/>
      <c r="F68" s="133"/>
      <c r="G68" s="133"/>
      <c r="H68" s="133"/>
      <c r="I68" s="133"/>
    </row>
    <row r="69" spans="1:10" x14ac:dyDescent="0.35">
      <c r="A69" s="41">
        <v>47</v>
      </c>
      <c r="C69" s="133"/>
      <c r="D69" s="133"/>
      <c r="E69" s="133"/>
      <c r="F69" s="137">
        <v>2021</v>
      </c>
      <c r="G69" s="133"/>
      <c r="H69" s="133"/>
      <c r="I69" s="133"/>
    </row>
    <row r="70" spans="1:10" x14ac:dyDescent="0.35">
      <c r="A70" s="41">
        <f t="shared" si="0"/>
        <v>48</v>
      </c>
      <c r="B70" t="s">
        <v>395</v>
      </c>
      <c r="C70" s="133"/>
      <c r="D70" s="133" t="s">
        <v>402</v>
      </c>
      <c r="E70" s="133"/>
      <c r="F70" s="137" t="s">
        <v>399</v>
      </c>
      <c r="G70" s="133"/>
      <c r="H70" s="133"/>
      <c r="I70" s="133"/>
    </row>
    <row r="71" spans="1:10" x14ac:dyDescent="0.35">
      <c r="A71" s="41">
        <f t="shared" si="0"/>
        <v>49</v>
      </c>
      <c r="B71" t="s">
        <v>138</v>
      </c>
      <c r="C71" s="133"/>
      <c r="D71" s="129">
        <f>+J47</f>
        <v>1053381.2728799998</v>
      </c>
      <c r="E71" s="129"/>
      <c r="F71" s="129">
        <v>1512111.3699999999</v>
      </c>
      <c r="G71" s="129"/>
      <c r="H71" s="129"/>
      <c r="I71" s="129">
        <f>+D71-F71</f>
        <v>-458730.09712000005</v>
      </c>
      <c r="J71" s="82"/>
    </row>
    <row r="72" spans="1:10" x14ac:dyDescent="0.35">
      <c r="A72" s="41">
        <f t="shared" si="0"/>
        <v>50</v>
      </c>
      <c r="B72" t="s">
        <v>396</v>
      </c>
      <c r="C72" s="133"/>
      <c r="D72" s="131">
        <f>+J61</f>
        <v>370828.91663999995</v>
      </c>
      <c r="E72" s="131"/>
      <c r="F72" s="131">
        <v>494800.55999999994</v>
      </c>
      <c r="G72" s="129"/>
      <c r="H72" s="129"/>
      <c r="I72" s="131">
        <f>+D72-F72</f>
        <v>-123971.64335999999</v>
      </c>
      <c r="J72" s="23"/>
    </row>
    <row r="73" spans="1:10" ht="16" thickBot="1" x14ac:dyDescent="0.4">
      <c r="A73" s="41">
        <f t="shared" si="0"/>
        <v>51</v>
      </c>
      <c r="B73" t="s">
        <v>26</v>
      </c>
      <c r="C73" s="133"/>
      <c r="D73" s="129">
        <f t="shared" ref="D73" si="12">SUM(D71:D72)</f>
        <v>1424210.1895199998</v>
      </c>
      <c r="E73" s="129"/>
      <c r="F73" s="129">
        <f t="shared" ref="F73" si="13">SUM(F71:F72)</f>
        <v>2006911.9299999997</v>
      </c>
      <c r="G73" s="133"/>
      <c r="H73" s="133"/>
      <c r="I73" s="151">
        <f>SUM(I71:I72)</f>
        <v>-582701.74048000004</v>
      </c>
    </row>
    <row r="74" spans="1:10" ht="16" thickTop="1" x14ac:dyDescent="0.35">
      <c r="C74" s="133"/>
      <c r="D74" s="133"/>
      <c r="E74" s="133"/>
      <c r="F74" s="133"/>
      <c r="G74" s="133"/>
      <c r="H74" s="133"/>
      <c r="I74" s="133"/>
    </row>
    <row r="75" spans="1:10" x14ac:dyDescent="0.35">
      <c r="C75" s="133"/>
      <c r="D75" s="133"/>
      <c r="E75" s="133"/>
      <c r="F75" s="133"/>
      <c r="G75" s="133"/>
      <c r="H75" s="133"/>
      <c r="I75" s="133"/>
    </row>
    <row r="76" spans="1:10" x14ac:dyDescent="0.35">
      <c r="C76" s="133"/>
      <c r="D76" s="133"/>
      <c r="E76" s="133"/>
      <c r="F76" s="133"/>
      <c r="G76" s="133"/>
      <c r="H76" s="133"/>
      <c r="I76" s="133"/>
    </row>
    <row r="77" spans="1:10" x14ac:dyDescent="0.35">
      <c r="C77" s="133"/>
      <c r="D77" s="133"/>
      <c r="E77" s="133"/>
      <c r="F77" s="133"/>
      <c r="G77" s="133"/>
      <c r="H77" s="133"/>
      <c r="I77" s="133"/>
    </row>
    <row r="78" spans="1:10" x14ac:dyDescent="0.35">
      <c r="C78" s="133"/>
      <c r="D78" s="133"/>
      <c r="E78" s="133"/>
      <c r="F78" s="133"/>
      <c r="G78" s="133"/>
      <c r="H78" s="133"/>
      <c r="I78" s="133"/>
    </row>
    <row r="79" spans="1:10" x14ac:dyDescent="0.35">
      <c r="C79" s="133"/>
      <c r="D79" s="133"/>
      <c r="E79" s="133"/>
      <c r="F79" s="133"/>
      <c r="G79" s="133"/>
      <c r="H79" s="133"/>
      <c r="I79" s="133"/>
    </row>
    <row r="80" spans="1:10" x14ac:dyDescent="0.35">
      <c r="C80" s="133"/>
      <c r="D80" s="133"/>
      <c r="E80" s="133"/>
      <c r="F80" s="133"/>
      <c r="G80" s="133"/>
      <c r="H80" s="133"/>
      <c r="I80" s="133"/>
    </row>
    <row r="81" spans="3:9" x14ac:dyDescent="0.35">
      <c r="C81" s="133"/>
      <c r="D81" s="133"/>
      <c r="E81" s="133"/>
      <c r="F81" s="133"/>
      <c r="G81" s="133"/>
      <c r="H81" s="133"/>
      <c r="I81" s="133"/>
    </row>
    <row r="82" spans="3:9" x14ac:dyDescent="0.35">
      <c r="C82" s="133"/>
      <c r="D82" s="133"/>
      <c r="E82" s="133"/>
      <c r="F82" s="133"/>
      <c r="G82" s="133"/>
      <c r="H82" s="133"/>
      <c r="I82" s="133"/>
    </row>
    <row r="83" spans="3:9" x14ac:dyDescent="0.35">
      <c r="C83" s="133"/>
      <c r="D83" s="133"/>
      <c r="E83" s="133"/>
      <c r="F83" s="133"/>
      <c r="G83" s="133"/>
      <c r="H83" s="133"/>
      <c r="I83" s="133"/>
    </row>
    <row r="84" spans="3:9" x14ac:dyDescent="0.35">
      <c r="C84" s="133"/>
      <c r="D84" s="133"/>
      <c r="E84" s="133"/>
      <c r="F84" s="133"/>
      <c r="G84" s="133"/>
      <c r="H84" s="133"/>
      <c r="I84" s="133"/>
    </row>
  </sheetData>
  <mergeCells count="4">
    <mergeCell ref="C7:F7"/>
    <mergeCell ref="A4:I4"/>
    <mergeCell ref="A5:I5"/>
    <mergeCell ref="A6:I6"/>
  </mergeCells>
  <printOptions horizontalCentered="1"/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I23" sqref="I23"/>
    </sheetView>
  </sheetViews>
  <sheetFormatPr defaultRowHeight="15.5" x14ac:dyDescent="0.35"/>
  <cols>
    <col min="1" max="1" width="6.25" bestFit="1" customWidth="1"/>
    <col min="2" max="2" width="33.08203125" customWidth="1"/>
    <col min="3" max="3" width="15.08203125" customWidth="1"/>
    <col min="4" max="4" width="7.5" bestFit="1" customWidth="1"/>
    <col min="5" max="5" width="12.83203125" customWidth="1"/>
    <col min="6" max="6" width="1.58203125" customWidth="1"/>
    <col min="7" max="7" width="12.83203125" customWidth="1"/>
    <col min="8" max="8" width="1.25" customWidth="1"/>
    <col min="9" max="9" width="14.7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107</v>
      </c>
    </row>
    <row r="3" spans="1:9" x14ac:dyDescent="0.35">
      <c r="A3" s="4"/>
      <c r="I3" s="113" t="s">
        <v>458</v>
      </c>
    </row>
    <row r="4" spans="1:9" x14ac:dyDescent="0.35">
      <c r="A4" s="4"/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454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4"/>
    </row>
    <row r="9" spans="1:9" x14ac:dyDescent="0.35">
      <c r="A9" s="4"/>
      <c r="D9" s="77"/>
    </row>
    <row r="10" spans="1:9" x14ac:dyDescent="0.35">
      <c r="A10" s="77"/>
      <c r="B10" s="77"/>
      <c r="C10" s="77"/>
      <c r="D10" s="77"/>
      <c r="H10" s="77"/>
      <c r="I10" s="77" t="s">
        <v>27</v>
      </c>
    </row>
    <row r="11" spans="1:9" x14ac:dyDescent="0.35">
      <c r="A11" s="77" t="s">
        <v>7</v>
      </c>
      <c r="B11" s="77"/>
      <c r="C11" s="77"/>
      <c r="D11" s="77"/>
      <c r="E11" s="77" t="s">
        <v>34</v>
      </c>
      <c r="G11" s="77" t="s">
        <v>63</v>
      </c>
      <c r="H11" s="77"/>
      <c r="I11" s="77" t="s">
        <v>95</v>
      </c>
    </row>
    <row r="12" spans="1:9" x14ac:dyDescent="0.35">
      <c r="A12" s="76" t="s">
        <v>10</v>
      </c>
      <c r="B12" s="76" t="s">
        <v>11</v>
      </c>
      <c r="C12" s="76" t="s">
        <v>37</v>
      </c>
      <c r="D12" s="76"/>
      <c r="E12" s="76" t="s">
        <v>27</v>
      </c>
      <c r="F12" s="72"/>
      <c r="G12" s="76" t="s">
        <v>27</v>
      </c>
      <c r="H12" s="57"/>
      <c r="I12" s="57" t="s">
        <v>96</v>
      </c>
    </row>
    <row r="13" spans="1:9" x14ac:dyDescent="0.35">
      <c r="A13" s="77"/>
    </row>
    <row r="14" spans="1:9" ht="16" thickBot="1" x14ac:dyDescent="0.4">
      <c r="A14" s="41">
        <v>1</v>
      </c>
      <c r="B14" t="s">
        <v>239</v>
      </c>
      <c r="C14" s="41" t="s">
        <v>472</v>
      </c>
      <c r="E14" s="18">
        <f>+'WP MEG-11.1 2021 EOP Rate Base'!I19</f>
        <v>25725843</v>
      </c>
      <c r="G14" s="18">
        <f>+'WP MEG-10.1 2021 Customer Growt'!K46+'WP MEG-10.1 2021 Customer Growt'!K60</f>
        <v>0</v>
      </c>
      <c r="H14" s="3"/>
      <c r="I14" s="18">
        <f>+E14-G14</f>
        <v>25725843</v>
      </c>
    </row>
    <row r="15" spans="1:9" ht="16" thickTop="1" x14ac:dyDescent="0.35"/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C1" workbookViewId="0">
      <selection activeCell="B22" sqref="B22:B23"/>
    </sheetView>
  </sheetViews>
  <sheetFormatPr defaultRowHeight="15.5" x14ac:dyDescent="0.35"/>
  <cols>
    <col min="1" max="1" width="6.25" bestFit="1" customWidth="1"/>
    <col min="2" max="2" width="36" customWidth="1"/>
    <col min="3" max="3" width="3.08203125" customWidth="1"/>
    <col min="4" max="4" width="11.5" customWidth="1"/>
    <col min="5" max="5" width="14.75" bestFit="1" customWidth="1"/>
    <col min="6" max="6" width="1.58203125" customWidth="1"/>
    <col min="7" max="7" width="17.33203125" customWidth="1"/>
    <col min="8" max="8" width="2.75" customWidth="1"/>
    <col min="9" max="9" width="18.5820312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447</v>
      </c>
    </row>
    <row r="3" spans="1:9" x14ac:dyDescent="0.35">
      <c r="A3" s="4"/>
      <c r="I3" s="29" t="s">
        <v>106</v>
      </c>
    </row>
    <row r="4" spans="1:9" x14ac:dyDescent="0.35">
      <c r="A4" s="168" t="s">
        <v>146</v>
      </c>
      <c r="B4" s="168"/>
      <c r="C4" s="168"/>
      <c r="D4" s="168"/>
      <c r="E4" s="168"/>
      <c r="F4" s="168"/>
      <c r="G4" s="168"/>
      <c r="H4" s="168"/>
      <c r="I4" s="168"/>
    </row>
    <row r="5" spans="1:9" x14ac:dyDescent="0.35">
      <c r="A5" s="169" t="s">
        <v>482</v>
      </c>
      <c r="B5" s="169"/>
      <c r="C5" s="169"/>
      <c r="D5" s="169"/>
      <c r="E5" s="169"/>
      <c r="F5" s="169"/>
      <c r="G5" s="169"/>
      <c r="H5" s="169"/>
      <c r="I5" s="169"/>
    </row>
    <row r="6" spans="1:9" x14ac:dyDescent="0.35">
      <c r="A6" s="169" t="s">
        <v>121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4"/>
    </row>
    <row r="8" spans="1:9" x14ac:dyDescent="0.35">
      <c r="A8" s="4"/>
      <c r="D8" s="77"/>
    </row>
    <row r="9" spans="1:9" x14ac:dyDescent="0.35">
      <c r="A9" s="77"/>
      <c r="B9" s="77"/>
      <c r="C9" s="77"/>
      <c r="D9" s="77"/>
      <c r="E9" s="77" t="s">
        <v>34</v>
      </c>
      <c r="G9" s="77" t="s">
        <v>34</v>
      </c>
      <c r="H9" s="77"/>
      <c r="I9" s="77" t="s">
        <v>27</v>
      </c>
    </row>
    <row r="10" spans="1:9" x14ac:dyDescent="0.35">
      <c r="A10" s="77" t="s">
        <v>7</v>
      </c>
      <c r="B10" s="77"/>
      <c r="C10" s="77"/>
      <c r="D10" s="77"/>
      <c r="E10" s="77" t="s">
        <v>231</v>
      </c>
      <c r="G10" s="77" t="s">
        <v>238</v>
      </c>
      <c r="H10" s="77"/>
      <c r="I10" s="77" t="s">
        <v>95</v>
      </c>
    </row>
    <row r="11" spans="1:9" ht="18.5" x14ac:dyDescent="0.35">
      <c r="A11" s="76" t="s">
        <v>10</v>
      </c>
      <c r="B11" s="76" t="s">
        <v>11</v>
      </c>
      <c r="C11" s="76"/>
      <c r="D11" s="76" t="s">
        <v>37</v>
      </c>
      <c r="E11" s="76" t="s">
        <v>412</v>
      </c>
      <c r="F11" s="72"/>
      <c r="G11" s="76" t="s">
        <v>2</v>
      </c>
      <c r="H11" s="57"/>
      <c r="I11" s="57" t="s">
        <v>96</v>
      </c>
    </row>
    <row r="12" spans="1:9" x14ac:dyDescent="0.35">
      <c r="A12" s="77"/>
    </row>
    <row r="13" spans="1:9" x14ac:dyDescent="0.35">
      <c r="A13" s="41">
        <v>1</v>
      </c>
      <c r="B13" t="s">
        <v>13</v>
      </c>
      <c r="C13" s="3"/>
      <c r="D13" s="41" t="s">
        <v>35</v>
      </c>
      <c r="E13" s="31">
        <v>1007229923</v>
      </c>
      <c r="F13" s="20"/>
      <c r="G13" s="31">
        <v>969695975</v>
      </c>
      <c r="H13" s="31"/>
      <c r="I13" s="31">
        <f>+E13-G13</f>
        <v>37533948</v>
      </c>
    </row>
    <row r="14" spans="1:9" x14ac:dyDescent="0.35">
      <c r="A14" s="41">
        <v>2</v>
      </c>
      <c r="B14" t="s">
        <v>31</v>
      </c>
      <c r="D14" s="41" t="s">
        <v>35</v>
      </c>
      <c r="E14" s="19">
        <v>-434998297</v>
      </c>
      <c r="F14" s="20"/>
      <c r="G14" s="19">
        <v>-423226412</v>
      </c>
      <c r="H14" s="20"/>
      <c r="I14" s="19">
        <f>+E14-G14</f>
        <v>-11771885</v>
      </c>
    </row>
    <row r="15" spans="1:9" x14ac:dyDescent="0.35">
      <c r="A15" s="41">
        <v>3</v>
      </c>
      <c r="B15" t="s">
        <v>122</v>
      </c>
      <c r="D15" s="41" t="s">
        <v>132</v>
      </c>
      <c r="E15" s="19">
        <v>-3601231</v>
      </c>
      <c r="F15" s="20"/>
      <c r="G15" s="19">
        <v>-3117367</v>
      </c>
      <c r="H15" s="31"/>
      <c r="I15" s="19">
        <f t="shared" ref="I15:I17" si="0">+E15-G15</f>
        <v>-483864</v>
      </c>
    </row>
    <row r="16" spans="1:9" x14ac:dyDescent="0.35">
      <c r="A16" s="41">
        <v>4</v>
      </c>
      <c r="B16" t="s">
        <v>14</v>
      </c>
      <c r="D16" s="41" t="s">
        <v>132</v>
      </c>
      <c r="E16" s="2">
        <v>-76897699</v>
      </c>
      <c r="G16" s="2">
        <v>-77345343</v>
      </c>
      <c r="I16" s="2">
        <f t="shared" si="0"/>
        <v>447644</v>
      </c>
    </row>
    <row r="17" spans="1:9" x14ac:dyDescent="0.35">
      <c r="A17" s="41">
        <v>5</v>
      </c>
      <c r="B17" t="s">
        <v>134</v>
      </c>
      <c r="E17" s="16">
        <f>+'WP MEG-5.1 2021 AMA'!E19</f>
        <v>20511946</v>
      </c>
      <c r="G17" s="16">
        <f>+E17</f>
        <v>20511946</v>
      </c>
      <c r="I17" s="16">
        <f t="shared" si="0"/>
        <v>0</v>
      </c>
    </row>
    <row r="18" spans="1:9" x14ac:dyDescent="0.35">
      <c r="A18" s="41"/>
    </row>
    <row r="19" spans="1:9" ht="16" thickBot="1" x14ac:dyDescent="0.4">
      <c r="A19" s="41">
        <v>6</v>
      </c>
      <c r="B19" t="s">
        <v>15</v>
      </c>
      <c r="E19" s="18">
        <v>478950090</v>
      </c>
      <c r="G19" s="18">
        <v>478950090</v>
      </c>
      <c r="I19" s="18">
        <f>SUM(I13:I18)</f>
        <v>25725843</v>
      </c>
    </row>
    <row r="20" spans="1:9" ht="16" thickTop="1" x14ac:dyDescent="0.35"/>
    <row r="22" spans="1:9" x14ac:dyDescent="0.35">
      <c r="B22" t="s">
        <v>488</v>
      </c>
    </row>
    <row r="23" spans="1:9" x14ac:dyDescent="0.35">
      <c r="B23" t="s">
        <v>496</v>
      </c>
    </row>
    <row r="27" spans="1:9" x14ac:dyDescent="0.35">
      <c r="I27" s="21"/>
    </row>
  </sheetData>
  <mergeCells count="3">
    <mergeCell ref="A4:I4"/>
    <mergeCell ref="A5:I5"/>
    <mergeCell ref="A6:I6"/>
  </mergeCells>
  <printOptions horizontalCentered="1"/>
  <pageMargins left="0.7" right="0.7" top="0.75" bottom="0.75" header="0.3" footer="0.3"/>
  <pageSetup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10" workbookViewId="0">
      <selection activeCell="N30" sqref="N30"/>
    </sheetView>
  </sheetViews>
  <sheetFormatPr defaultRowHeight="15.5" x14ac:dyDescent="0.35"/>
  <cols>
    <col min="1" max="1" width="6.25" bestFit="1" customWidth="1"/>
    <col min="2" max="2" width="28.33203125" customWidth="1"/>
    <col min="3" max="3" width="15.08203125" customWidth="1"/>
    <col min="4" max="4" width="22.25" customWidth="1"/>
    <col min="5" max="5" width="12.83203125" customWidth="1"/>
    <col min="6" max="6" width="1.58203125" customWidth="1"/>
    <col min="7" max="7" width="12.83203125" customWidth="1"/>
    <col min="8" max="8" width="1.25" customWidth="1"/>
    <col min="9" max="9" width="14.7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386</v>
      </c>
    </row>
    <row r="3" spans="1:9" x14ac:dyDescent="0.35">
      <c r="A3" s="4"/>
      <c r="I3" s="113" t="s">
        <v>458</v>
      </c>
    </row>
    <row r="4" spans="1:9" x14ac:dyDescent="0.35">
      <c r="A4" s="4"/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455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4"/>
    </row>
    <row r="9" spans="1:9" x14ac:dyDescent="0.35">
      <c r="A9" s="4"/>
      <c r="D9" s="77"/>
    </row>
    <row r="10" spans="1:9" x14ac:dyDescent="0.35">
      <c r="A10" s="77"/>
      <c r="B10" s="77"/>
      <c r="C10" s="77"/>
      <c r="D10" s="77"/>
      <c r="H10" s="77"/>
      <c r="I10" s="77" t="s">
        <v>27</v>
      </c>
    </row>
    <row r="11" spans="1:9" x14ac:dyDescent="0.35">
      <c r="A11" s="77" t="s">
        <v>7</v>
      </c>
      <c r="B11" s="77"/>
      <c r="C11" s="77"/>
      <c r="D11" s="77"/>
      <c r="E11" s="77" t="s">
        <v>34</v>
      </c>
      <c r="G11" s="77" t="s">
        <v>63</v>
      </c>
      <c r="H11" s="77"/>
      <c r="I11" s="77" t="s">
        <v>95</v>
      </c>
    </row>
    <row r="12" spans="1:9" x14ac:dyDescent="0.35">
      <c r="A12" s="76" t="s">
        <v>10</v>
      </c>
      <c r="B12" s="76" t="s">
        <v>11</v>
      </c>
      <c r="C12" s="76"/>
      <c r="D12" s="76" t="s">
        <v>37</v>
      </c>
      <c r="E12" s="76" t="s">
        <v>27</v>
      </c>
      <c r="F12" s="72"/>
      <c r="G12" s="76" t="s">
        <v>27</v>
      </c>
      <c r="H12" s="57"/>
      <c r="I12" s="57" t="s">
        <v>96</v>
      </c>
    </row>
    <row r="13" spans="1:9" x14ac:dyDescent="0.35">
      <c r="A13" s="77"/>
    </row>
    <row r="14" spans="1:9" x14ac:dyDescent="0.35">
      <c r="A14" s="41">
        <v>1</v>
      </c>
      <c r="B14" t="s">
        <v>456</v>
      </c>
      <c r="C14" s="3"/>
      <c r="D14" s="41" t="s">
        <v>473</v>
      </c>
      <c r="E14" s="31">
        <f>+'WP MEG-12.1 2021 EOP Depr'!G144</f>
        <v>1090731.3285387494</v>
      </c>
      <c r="F14" s="20"/>
      <c r="G14" s="31">
        <f>+'WP MEG-10.1 2021 Customer Growt'!K46+'WP MEG-10.1 2021 Customer Growt'!K60</f>
        <v>0</v>
      </c>
      <c r="H14" s="31"/>
      <c r="I14" s="31">
        <f>+E14-G14</f>
        <v>1090731.3285387494</v>
      </c>
    </row>
    <row r="15" spans="1:9" x14ac:dyDescent="0.35">
      <c r="A15" s="41"/>
    </row>
    <row r="16" spans="1:9" x14ac:dyDescent="0.35">
      <c r="A16" s="41">
        <v>2</v>
      </c>
      <c r="B16" t="s">
        <v>205</v>
      </c>
      <c r="D16" s="41" t="s">
        <v>474</v>
      </c>
      <c r="E16" s="16">
        <f>-E14*0.21</f>
        <v>-229053.57899313737</v>
      </c>
      <c r="G16" s="16">
        <f>-G14*0.21</f>
        <v>0</v>
      </c>
      <c r="I16" s="16">
        <f>-I14*0.21</f>
        <v>-229053.57899313737</v>
      </c>
    </row>
    <row r="17" spans="1:9" x14ac:dyDescent="0.35">
      <c r="A17" s="41"/>
    </row>
    <row r="18" spans="1:9" x14ac:dyDescent="0.35">
      <c r="A18" s="41">
        <v>3</v>
      </c>
      <c r="B18" t="s">
        <v>36</v>
      </c>
      <c r="E18" s="31">
        <f>+E14+E16</f>
        <v>861677.74954561202</v>
      </c>
      <c r="G18" s="31">
        <f>+G14+G16</f>
        <v>0</v>
      </c>
      <c r="I18" s="31">
        <f>+I14+I16</f>
        <v>861677.74954561202</v>
      </c>
    </row>
    <row r="19" spans="1:9" x14ac:dyDescent="0.35">
      <c r="A19" s="41"/>
    </row>
    <row r="20" spans="1:9" ht="16" thickBot="1" x14ac:dyDescent="0.4">
      <c r="A20" s="41">
        <v>4</v>
      </c>
      <c r="B20" t="s">
        <v>384</v>
      </c>
      <c r="E20" s="18">
        <f>-E18</f>
        <v>-861677.74954561202</v>
      </c>
      <c r="G20" s="18">
        <f>-G18</f>
        <v>0</v>
      </c>
      <c r="H20" s="3"/>
      <c r="I20" s="18">
        <f>-I18</f>
        <v>-861677.74954561202</v>
      </c>
    </row>
    <row r="21" spans="1:9" ht="16" thickTop="1" x14ac:dyDescent="0.35">
      <c r="A21" s="41"/>
    </row>
    <row r="22" spans="1:9" x14ac:dyDescent="0.35">
      <c r="A22" s="41"/>
    </row>
    <row r="23" spans="1:9" x14ac:dyDescent="0.35">
      <c r="A23" s="41"/>
    </row>
    <row r="24" spans="1:9" x14ac:dyDescent="0.35">
      <c r="A24" s="41"/>
    </row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scale="9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8"/>
  <sheetViews>
    <sheetView topLeftCell="A122" workbookViewId="0">
      <selection activeCell="D154" sqref="D154"/>
    </sheetView>
  </sheetViews>
  <sheetFormatPr defaultRowHeight="15.5" x14ac:dyDescent="0.35"/>
  <cols>
    <col min="1" max="1" width="6.5" bestFit="1" customWidth="1"/>
    <col min="2" max="2" width="4.75" bestFit="1" customWidth="1"/>
    <col min="3" max="3" width="33.33203125" bestFit="1" customWidth="1"/>
    <col min="4" max="4" width="17.58203125" customWidth="1"/>
    <col min="5" max="5" width="17.08203125" bestFit="1" customWidth="1"/>
    <col min="6" max="6" width="9.75" bestFit="1" customWidth="1"/>
    <col min="7" max="7" width="14.75" bestFit="1" customWidth="1"/>
  </cols>
  <sheetData>
    <row r="1" spans="1:9" x14ac:dyDescent="0.35">
      <c r="G1" s="29"/>
    </row>
    <row r="2" spans="1:9" x14ac:dyDescent="0.35">
      <c r="G2" s="29"/>
    </row>
    <row r="3" spans="1:9" x14ac:dyDescent="0.35">
      <c r="G3" s="113"/>
    </row>
    <row r="4" spans="1:9" x14ac:dyDescent="0.35">
      <c r="G4" s="29"/>
    </row>
    <row r="5" spans="1:9" x14ac:dyDescent="0.35">
      <c r="A5" s="172" t="s">
        <v>146</v>
      </c>
      <c r="B5" s="172"/>
      <c r="C5" s="172"/>
      <c r="D5" s="172"/>
      <c r="E5" s="172"/>
      <c r="F5" s="172"/>
      <c r="G5" s="172"/>
    </row>
    <row r="6" spans="1:9" x14ac:dyDescent="0.35">
      <c r="A6" s="172" t="s">
        <v>483</v>
      </c>
      <c r="B6" s="172"/>
      <c r="C6" s="172"/>
      <c r="D6" s="172"/>
      <c r="E6" s="172"/>
      <c r="F6" s="172"/>
      <c r="G6" s="172"/>
    </row>
    <row r="7" spans="1:9" x14ac:dyDescent="0.35">
      <c r="A7" s="169" t="s">
        <v>457</v>
      </c>
      <c r="B7" s="169"/>
      <c r="C7" s="169"/>
      <c r="D7" s="169"/>
      <c r="E7" s="169"/>
      <c r="F7" s="169"/>
      <c r="G7" s="169"/>
      <c r="H7" s="110"/>
      <c r="I7" s="110"/>
    </row>
    <row r="9" spans="1:9" x14ac:dyDescent="0.35">
      <c r="A9" s="102" t="s">
        <v>7</v>
      </c>
      <c r="E9" s="77" t="s">
        <v>244</v>
      </c>
      <c r="F9" s="77" t="s">
        <v>245</v>
      </c>
      <c r="G9" s="77" t="s">
        <v>246</v>
      </c>
    </row>
    <row r="10" spans="1:9" x14ac:dyDescent="0.35">
      <c r="A10" s="101" t="s">
        <v>10</v>
      </c>
      <c r="B10" s="72"/>
      <c r="C10" s="105" t="s">
        <v>11</v>
      </c>
      <c r="D10" s="72"/>
      <c r="E10" s="101" t="s">
        <v>247</v>
      </c>
      <c r="F10" s="101" t="s">
        <v>9</v>
      </c>
      <c r="G10" s="101" t="s">
        <v>248</v>
      </c>
    </row>
    <row r="12" spans="1:9" x14ac:dyDescent="0.35">
      <c r="A12" s="41">
        <v>1</v>
      </c>
      <c r="B12" t="s">
        <v>249</v>
      </c>
      <c r="C12" t="s">
        <v>250</v>
      </c>
    </row>
    <row r="13" spans="1:9" x14ac:dyDescent="0.35">
      <c r="A13" s="41">
        <v>2</v>
      </c>
      <c r="C13" t="s">
        <v>251</v>
      </c>
      <c r="D13" s="106" t="s">
        <v>252</v>
      </c>
      <c r="E13" s="144">
        <v>138157.95000000001</v>
      </c>
      <c r="F13" s="145">
        <v>0</v>
      </c>
      <c r="G13" s="144">
        <v>0</v>
      </c>
    </row>
    <row r="14" spans="1:9" x14ac:dyDescent="0.35">
      <c r="A14" s="41">
        <v>3</v>
      </c>
      <c r="C14" t="s">
        <v>253</v>
      </c>
      <c r="D14" s="106" t="s">
        <v>252</v>
      </c>
      <c r="E14" s="2">
        <v>12647.45</v>
      </c>
      <c r="F14" s="145">
        <v>5.0002174351351715E-2</v>
      </c>
      <c r="G14" s="2">
        <v>632.40000000000327</v>
      </c>
    </row>
    <row r="15" spans="1:9" x14ac:dyDescent="0.35">
      <c r="A15" s="41">
        <v>4</v>
      </c>
      <c r="C15" t="s">
        <v>254</v>
      </c>
      <c r="D15" s="106" t="s">
        <v>252</v>
      </c>
      <c r="E15" s="2">
        <v>45037.37</v>
      </c>
      <c r="F15" s="145">
        <v>2.5000571747417735E-2</v>
      </c>
      <c r="G15" s="2">
        <v>1125.9599999999991</v>
      </c>
    </row>
    <row r="16" spans="1:9" x14ac:dyDescent="0.35">
      <c r="A16" s="41">
        <v>5</v>
      </c>
      <c r="C16" t="s">
        <v>255</v>
      </c>
      <c r="D16" s="106" t="s">
        <v>252</v>
      </c>
      <c r="E16" s="2">
        <v>1218966.19</v>
      </c>
      <c r="F16" s="145">
        <v>2.4999971492236192E-2</v>
      </c>
      <c r="G16" s="2">
        <v>30474.119999999763</v>
      </c>
    </row>
    <row r="17" spans="1:7" x14ac:dyDescent="0.35">
      <c r="A17" s="41">
        <v>6</v>
      </c>
      <c r="C17" t="s">
        <v>256</v>
      </c>
      <c r="D17" s="106" t="s">
        <v>252</v>
      </c>
      <c r="E17" s="2">
        <v>2333239.5300000003</v>
      </c>
      <c r="F17" s="145">
        <v>2.5000022179463139E-2</v>
      </c>
      <c r="G17" s="2">
        <v>58331.040000000154</v>
      </c>
    </row>
    <row r="18" spans="1:7" x14ac:dyDescent="0.35">
      <c r="A18" s="41">
        <v>7</v>
      </c>
      <c r="C18" t="s">
        <v>257</v>
      </c>
      <c r="D18" s="106" t="s">
        <v>252</v>
      </c>
      <c r="E18" s="2">
        <v>8000.9000000000005</v>
      </c>
      <c r="F18" s="145">
        <v>2.5002187253934039E-2</v>
      </c>
      <c r="G18" s="2">
        <v>200.04000000000087</v>
      </c>
    </row>
    <row r="19" spans="1:7" x14ac:dyDescent="0.35">
      <c r="A19" s="41">
        <v>8</v>
      </c>
      <c r="C19" t="s">
        <v>258</v>
      </c>
      <c r="D19" s="106" t="s">
        <v>252</v>
      </c>
      <c r="E19" s="2">
        <v>12452075.07</v>
      </c>
      <c r="F19" s="145">
        <v>2.5000000542069217E-2</v>
      </c>
      <c r="G19" s="2">
        <v>311301.88349988661</v>
      </c>
    </row>
    <row r="20" spans="1:7" x14ac:dyDescent="0.35">
      <c r="A20" s="41">
        <v>9</v>
      </c>
      <c r="C20" t="s">
        <v>259</v>
      </c>
      <c r="D20" s="106" t="s">
        <v>252</v>
      </c>
      <c r="E20" s="2">
        <v>2615760.9300000002</v>
      </c>
      <c r="F20" s="145">
        <v>2.5000000542069217E-2</v>
      </c>
      <c r="G20" s="2">
        <v>65394.024667923484</v>
      </c>
    </row>
    <row r="21" spans="1:7" x14ac:dyDescent="0.35">
      <c r="A21" s="41">
        <v>10</v>
      </c>
      <c r="C21" t="s">
        <v>260</v>
      </c>
      <c r="D21" s="106" t="s">
        <v>252</v>
      </c>
      <c r="E21" s="2">
        <v>338215.79</v>
      </c>
      <c r="F21" s="145">
        <v>0</v>
      </c>
      <c r="G21" s="2">
        <v>0</v>
      </c>
    </row>
    <row r="22" spans="1:7" x14ac:dyDescent="0.35">
      <c r="A22" s="41">
        <v>11</v>
      </c>
      <c r="C22" t="s">
        <v>261</v>
      </c>
      <c r="D22" s="106" t="s">
        <v>252</v>
      </c>
      <c r="E22" s="2">
        <v>1018396.75</v>
      </c>
      <c r="F22" s="145">
        <v>6.4999814659660454E-3</v>
      </c>
      <c r="G22" s="2">
        <v>6619.5600000000559</v>
      </c>
    </row>
    <row r="23" spans="1:7" x14ac:dyDescent="0.35">
      <c r="A23" s="41">
        <v>12</v>
      </c>
      <c r="C23" t="s">
        <v>262</v>
      </c>
      <c r="D23" s="106" t="s">
        <v>252</v>
      </c>
      <c r="E23" s="2">
        <v>18786705.920000002</v>
      </c>
      <c r="F23" s="145">
        <v>1.4999999999999999E-2</v>
      </c>
      <c r="G23" s="2">
        <v>281800.58880000003</v>
      </c>
    </row>
    <row r="24" spans="1:7" x14ac:dyDescent="0.35">
      <c r="A24" s="41">
        <v>13</v>
      </c>
      <c r="C24" t="s">
        <v>263</v>
      </c>
      <c r="D24" s="106" t="s">
        <v>252</v>
      </c>
      <c r="E24" s="2">
        <v>384553.9</v>
      </c>
      <c r="F24" s="145">
        <v>1.4999925888152552E-2</v>
      </c>
      <c r="G24" s="2">
        <v>5768.2800000000279</v>
      </c>
    </row>
    <row r="25" spans="1:7" x14ac:dyDescent="0.35">
      <c r="A25" s="41">
        <v>14</v>
      </c>
      <c r="C25" t="s">
        <v>264</v>
      </c>
      <c r="D25" s="106" t="s">
        <v>252</v>
      </c>
      <c r="E25" s="2">
        <v>135338.4</v>
      </c>
      <c r="F25" s="145">
        <v>4.6000248266566332E-2</v>
      </c>
      <c r="G25" s="2">
        <v>6225.5999999998603</v>
      </c>
    </row>
    <row r="26" spans="1:7" x14ac:dyDescent="0.35">
      <c r="A26" s="41">
        <v>15</v>
      </c>
      <c r="C26" t="s">
        <v>265</v>
      </c>
      <c r="D26" s="106" t="s">
        <v>252</v>
      </c>
      <c r="E26" s="2">
        <v>2139322.66</v>
      </c>
      <c r="F26" s="145">
        <v>1.6399994566504469E-2</v>
      </c>
      <c r="G26" s="2">
        <v>35084.879999999888</v>
      </c>
    </row>
    <row r="27" spans="1:7" x14ac:dyDescent="0.35">
      <c r="A27" s="41">
        <v>16</v>
      </c>
      <c r="C27" t="s">
        <v>266</v>
      </c>
      <c r="D27" s="106" t="s">
        <v>252</v>
      </c>
      <c r="E27" s="2">
        <v>316965.8</v>
      </c>
      <c r="F27" s="145">
        <v>-2.3225723406121418E-2</v>
      </c>
      <c r="G27" s="2">
        <v>-7361.76</v>
      </c>
    </row>
    <row r="28" spans="1:7" x14ac:dyDescent="0.35">
      <c r="A28" s="41">
        <v>17</v>
      </c>
      <c r="C28" t="s">
        <v>267</v>
      </c>
      <c r="D28" s="106" t="s">
        <v>252</v>
      </c>
      <c r="E28" s="2">
        <v>698513.05</v>
      </c>
      <c r="F28" s="145">
        <v>8.4000148601389036E-3</v>
      </c>
      <c r="G28" s="2">
        <v>5867.520000000949</v>
      </c>
    </row>
    <row r="29" spans="1:7" x14ac:dyDescent="0.35">
      <c r="A29" s="41">
        <v>18</v>
      </c>
      <c r="C29" t="s">
        <v>268</v>
      </c>
      <c r="D29" s="106" t="s">
        <v>252</v>
      </c>
      <c r="E29" s="2">
        <v>205743200.33000001</v>
      </c>
      <c r="F29" s="145">
        <v>1.52E-2</v>
      </c>
      <c r="G29" s="2">
        <v>3127296.6450160001</v>
      </c>
    </row>
    <row r="30" spans="1:7" x14ac:dyDescent="0.35">
      <c r="A30" s="41">
        <v>19</v>
      </c>
      <c r="C30" t="s">
        <v>269</v>
      </c>
      <c r="D30" s="106" t="s">
        <v>252</v>
      </c>
      <c r="E30" s="2">
        <v>180199666.47999999</v>
      </c>
      <c r="F30" s="145">
        <v>2.81E-2</v>
      </c>
      <c r="G30" s="2">
        <v>5063610.6280879993</v>
      </c>
    </row>
    <row r="31" spans="1:7" x14ac:dyDescent="0.35">
      <c r="A31" s="41">
        <v>20</v>
      </c>
      <c r="C31" t="s">
        <v>270</v>
      </c>
      <c r="D31" s="106" t="s">
        <v>252</v>
      </c>
      <c r="E31" s="2">
        <v>122495127.8</v>
      </c>
      <c r="F31" s="145">
        <v>3.56E-2</v>
      </c>
      <c r="G31" s="2">
        <v>4360826.5496800002</v>
      </c>
    </row>
    <row r="32" spans="1:7" x14ac:dyDescent="0.35">
      <c r="A32" s="41">
        <v>21</v>
      </c>
      <c r="C32" t="s">
        <v>271</v>
      </c>
      <c r="D32" s="106" t="s">
        <v>252</v>
      </c>
      <c r="E32" s="2">
        <v>2608328.4900000002</v>
      </c>
      <c r="F32" s="145">
        <v>1.72E-2</v>
      </c>
      <c r="G32" s="2">
        <v>44863.250028000002</v>
      </c>
    </row>
    <row r="33" spans="1:7" x14ac:dyDescent="0.35">
      <c r="A33" s="41">
        <v>22</v>
      </c>
      <c r="C33" t="s">
        <v>272</v>
      </c>
      <c r="D33" s="106" t="s">
        <v>252</v>
      </c>
      <c r="E33" s="2">
        <v>33715861.719999999</v>
      </c>
      <c r="F33" s="145">
        <v>1.9699999999999999E-2</v>
      </c>
      <c r="G33" s="2">
        <v>664202.47588399996</v>
      </c>
    </row>
    <row r="34" spans="1:7" x14ac:dyDescent="0.35">
      <c r="A34" s="41">
        <v>23</v>
      </c>
      <c r="C34" t="s">
        <v>273</v>
      </c>
      <c r="D34" s="106" t="s">
        <v>252</v>
      </c>
      <c r="E34" s="2">
        <v>1419216.4100000001</v>
      </c>
      <c r="F34" s="145">
        <v>1.9700022202367488E-2</v>
      </c>
      <c r="G34" s="2">
        <v>27958.594786964284</v>
      </c>
    </row>
    <row r="35" spans="1:7" x14ac:dyDescent="0.35">
      <c r="A35" s="41">
        <v>24</v>
      </c>
      <c r="C35" t="s">
        <v>274</v>
      </c>
      <c r="D35" s="106" t="s">
        <v>252</v>
      </c>
      <c r="E35" s="2">
        <v>168309670.06</v>
      </c>
      <c r="F35" s="145">
        <v>3.3599999999999998E-2</v>
      </c>
      <c r="G35" s="2">
        <v>5655204.914016</v>
      </c>
    </row>
    <row r="36" spans="1:7" x14ac:dyDescent="0.35">
      <c r="A36" s="41">
        <v>25</v>
      </c>
      <c r="C36" t="s">
        <v>275</v>
      </c>
      <c r="D36" s="106" t="s">
        <v>252</v>
      </c>
      <c r="E36" s="2">
        <v>61551992.810000002</v>
      </c>
      <c r="F36" s="145">
        <v>3.4700000000000002E-2</v>
      </c>
      <c r="G36" s="2">
        <v>2135854.1505070003</v>
      </c>
    </row>
    <row r="37" spans="1:7" x14ac:dyDescent="0.35">
      <c r="A37" s="41">
        <v>26</v>
      </c>
      <c r="C37" t="s">
        <v>276</v>
      </c>
      <c r="D37" s="106" t="s">
        <v>252</v>
      </c>
      <c r="E37" s="2">
        <v>0</v>
      </c>
      <c r="F37" s="145">
        <v>2.6100000000000002E-2</v>
      </c>
      <c r="G37" s="2">
        <v>0</v>
      </c>
    </row>
    <row r="38" spans="1:7" x14ac:dyDescent="0.35">
      <c r="A38" s="41">
        <v>27</v>
      </c>
      <c r="C38" t="s">
        <v>277</v>
      </c>
      <c r="D38" s="106" t="s">
        <v>252</v>
      </c>
      <c r="E38" s="2">
        <v>0</v>
      </c>
      <c r="F38" s="145">
        <v>0</v>
      </c>
      <c r="G38" s="2">
        <v>0</v>
      </c>
    </row>
    <row r="39" spans="1:7" x14ac:dyDescent="0.35">
      <c r="A39" s="41">
        <v>28</v>
      </c>
      <c r="C39" t="s">
        <v>278</v>
      </c>
      <c r="D39" s="106" t="s">
        <v>252</v>
      </c>
      <c r="E39" s="2">
        <v>9886838.9800000004</v>
      </c>
      <c r="F39" s="145">
        <v>1.700000282438232E-2</v>
      </c>
      <c r="G39" s="2">
        <v>168076.29058421322</v>
      </c>
    </row>
    <row r="40" spans="1:7" x14ac:dyDescent="0.35">
      <c r="A40" s="41">
        <v>29</v>
      </c>
      <c r="C40" t="s">
        <v>279</v>
      </c>
      <c r="D40" s="106" t="s">
        <v>252</v>
      </c>
      <c r="E40" s="2">
        <v>2508056.1800000002</v>
      </c>
      <c r="F40" s="145">
        <v>0</v>
      </c>
      <c r="G40" s="2">
        <v>0</v>
      </c>
    </row>
    <row r="41" spans="1:7" x14ac:dyDescent="0.35">
      <c r="A41" s="41">
        <v>30</v>
      </c>
      <c r="C41" t="s">
        <v>280</v>
      </c>
      <c r="D41" s="106" t="s">
        <v>252</v>
      </c>
      <c r="E41" s="2">
        <v>7933.28</v>
      </c>
      <c r="F41" s="145">
        <v>0</v>
      </c>
      <c r="G41" s="2">
        <v>0</v>
      </c>
    </row>
    <row r="42" spans="1:7" x14ac:dyDescent="0.35">
      <c r="A42" s="41">
        <v>31</v>
      </c>
      <c r="C42" t="s">
        <v>281</v>
      </c>
      <c r="D42" s="106" t="s">
        <v>252</v>
      </c>
      <c r="E42" s="2">
        <v>17142531.120000001</v>
      </c>
      <c r="F42" s="145">
        <v>1.4399996687683943E-2</v>
      </c>
      <c r="G42" s="2">
        <v>246852.39134651891</v>
      </c>
    </row>
    <row r="43" spans="1:7" x14ac:dyDescent="0.35">
      <c r="A43" s="41">
        <v>32</v>
      </c>
      <c r="C43" t="s">
        <v>282</v>
      </c>
      <c r="D43" s="106" t="s">
        <v>252</v>
      </c>
      <c r="E43" s="2">
        <v>101727.32</v>
      </c>
      <c r="F43" s="145">
        <v>0.26370025279344722</v>
      </c>
      <c r="G43" s="2">
        <v>26825.519999999902</v>
      </c>
    </row>
    <row r="44" spans="1:7" x14ac:dyDescent="0.35">
      <c r="A44" s="41">
        <v>33</v>
      </c>
      <c r="C44" t="s">
        <v>283</v>
      </c>
      <c r="D44" s="106" t="s">
        <v>252</v>
      </c>
      <c r="E44" s="2">
        <v>361833.28</v>
      </c>
      <c r="F44" s="145">
        <v>0.18999994961488334</v>
      </c>
      <c r="G44" s="2">
        <v>68748.304968987984</v>
      </c>
    </row>
    <row r="45" spans="1:7" x14ac:dyDescent="0.35">
      <c r="A45" s="41">
        <v>34</v>
      </c>
      <c r="C45" t="s">
        <v>284</v>
      </c>
      <c r="D45" s="106" t="s">
        <v>252</v>
      </c>
      <c r="E45" s="2">
        <v>203549.89</v>
      </c>
      <c r="F45" s="145">
        <v>0</v>
      </c>
      <c r="G45" s="2">
        <v>0</v>
      </c>
    </row>
    <row r="46" spans="1:7" x14ac:dyDescent="0.35">
      <c r="A46" s="41">
        <v>35</v>
      </c>
      <c r="C46" t="s">
        <v>285</v>
      </c>
      <c r="D46" s="106" t="s">
        <v>252</v>
      </c>
      <c r="E46" s="2">
        <v>12762500.77</v>
      </c>
      <c r="F46" s="145">
        <v>0</v>
      </c>
      <c r="G46" s="2">
        <v>0</v>
      </c>
    </row>
    <row r="47" spans="1:7" x14ac:dyDescent="0.35">
      <c r="A47" s="41">
        <v>36</v>
      </c>
      <c r="C47" t="s">
        <v>286</v>
      </c>
      <c r="D47" s="106" t="s">
        <v>252</v>
      </c>
      <c r="E47" s="2">
        <v>21149.260000000002</v>
      </c>
      <c r="F47" s="145">
        <v>8.3997265152540107E-2</v>
      </c>
      <c r="G47" s="2">
        <v>1776.4800000000105</v>
      </c>
    </row>
    <row r="48" spans="1:7" x14ac:dyDescent="0.35">
      <c r="A48" s="41">
        <v>37</v>
      </c>
      <c r="C48" t="s">
        <v>287</v>
      </c>
      <c r="D48" s="106" t="s">
        <v>252</v>
      </c>
      <c r="E48" s="2">
        <v>4664872.43</v>
      </c>
      <c r="F48" s="145">
        <v>0.10660000834829317</v>
      </c>
      <c r="G48" s="2">
        <v>497275.43998172262</v>
      </c>
    </row>
    <row r="49" spans="1:8" x14ac:dyDescent="0.35">
      <c r="A49" s="41">
        <v>38</v>
      </c>
      <c r="C49" t="s">
        <v>288</v>
      </c>
      <c r="D49" s="106" t="s">
        <v>252</v>
      </c>
      <c r="E49" s="2">
        <v>131231.01999999999</v>
      </c>
      <c r="F49" s="145">
        <v>1.5200369546774275E-2</v>
      </c>
      <c r="G49" s="2">
        <v>1994.7600000001257</v>
      </c>
    </row>
    <row r="50" spans="1:8" x14ac:dyDescent="0.35">
      <c r="A50" s="41">
        <v>39</v>
      </c>
      <c r="C50" t="s">
        <v>289</v>
      </c>
      <c r="D50" s="106" t="s">
        <v>252</v>
      </c>
      <c r="E50" s="2">
        <v>0</v>
      </c>
      <c r="F50" s="145">
        <v>0.14549999999999999</v>
      </c>
      <c r="G50" s="2">
        <v>0</v>
      </c>
    </row>
    <row r="51" spans="1:8" x14ac:dyDescent="0.35">
      <c r="A51" s="41">
        <v>40</v>
      </c>
      <c r="C51" t="s">
        <v>290</v>
      </c>
      <c r="D51" s="106" t="s">
        <v>252</v>
      </c>
      <c r="E51" s="2">
        <v>1976722.24</v>
      </c>
      <c r="F51" s="145">
        <v>0</v>
      </c>
      <c r="G51" s="2">
        <v>0</v>
      </c>
    </row>
    <row r="52" spans="1:8" x14ac:dyDescent="0.35">
      <c r="A52" s="41">
        <v>41</v>
      </c>
      <c r="C52" t="s">
        <v>291</v>
      </c>
      <c r="D52" s="106" t="s">
        <v>252</v>
      </c>
      <c r="E52" s="2">
        <v>550713.39</v>
      </c>
      <c r="F52" s="145">
        <v>0</v>
      </c>
      <c r="G52" s="2">
        <v>0</v>
      </c>
    </row>
    <row r="53" spans="1:8" x14ac:dyDescent="0.35">
      <c r="A53" s="41">
        <v>42</v>
      </c>
      <c r="C53" t="s">
        <v>292</v>
      </c>
      <c r="D53" s="106" t="s">
        <v>252</v>
      </c>
      <c r="E53" s="2">
        <v>114246.94</v>
      </c>
      <c r="F53" s="145">
        <v>5.3499901178971576E-2</v>
      </c>
      <c r="G53" s="2">
        <v>6112.1999999998952</v>
      </c>
    </row>
    <row r="54" spans="1:8" x14ac:dyDescent="0.35">
      <c r="A54" s="41">
        <v>43</v>
      </c>
      <c r="C54" t="s">
        <v>293</v>
      </c>
      <c r="D54" s="106" t="s">
        <v>252</v>
      </c>
      <c r="E54" s="2">
        <v>918826.45000000007</v>
      </c>
      <c r="F54" s="145">
        <v>6.9899946828913873E-2</v>
      </c>
      <c r="G54" s="2">
        <v>64225.919999999693</v>
      </c>
    </row>
    <row r="55" spans="1:8" x14ac:dyDescent="0.35">
      <c r="A55" s="41">
        <v>44</v>
      </c>
      <c r="C55" t="s">
        <v>294</v>
      </c>
      <c r="D55" s="106" t="s">
        <v>252</v>
      </c>
      <c r="E55" s="2">
        <v>1034683.38</v>
      </c>
      <c r="F55" s="145">
        <v>5.5300000000000002E-2</v>
      </c>
      <c r="G55" s="2">
        <v>57217.990914000002</v>
      </c>
    </row>
    <row r="56" spans="1:8" x14ac:dyDescent="0.35">
      <c r="A56" s="41">
        <v>45</v>
      </c>
      <c r="C56" t="s">
        <v>295</v>
      </c>
      <c r="D56" s="106" t="s">
        <v>252</v>
      </c>
      <c r="E56" s="2">
        <v>207795.05000000002</v>
      </c>
      <c r="F56" s="145">
        <v>0.21619976029265398</v>
      </c>
      <c r="G56" s="2">
        <v>44925.240000000049</v>
      </c>
    </row>
    <row r="57" spans="1:8" x14ac:dyDescent="0.35">
      <c r="A57" s="41">
        <v>46</v>
      </c>
      <c r="C57" t="s">
        <v>296</v>
      </c>
      <c r="D57" s="106" t="s">
        <v>252</v>
      </c>
      <c r="E57" s="16">
        <v>14274.33</v>
      </c>
      <c r="F57" s="145">
        <v>4.3496262171324525E-2</v>
      </c>
      <c r="G57" s="16">
        <v>620.88000000000284</v>
      </c>
    </row>
    <row r="58" spans="1:8" x14ac:dyDescent="0.35">
      <c r="A58" s="41">
        <v>47</v>
      </c>
      <c r="B58" t="s">
        <v>249</v>
      </c>
      <c r="D58" s="106" t="s">
        <v>297</v>
      </c>
      <c r="E58" s="144">
        <v>871294447.06999993</v>
      </c>
      <c r="F58" s="145"/>
      <c r="G58" s="144">
        <v>23065932.762769207</v>
      </c>
    </row>
    <row r="59" spans="1:8" x14ac:dyDescent="0.35">
      <c r="A59" s="41">
        <v>48</v>
      </c>
      <c r="B59" t="s">
        <v>298</v>
      </c>
      <c r="C59" t="s">
        <v>299</v>
      </c>
      <c r="D59" s="106"/>
      <c r="E59" s="2"/>
      <c r="F59" s="145"/>
      <c r="G59" s="2"/>
    </row>
    <row r="60" spans="1:8" x14ac:dyDescent="0.35">
      <c r="A60" s="41">
        <v>49</v>
      </c>
      <c r="C60" t="s">
        <v>300</v>
      </c>
      <c r="D60" s="106" t="s">
        <v>301</v>
      </c>
      <c r="E60" s="144">
        <v>152066.08000000002</v>
      </c>
      <c r="F60" s="145">
        <v>0</v>
      </c>
      <c r="G60" s="144">
        <v>0</v>
      </c>
    </row>
    <row r="61" spans="1:8" x14ac:dyDescent="0.35">
      <c r="A61" s="41">
        <v>50</v>
      </c>
      <c r="C61" t="s">
        <v>302</v>
      </c>
      <c r="D61" s="106" t="s">
        <v>301</v>
      </c>
      <c r="E61" s="2">
        <v>28347.38</v>
      </c>
      <c r="F61" s="145">
        <v>0.99999929446742619</v>
      </c>
      <c r="G61" s="2">
        <v>2362.2800000000025</v>
      </c>
      <c r="H61" t="s">
        <v>303</v>
      </c>
    </row>
    <row r="62" spans="1:8" x14ac:dyDescent="0.35">
      <c r="A62" s="41">
        <v>51</v>
      </c>
      <c r="C62" t="s">
        <v>304</v>
      </c>
      <c r="D62" s="106" t="s">
        <v>301</v>
      </c>
      <c r="E62" s="2">
        <v>2073631.63</v>
      </c>
      <c r="F62" s="145">
        <v>9.9999979263433653E-2</v>
      </c>
      <c r="G62" s="2">
        <v>207363.12000000011</v>
      </c>
    </row>
    <row r="63" spans="1:8" x14ac:dyDescent="0.35">
      <c r="A63" s="41">
        <v>52</v>
      </c>
      <c r="C63" t="s">
        <v>305</v>
      </c>
      <c r="D63" s="106" t="s">
        <v>301</v>
      </c>
      <c r="E63" s="2">
        <v>14664.05</v>
      </c>
      <c r="F63" s="145">
        <v>9.9999659030077556E-2</v>
      </c>
      <c r="G63" s="2">
        <v>1466.4000000000087</v>
      </c>
    </row>
    <row r="64" spans="1:8" x14ac:dyDescent="0.35">
      <c r="A64" s="41">
        <v>53</v>
      </c>
      <c r="C64" t="s">
        <v>306</v>
      </c>
      <c r="D64" s="106" t="s">
        <v>301</v>
      </c>
      <c r="E64" s="2">
        <v>563985.92999999993</v>
      </c>
      <c r="F64" s="145">
        <v>0.1</v>
      </c>
      <c r="G64" s="2">
        <v>56398.592999999993</v>
      </c>
    </row>
    <row r="65" spans="1:7" x14ac:dyDescent="0.35">
      <c r="A65" s="41">
        <v>54</v>
      </c>
      <c r="C65" t="s">
        <v>307</v>
      </c>
      <c r="D65" s="106" t="s">
        <v>301</v>
      </c>
      <c r="E65" s="2">
        <v>50760.55</v>
      </c>
      <c r="F65" s="145">
        <v>9.9998916481401828E-2</v>
      </c>
      <c r="G65" s="2">
        <v>5076.0000000000218</v>
      </c>
    </row>
    <row r="66" spans="1:7" x14ac:dyDescent="0.35">
      <c r="A66" s="41">
        <v>55</v>
      </c>
      <c r="C66" t="s">
        <v>308</v>
      </c>
      <c r="D66" s="106" t="s">
        <v>301</v>
      </c>
      <c r="E66" s="2">
        <v>335761.96</v>
      </c>
      <c r="F66" s="145">
        <v>0.10000007132265727</v>
      </c>
      <c r="G66" s="2">
        <v>33576.219947435202</v>
      </c>
    </row>
    <row r="67" spans="1:7" x14ac:dyDescent="0.35">
      <c r="A67" s="41">
        <v>56</v>
      </c>
      <c r="C67" t="s">
        <v>309</v>
      </c>
      <c r="D67" s="106" t="s">
        <v>301</v>
      </c>
      <c r="E67" s="2">
        <v>1191253.08</v>
      </c>
      <c r="F67" s="145">
        <v>8.3299981898053377E-2</v>
      </c>
      <c r="G67" s="2">
        <v>99231.360000000335</v>
      </c>
    </row>
    <row r="68" spans="1:7" x14ac:dyDescent="0.35">
      <c r="A68" s="41">
        <v>57</v>
      </c>
      <c r="C68" t="s">
        <v>310</v>
      </c>
      <c r="D68" s="106" t="s">
        <v>301</v>
      </c>
      <c r="E68" s="2">
        <v>871426.89</v>
      </c>
      <c r="F68" s="145">
        <v>8.3299931219703471E-2</v>
      </c>
      <c r="G68" s="2">
        <v>72589.800000000105</v>
      </c>
    </row>
    <row r="69" spans="1:7" x14ac:dyDescent="0.35">
      <c r="A69" s="41">
        <v>58</v>
      </c>
      <c r="C69" t="s">
        <v>311</v>
      </c>
      <c r="D69" s="106" t="s">
        <v>301</v>
      </c>
      <c r="E69" s="2">
        <v>1329604.3599999999</v>
      </c>
      <c r="F69" s="145">
        <v>8.3299997602294257E-2</v>
      </c>
      <c r="G69" s="2">
        <v>110756.03999999998</v>
      </c>
    </row>
    <row r="70" spans="1:7" x14ac:dyDescent="0.35">
      <c r="A70" s="41">
        <v>59</v>
      </c>
      <c r="C70" t="s">
        <v>312</v>
      </c>
      <c r="D70" s="106" t="s">
        <v>301</v>
      </c>
      <c r="E70" s="2">
        <v>4188146.93</v>
      </c>
      <c r="F70" s="145">
        <v>7.6899995483205363E-2</v>
      </c>
      <c r="G70" s="2">
        <v>322068.48000000045</v>
      </c>
    </row>
    <row r="71" spans="1:7" x14ac:dyDescent="0.35">
      <c r="A71" s="41">
        <v>60</v>
      </c>
      <c r="C71" t="s">
        <v>313</v>
      </c>
      <c r="D71" s="106" t="s">
        <v>301</v>
      </c>
      <c r="E71" s="2">
        <v>695173.17</v>
      </c>
      <c r="F71" s="145">
        <v>7.1399993759828695E-2</v>
      </c>
      <c r="G71" s="2">
        <v>49635.360000000335</v>
      </c>
    </row>
    <row r="72" spans="1:7" x14ac:dyDescent="0.35">
      <c r="A72" s="41">
        <v>61</v>
      </c>
      <c r="C72" t="s">
        <v>314</v>
      </c>
      <c r="D72" s="106" t="s">
        <v>301</v>
      </c>
      <c r="E72" s="2">
        <v>2037970.8599999999</v>
      </c>
      <c r="F72" s="145">
        <v>7.1400019919814761E-2</v>
      </c>
      <c r="G72" s="2">
        <v>145511.16000000201</v>
      </c>
    </row>
    <row r="73" spans="1:7" x14ac:dyDescent="0.35">
      <c r="A73" s="41">
        <v>62</v>
      </c>
      <c r="C73" t="s">
        <v>315</v>
      </c>
      <c r="D73" s="106" t="s">
        <v>301</v>
      </c>
      <c r="E73" s="2">
        <v>17063587.219999999</v>
      </c>
      <c r="F73" s="145">
        <v>6.6700003072391198E-2</v>
      </c>
      <c r="G73" s="2">
        <v>1138141.3200000152</v>
      </c>
    </row>
    <row r="74" spans="1:7" x14ac:dyDescent="0.35">
      <c r="A74" s="41">
        <v>63</v>
      </c>
      <c r="C74" t="s">
        <v>316</v>
      </c>
      <c r="D74" s="106" t="s">
        <v>301</v>
      </c>
      <c r="E74" s="2">
        <v>541240.59000000008</v>
      </c>
      <c r="F74" s="145">
        <v>6.6700097270974396E-2</v>
      </c>
      <c r="G74" s="2">
        <v>36100.799999999581</v>
      </c>
    </row>
    <row r="75" spans="1:7" x14ac:dyDescent="0.35">
      <c r="A75" s="41">
        <v>64</v>
      </c>
      <c r="C75" t="s">
        <v>317</v>
      </c>
      <c r="D75" s="106" t="s">
        <v>301</v>
      </c>
      <c r="E75" s="2">
        <v>0</v>
      </c>
      <c r="F75" s="145">
        <v>6.6699999999999995E-2</v>
      </c>
      <c r="G75" s="2">
        <v>0</v>
      </c>
    </row>
    <row r="76" spans="1:7" x14ac:dyDescent="0.35">
      <c r="A76" s="41">
        <v>65</v>
      </c>
      <c r="C76" t="s">
        <v>318</v>
      </c>
      <c r="D76" s="106" t="s">
        <v>301</v>
      </c>
      <c r="E76" s="2">
        <v>55564.55</v>
      </c>
      <c r="F76" s="145">
        <v>6.670080114029546E-2</v>
      </c>
      <c r="G76" s="2">
        <v>3706.2000000000044</v>
      </c>
    </row>
    <row r="77" spans="1:7" x14ac:dyDescent="0.35">
      <c r="A77" s="41">
        <v>66</v>
      </c>
      <c r="C77" t="s">
        <v>319</v>
      </c>
      <c r="D77" s="106" t="s">
        <v>301</v>
      </c>
      <c r="E77" s="2">
        <v>7720.22</v>
      </c>
      <c r="F77" s="145">
        <v>0</v>
      </c>
      <c r="G77" s="2">
        <v>0</v>
      </c>
    </row>
    <row r="78" spans="1:7" x14ac:dyDescent="0.35">
      <c r="A78" s="41">
        <v>67</v>
      </c>
      <c r="C78" t="s">
        <v>320</v>
      </c>
      <c r="D78" s="106" t="s">
        <v>301</v>
      </c>
      <c r="E78" s="2">
        <v>30627.77</v>
      </c>
      <c r="F78" s="145">
        <v>0</v>
      </c>
      <c r="G78" s="2">
        <v>0</v>
      </c>
    </row>
    <row r="79" spans="1:7" x14ac:dyDescent="0.35">
      <c r="A79" s="41">
        <v>68</v>
      </c>
      <c r="C79" t="s">
        <v>321</v>
      </c>
      <c r="D79" s="106" t="s">
        <v>301</v>
      </c>
      <c r="E79" s="2">
        <v>12321.51</v>
      </c>
      <c r="F79" s="145">
        <v>0.33333333333333331</v>
      </c>
      <c r="G79" s="2">
        <v>4107.17</v>
      </c>
    </row>
    <row r="80" spans="1:7" x14ac:dyDescent="0.35">
      <c r="A80" s="41">
        <v>69</v>
      </c>
      <c r="C80" t="s">
        <v>322</v>
      </c>
      <c r="D80" s="106" t="s">
        <v>301</v>
      </c>
      <c r="E80" s="2">
        <v>56230.520000000004</v>
      </c>
      <c r="F80" s="145">
        <v>0.24999924958555053</v>
      </c>
      <c r="G80" s="2">
        <v>14057.587803805292</v>
      </c>
    </row>
    <row r="81" spans="1:7" x14ac:dyDescent="0.35">
      <c r="A81" s="41">
        <v>70</v>
      </c>
      <c r="C81" t="s">
        <v>323</v>
      </c>
      <c r="D81" s="106" t="s">
        <v>301</v>
      </c>
      <c r="E81" s="2">
        <v>14271.5</v>
      </c>
      <c r="F81" s="145">
        <v>0</v>
      </c>
      <c r="G81" s="2">
        <v>0</v>
      </c>
    </row>
    <row r="82" spans="1:7" x14ac:dyDescent="0.35">
      <c r="A82" s="41">
        <v>71</v>
      </c>
      <c r="C82" t="s">
        <v>324</v>
      </c>
      <c r="D82" s="106" t="s">
        <v>301</v>
      </c>
      <c r="E82" s="2">
        <v>116864.94</v>
      </c>
      <c r="F82" s="145">
        <v>0.20000010268263518</v>
      </c>
      <c r="G82" s="2">
        <v>23373</v>
      </c>
    </row>
    <row r="83" spans="1:7" x14ac:dyDescent="0.35">
      <c r="A83" s="41">
        <v>72</v>
      </c>
      <c r="C83" t="s">
        <v>325</v>
      </c>
      <c r="D83" s="106" t="s">
        <v>301</v>
      </c>
      <c r="E83" s="2">
        <v>102398.32</v>
      </c>
      <c r="F83" s="145">
        <v>0.20000015625256173</v>
      </c>
      <c r="G83" s="2">
        <v>20479.679999999818</v>
      </c>
    </row>
    <row r="84" spans="1:7" x14ac:dyDescent="0.35">
      <c r="A84" s="41">
        <v>73</v>
      </c>
      <c r="C84" t="s">
        <v>326</v>
      </c>
      <c r="D84" s="106" t="s">
        <v>301</v>
      </c>
      <c r="E84" s="2">
        <v>896070.27</v>
      </c>
      <c r="F84" s="145">
        <v>0.1999999397368683</v>
      </c>
      <c r="G84" s="2">
        <v>179213.9999999993</v>
      </c>
    </row>
    <row r="85" spans="1:7" x14ac:dyDescent="0.35">
      <c r="A85" s="41">
        <v>74</v>
      </c>
      <c r="C85" t="s">
        <v>327</v>
      </c>
      <c r="D85" s="106" t="s">
        <v>301</v>
      </c>
      <c r="E85" s="2">
        <v>16039.15</v>
      </c>
      <c r="F85" s="145">
        <v>0.20000062347443645</v>
      </c>
      <c r="G85" s="2">
        <v>3207.8400000000074</v>
      </c>
    </row>
    <row r="86" spans="1:7" x14ac:dyDescent="0.35">
      <c r="A86" s="41">
        <v>75</v>
      </c>
      <c r="C86" t="s">
        <v>328</v>
      </c>
      <c r="D86" s="106" t="s">
        <v>301</v>
      </c>
      <c r="E86" s="2">
        <v>1214455.08</v>
      </c>
      <c r="F86" s="145">
        <v>0.19999998682589012</v>
      </c>
      <c r="G86" s="2">
        <v>242891.00000063537</v>
      </c>
    </row>
    <row r="87" spans="1:7" x14ac:dyDescent="0.35">
      <c r="A87" s="41">
        <v>76</v>
      </c>
      <c r="C87" t="s">
        <v>329</v>
      </c>
      <c r="D87" s="106" t="s">
        <v>301</v>
      </c>
      <c r="E87" s="2">
        <v>227881.9</v>
      </c>
      <c r="F87" s="145">
        <v>0.19999997368954534</v>
      </c>
      <c r="G87" s="2">
        <v>45576.374004323603</v>
      </c>
    </row>
    <row r="88" spans="1:7" x14ac:dyDescent="0.35">
      <c r="A88" s="41">
        <v>77</v>
      </c>
      <c r="C88" t="s">
        <v>330</v>
      </c>
      <c r="D88" s="106" t="s">
        <v>301</v>
      </c>
      <c r="E88" s="2">
        <v>131168.49</v>
      </c>
      <c r="F88" s="145">
        <v>0</v>
      </c>
      <c r="G88" s="2">
        <v>0</v>
      </c>
    </row>
    <row r="89" spans="1:7" x14ac:dyDescent="0.35">
      <c r="A89" s="41">
        <v>78</v>
      </c>
      <c r="C89" t="s">
        <v>331</v>
      </c>
      <c r="D89" s="106" t="s">
        <v>301</v>
      </c>
      <c r="E89" s="2">
        <v>2519899.88</v>
      </c>
      <c r="F89" s="145">
        <v>0</v>
      </c>
      <c r="G89" s="2">
        <v>0</v>
      </c>
    </row>
    <row r="90" spans="1:7" x14ac:dyDescent="0.35">
      <c r="A90" s="41">
        <v>79</v>
      </c>
      <c r="C90" t="s">
        <v>332</v>
      </c>
      <c r="D90" s="106" t="s">
        <v>301</v>
      </c>
      <c r="E90" s="2">
        <v>585144.89</v>
      </c>
      <c r="F90" s="145">
        <v>0</v>
      </c>
      <c r="G90" s="2">
        <v>0</v>
      </c>
    </row>
    <row r="91" spans="1:7" x14ac:dyDescent="0.35">
      <c r="A91" s="41">
        <v>80</v>
      </c>
      <c r="C91" t="s">
        <v>333</v>
      </c>
      <c r="D91" s="106" t="s">
        <v>301</v>
      </c>
      <c r="E91" s="2">
        <v>20560.650000000001</v>
      </c>
      <c r="F91" s="145">
        <v>0</v>
      </c>
      <c r="G91" s="2">
        <v>0</v>
      </c>
    </row>
    <row r="92" spans="1:7" x14ac:dyDescent="0.35">
      <c r="A92" s="41">
        <v>81</v>
      </c>
      <c r="C92" t="s">
        <v>334</v>
      </c>
      <c r="D92" s="106" t="s">
        <v>301</v>
      </c>
      <c r="E92" s="2">
        <v>2316740.37</v>
      </c>
      <c r="F92" s="145">
        <v>0.14290001775209718</v>
      </c>
      <c r="G92" s="2">
        <v>331062.24000000022</v>
      </c>
    </row>
    <row r="93" spans="1:7" x14ac:dyDescent="0.35">
      <c r="A93" s="41">
        <v>82</v>
      </c>
      <c r="C93" t="s">
        <v>335</v>
      </c>
      <c r="D93" s="106" t="s">
        <v>301</v>
      </c>
      <c r="E93" s="2">
        <v>654150.74</v>
      </c>
      <c r="F93" s="145">
        <v>0.14290009058156797</v>
      </c>
      <c r="G93" s="2">
        <v>93478.199999999721</v>
      </c>
    </row>
    <row r="94" spans="1:7" x14ac:dyDescent="0.35">
      <c r="A94" s="41">
        <v>83</v>
      </c>
      <c r="C94" t="s">
        <v>336</v>
      </c>
      <c r="D94" s="106" t="s">
        <v>301</v>
      </c>
      <c r="E94" s="2">
        <v>123571.06</v>
      </c>
      <c r="F94" s="145">
        <v>0.14290044934469345</v>
      </c>
      <c r="G94" s="2">
        <v>17658.360000000073</v>
      </c>
    </row>
    <row r="95" spans="1:7" x14ac:dyDescent="0.35">
      <c r="A95" s="41">
        <v>84</v>
      </c>
      <c r="C95" t="s">
        <v>337</v>
      </c>
      <c r="D95" s="106" t="s">
        <v>301</v>
      </c>
      <c r="E95" s="2">
        <v>391097.07000000007</v>
      </c>
      <c r="F95" s="145">
        <v>0.14290044934469345</v>
      </c>
      <c r="G95" s="2">
        <v>55887.947040393039</v>
      </c>
    </row>
    <row r="96" spans="1:7" x14ac:dyDescent="0.35">
      <c r="A96" s="41">
        <v>85</v>
      </c>
      <c r="C96" t="s">
        <v>338</v>
      </c>
      <c r="D96" s="106" t="s">
        <v>301</v>
      </c>
      <c r="E96" s="2">
        <v>321784.22000000003</v>
      </c>
      <c r="F96" s="145">
        <v>0.14289986003664207</v>
      </c>
      <c r="G96" s="2">
        <v>45982.920000000042</v>
      </c>
    </row>
    <row r="97" spans="1:7" x14ac:dyDescent="0.35">
      <c r="A97" s="41">
        <v>86</v>
      </c>
      <c r="C97" t="s">
        <v>339</v>
      </c>
      <c r="D97" s="106" t="s">
        <v>301</v>
      </c>
      <c r="E97" s="2">
        <v>312496.5</v>
      </c>
      <c r="F97" s="145">
        <v>0.14289986003664207</v>
      </c>
      <c r="G97" s="2">
        <v>44655.706111940519</v>
      </c>
    </row>
    <row r="98" spans="1:7" x14ac:dyDescent="0.35">
      <c r="A98" s="41">
        <v>87</v>
      </c>
      <c r="C98" t="s">
        <v>340</v>
      </c>
      <c r="D98" s="106" t="s">
        <v>301</v>
      </c>
      <c r="E98" s="2">
        <v>0</v>
      </c>
      <c r="F98" s="145">
        <v>0</v>
      </c>
      <c r="G98" s="2">
        <v>0</v>
      </c>
    </row>
    <row r="99" spans="1:7" x14ac:dyDescent="0.35">
      <c r="A99" s="41">
        <v>88</v>
      </c>
      <c r="C99" t="s">
        <v>341</v>
      </c>
      <c r="D99" s="106" t="s">
        <v>301</v>
      </c>
      <c r="E99" s="2">
        <v>2994409.61</v>
      </c>
      <c r="F99" s="145">
        <v>0</v>
      </c>
      <c r="G99" s="2">
        <v>0</v>
      </c>
    </row>
    <row r="100" spans="1:7" x14ac:dyDescent="0.35">
      <c r="A100" s="41">
        <v>89</v>
      </c>
      <c r="C100" t="s">
        <v>342</v>
      </c>
      <c r="D100" s="106" t="s">
        <v>301</v>
      </c>
      <c r="E100" s="2">
        <v>2786186.5700000003</v>
      </c>
      <c r="F100" s="145">
        <v>9.3400005154716095E-2</v>
      </c>
      <c r="G100" s="2">
        <v>260229.84000000078</v>
      </c>
    </row>
    <row r="101" spans="1:7" x14ac:dyDescent="0.35">
      <c r="A101" s="41">
        <v>90</v>
      </c>
      <c r="C101" t="s">
        <v>343</v>
      </c>
      <c r="D101" s="106" t="s">
        <v>301</v>
      </c>
      <c r="E101" s="2">
        <v>94899.760000000009</v>
      </c>
      <c r="F101" s="145">
        <v>0</v>
      </c>
      <c r="G101" s="2">
        <v>0</v>
      </c>
    </row>
    <row r="102" spans="1:7" x14ac:dyDescent="0.35">
      <c r="A102" s="41">
        <v>91</v>
      </c>
      <c r="C102" t="s">
        <v>344</v>
      </c>
      <c r="D102" s="106" t="s">
        <v>301</v>
      </c>
      <c r="E102" s="2">
        <v>412881.85000000003</v>
      </c>
      <c r="F102" s="145">
        <v>8.4000786181313725E-3</v>
      </c>
      <c r="G102" s="2">
        <v>3468.239999999525</v>
      </c>
    </row>
    <row r="103" spans="1:7" x14ac:dyDescent="0.35">
      <c r="A103" s="41">
        <v>92</v>
      </c>
      <c r="C103" t="s">
        <v>345</v>
      </c>
      <c r="D103" s="106" t="s">
        <v>301</v>
      </c>
      <c r="E103" s="2">
        <v>954713.11</v>
      </c>
      <c r="F103" s="145">
        <v>0</v>
      </c>
      <c r="G103" s="2">
        <v>0</v>
      </c>
    </row>
    <row r="104" spans="1:7" x14ac:dyDescent="0.35">
      <c r="A104" s="41">
        <v>93</v>
      </c>
      <c r="C104" t="s">
        <v>346</v>
      </c>
      <c r="D104" s="106" t="s">
        <v>301</v>
      </c>
      <c r="E104" s="2">
        <v>6151550.0899999999</v>
      </c>
      <c r="F104" s="145">
        <v>0</v>
      </c>
      <c r="G104" s="2">
        <v>0</v>
      </c>
    </row>
    <row r="105" spans="1:7" x14ac:dyDescent="0.35">
      <c r="A105" s="41">
        <v>94</v>
      </c>
      <c r="C105" t="s">
        <v>347</v>
      </c>
      <c r="D105" s="106" t="s">
        <v>301</v>
      </c>
      <c r="E105" s="2">
        <v>1634003.6400000001</v>
      </c>
      <c r="F105" s="145">
        <v>0.44019999999999998</v>
      </c>
      <c r="G105" s="2">
        <v>719288.40232800005</v>
      </c>
    </row>
    <row r="106" spans="1:7" x14ac:dyDescent="0.35">
      <c r="A106" s="41">
        <v>95</v>
      </c>
      <c r="C106" t="s">
        <v>348</v>
      </c>
      <c r="D106" s="106" t="s">
        <v>301</v>
      </c>
      <c r="E106" s="2">
        <v>156609.65</v>
      </c>
      <c r="F106" s="145">
        <v>0.26370022536925408</v>
      </c>
      <c r="G106" s="2">
        <v>41298</v>
      </c>
    </row>
    <row r="107" spans="1:7" x14ac:dyDescent="0.35">
      <c r="A107" s="41">
        <v>96</v>
      </c>
      <c r="C107" t="s">
        <v>349</v>
      </c>
      <c r="D107" s="106" t="s">
        <v>301</v>
      </c>
      <c r="E107" s="2">
        <v>1325227.26</v>
      </c>
      <c r="F107" s="145">
        <v>0.18999995517749924</v>
      </c>
      <c r="G107" s="2">
        <v>251793.12000000014</v>
      </c>
    </row>
    <row r="108" spans="1:7" x14ac:dyDescent="0.35">
      <c r="A108" s="41">
        <v>97</v>
      </c>
      <c r="C108" t="s">
        <v>350</v>
      </c>
      <c r="D108" s="106" t="s">
        <v>301</v>
      </c>
      <c r="E108" s="2">
        <v>0</v>
      </c>
      <c r="F108" s="145">
        <v>2.689308019761907E-2</v>
      </c>
      <c r="G108" s="2">
        <v>0</v>
      </c>
    </row>
    <row r="109" spans="1:7" x14ac:dyDescent="0.35">
      <c r="A109" s="41">
        <v>98</v>
      </c>
      <c r="C109" t="s">
        <v>351</v>
      </c>
      <c r="D109" s="106" t="s">
        <v>301</v>
      </c>
      <c r="E109" s="2">
        <v>7723.92</v>
      </c>
      <c r="F109" s="145">
        <v>0</v>
      </c>
      <c r="G109" s="2">
        <v>0</v>
      </c>
    </row>
    <row r="110" spans="1:7" x14ac:dyDescent="0.35">
      <c r="A110" s="41">
        <v>99</v>
      </c>
      <c r="C110" t="s">
        <v>352</v>
      </c>
      <c r="D110" s="106" t="s">
        <v>301</v>
      </c>
      <c r="E110" s="2">
        <v>2176885.5700000003</v>
      </c>
      <c r="F110" s="145">
        <v>0</v>
      </c>
      <c r="G110" s="2">
        <v>0</v>
      </c>
    </row>
    <row r="111" spans="1:7" x14ac:dyDescent="0.35">
      <c r="A111" s="41">
        <v>100</v>
      </c>
      <c r="C111" t="s">
        <v>353</v>
      </c>
      <c r="D111" s="106" t="s">
        <v>301</v>
      </c>
      <c r="E111" s="2">
        <v>50478.8</v>
      </c>
      <c r="F111" s="145">
        <v>8.3999619642306664E-2</v>
      </c>
      <c r="G111" s="2">
        <v>4240.2000000000698</v>
      </c>
    </row>
    <row r="112" spans="1:7" x14ac:dyDescent="0.35">
      <c r="A112" s="41">
        <v>101</v>
      </c>
      <c r="C112" t="s">
        <v>354</v>
      </c>
      <c r="D112" s="106" t="s">
        <v>301</v>
      </c>
      <c r="E112" s="2">
        <v>3047187.7199999997</v>
      </c>
      <c r="F112" s="145">
        <v>0.1066</v>
      </c>
      <c r="G112" s="2">
        <v>324830.21095199999</v>
      </c>
    </row>
    <row r="113" spans="1:7" x14ac:dyDescent="0.35">
      <c r="A113" s="41">
        <v>102</v>
      </c>
      <c r="C113" t="s">
        <v>355</v>
      </c>
      <c r="D113" s="106" t="s">
        <v>301</v>
      </c>
      <c r="E113" s="2">
        <v>78998.84</v>
      </c>
      <c r="F113" s="145">
        <v>0.14549985797259818</v>
      </c>
      <c r="G113" s="2">
        <v>11494.320000000007</v>
      </c>
    </row>
    <row r="114" spans="1:7" x14ac:dyDescent="0.35">
      <c r="A114" s="41">
        <v>103</v>
      </c>
      <c r="C114" t="s">
        <v>356</v>
      </c>
      <c r="D114" s="106" t="s">
        <v>301</v>
      </c>
      <c r="E114" s="2">
        <v>33597.410000000003</v>
      </c>
      <c r="F114" s="145">
        <v>0</v>
      </c>
      <c r="G114" s="2">
        <v>0</v>
      </c>
    </row>
    <row r="115" spans="1:7" x14ac:dyDescent="0.35">
      <c r="A115" s="41">
        <v>104</v>
      </c>
      <c r="C115" t="s">
        <v>357</v>
      </c>
      <c r="D115" s="106" t="s">
        <v>301</v>
      </c>
      <c r="E115" s="2">
        <v>0</v>
      </c>
      <c r="F115" s="145">
        <v>0</v>
      </c>
      <c r="G115" s="2">
        <v>0</v>
      </c>
    </row>
    <row r="116" spans="1:7" x14ac:dyDescent="0.35">
      <c r="A116" s="41">
        <v>105</v>
      </c>
      <c r="C116" t="s">
        <v>358</v>
      </c>
      <c r="D116" s="106" t="s">
        <v>301</v>
      </c>
      <c r="E116" s="2">
        <v>370466.28</v>
      </c>
      <c r="F116" s="145">
        <v>5.3499999999999999E-2</v>
      </c>
      <c r="G116" s="2">
        <v>19819.94598</v>
      </c>
    </row>
    <row r="117" spans="1:7" x14ac:dyDescent="0.35">
      <c r="A117" s="41">
        <v>106</v>
      </c>
      <c r="C117" t="s">
        <v>359</v>
      </c>
      <c r="D117" s="106" t="s">
        <v>301</v>
      </c>
      <c r="E117" s="2">
        <v>20020.55</v>
      </c>
      <c r="F117" s="145">
        <v>6.9901913311294389E-2</v>
      </c>
      <c r="G117" s="2">
        <v>1399.4747505444348</v>
      </c>
    </row>
    <row r="118" spans="1:7" x14ac:dyDescent="0.35">
      <c r="A118" s="41">
        <v>107</v>
      </c>
      <c r="C118" t="s">
        <v>360</v>
      </c>
      <c r="D118" s="106" t="s">
        <v>301</v>
      </c>
      <c r="E118" s="2">
        <v>720922.83</v>
      </c>
      <c r="F118" s="145">
        <v>5.5300060265050008E-2</v>
      </c>
      <c r="G118" s="2">
        <v>39867.0759454504</v>
      </c>
    </row>
    <row r="119" spans="1:7" x14ac:dyDescent="0.35">
      <c r="A119" s="41">
        <v>108</v>
      </c>
      <c r="C119" t="s">
        <v>361</v>
      </c>
      <c r="D119" s="106" t="s">
        <v>301</v>
      </c>
      <c r="E119" s="2">
        <v>0</v>
      </c>
      <c r="F119" s="145">
        <v>0</v>
      </c>
      <c r="G119" s="2">
        <v>0</v>
      </c>
    </row>
    <row r="120" spans="1:7" x14ac:dyDescent="0.35">
      <c r="A120" s="41">
        <v>109</v>
      </c>
      <c r="C120" t="s">
        <v>362</v>
      </c>
      <c r="D120" s="106" t="s">
        <v>301</v>
      </c>
      <c r="E120" s="2">
        <v>62364.01</v>
      </c>
      <c r="F120" s="145">
        <v>4.3500631370811046E-2</v>
      </c>
      <c r="G120" s="2">
        <v>2712.8738098155741</v>
      </c>
    </row>
    <row r="121" spans="1:7" x14ac:dyDescent="0.35">
      <c r="A121" s="41">
        <v>110</v>
      </c>
      <c r="C121" t="s">
        <v>363</v>
      </c>
      <c r="D121" s="106" t="s">
        <v>364</v>
      </c>
      <c r="E121" s="2">
        <v>69830.3</v>
      </c>
      <c r="F121" s="145">
        <v>2.6100656250851197E-2</v>
      </c>
      <c r="G121" s="2">
        <v>1822.6166561938144</v>
      </c>
    </row>
    <row r="122" spans="1:7" x14ac:dyDescent="0.35">
      <c r="A122" s="41">
        <v>111</v>
      </c>
      <c r="C122" t="s">
        <v>365</v>
      </c>
      <c r="D122" s="106" t="s">
        <v>364</v>
      </c>
      <c r="E122" s="2">
        <v>105920802.64</v>
      </c>
      <c r="F122" s="145">
        <v>2.6100000000000002E-2</v>
      </c>
      <c r="G122" s="2">
        <v>2764532.9489040002</v>
      </c>
    </row>
    <row r="123" spans="1:7" x14ac:dyDescent="0.35">
      <c r="A123" s="41">
        <v>112</v>
      </c>
      <c r="C123" t="s">
        <v>366</v>
      </c>
      <c r="D123" s="106" t="s">
        <v>364</v>
      </c>
      <c r="E123" s="2">
        <v>0</v>
      </c>
      <c r="F123" s="145">
        <v>-0.35441463663220296</v>
      </c>
      <c r="G123" s="2">
        <v>0</v>
      </c>
    </row>
    <row r="124" spans="1:7" x14ac:dyDescent="0.35">
      <c r="A124" s="41">
        <v>113</v>
      </c>
      <c r="C124" t="s">
        <v>367</v>
      </c>
      <c r="D124" s="106" t="s">
        <v>364</v>
      </c>
      <c r="E124" s="16">
        <v>12492216.469999999</v>
      </c>
      <c r="F124" s="145">
        <v>2.1600000000000001E-2</v>
      </c>
      <c r="G124" s="16">
        <v>269831.87575199996</v>
      </c>
    </row>
    <row r="125" spans="1:7" x14ac:dyDescent="0.35">
      <c r="A125" s="41">
        <v>114</v>
      </c>
      <c r="B125" t="s">
        <v>298</v>
      </c>
      <c r="D125" s="106" t="s">
        <v>368</v>
      </c>
      <c r="E125" s="144">
        <v>182826657.16</v>
      </c>
      <c r="F125" s="145"/>
      <c r="G125" s="144">
        <v>8122244.3029865548</v>
      </c>
    </row>
    <row r="126" spans="1:7" x14ac:dyDescent="0.35">
      <c r="A126" s="41">
        <v>115</v>
      </c>
      <c r="B126" t="s">
        <v>369</v>
      </c>
      <c r="D126" s="106"/>
      <c r="E126" s="2"/>
      <c r="F126" s="145"/>
      <c r="G126" s="2"/>
    </row>
    <row r="127" spans="1:7" x14ac:dyDescent="0.35">
      <c r="A127" s="41">
        <v>116</v>
      </c>
      <c r="C127" t="s">
        <v>370</v>
      </c>
      <c r="D127" s="106"/>
      <c r="E127" s="144">
        <v>85968.48</v>
      </c>
      <c r="F127" s="145">
        <v>9.6816879861084792E-3</v>
      </c>
      <c r="G127" s="144">
        <v>832.32000000000698</v>
      </c>
    </row>
    <row r="128" spans="1:7" x14ac:dyDescent="0.35">
      <c r="A128" s="41">
        <v>117</v>
      </c>
      <c r="C128" t="s">
        <v>371</v>
      </c>
      <c r="D128" s="106"/>
      <c r="E128" s="2">
        <v>0</v>
      </c>
      <c r="F128" s="145">
        <v>0</v>
      </c>
      <c r="G128" s="2">
        <v>0</v>
      </c>
    </row>
    <row r="129" spans="1:7" x14ac:dyDescent="0.35">
      <c r="A129" s="41">
        <v>118</v>
      </c>
      <c r="C129" t="s">
        <v>372</v>
      </c>
      <c r="D129" s="106"/>
      <c r="E129" s="2">
        <v>0</v>
      </c>
      <c r="F129" s="145">
        <v>0</v>
      </c>
      <c r="G129" s="2">
        <v>0</v>
      </c>
    </row>
    <row r="130" spans="1:7" x14ac:dyDescent="0.35">
      <c r="A130" s="41">
        <v>119</v>
      </c>
      <c r="C130" t="s">
        <v>373</v>
      </c>
      <c r="D130" s="106"/>
      <c r="E130" s="2">
        <v>30545412.550000001</v>
      </c>
      <c r="F130" s="145">
        <v>1.3835536164660758E-2</v>
      </c>
      <c r="G130" s="2">
        <v>422612.1600000076</v>
      </c>
    </row>
    <row r="131" spans="1:7" x14ac:dyDescent="0.35">
      <c r="A131" s="41">
        <v>120</v>
      </c>
      <c r="C131" t="s">
        <v>374</v>
      </c>
      <c r="D131" s="106"/>
      <c r="E131" s="16">
        <v>0</v>
      </c>
      <c r="F131" s="145">
        <v>0</v>
      </c>
      <c r="G131" s="16">
        <v>0</v>
      </c>
    </row>
    <row r="132" spans="1:7" x14ac:dyDescent="0.35">
      <c r="A132" s="41">
        <v>121</v>
      </c>
      <c r="B132" t="s">
        <v>369</v>
      </c>
      <c r="D132" s="106"/>
      <c r="E132" s="144">
        <v>30631381.030000001</v>
      </c>
      <c r="F132" s="106"/>
      <c r="G132" s="144">
        <v>423444.48000000761</v>
      </c>
    </row>
    <row r="133" spans="1:7" x14ac:dyDescent="0.35">
      <c r="A133" s="41"/>
      <c r="D133" s="106"/>
      <c r="E133" s="2"/>
      <c r="F133" s="106"/>
      <c r="G133" s="2"/>
    </row>
    <row r="134" spans="1:7" x14ac:dyDescent="0.35">
      <c r="A134" s="41">
        <v>122</v>
      </c>
      <c r="C134" t="s">
        <v>375</v>
      </c>
      <c r="D134" s="106"/>
      <c r="E134" s="144">
        <v>1084752485.26</v>
      </c>
      <c r="F134" s="106"/>
      <c r="G134" s="2"/>
    </row>
    <row r="135" spans="1:7" x14ac:dyDescent="0.35">
      <c r="A135" s="41"/>
      <c r="D135" s="106"/>
      <c r="F135" s="106"/>
      <c r="G135" s="2"/>
    </row>
    <row r="136" spans="1:7" x14ac:dyDescent="0.35">
      <c r="A136" s="41">
        <v>123</v>
      </c>
      <c r="C136" t="s">
        <v>376</v>
      </c>
      <c r="D136" s="106"/>
      <c r="F136" s="106"/>
      <c r="G136" s="144">
        <v>23065932.762769207</v>
      </c>
    </row>
    <row r="137" spans="1:7" x14ac:dyDescent="0.35">
      <c r="A137" s="41">
        <f>+A136+1</f>
        <v>124</v>
      </c>
      <c r="C137" t="s">
        <v>377</v>
      </c>
      <c r="D137" s="106"/>
      <c r="F137" s="106"/>
      <c r="G137" s="2">
        <v>3808947.9865555251</v>
      </c>
    </row>
    <row r="138" spans="1:7" x14ac:dyDescent="0.35">
      <c r="A138" s="41">
        <f t="shared" ref="A138:A140" si="0">+A137+1</f>
        <v>125</v>
      </c>
      <c r="C138" t="s">
        <v>378</v>
      </c>
      <c r="D138" s="106"/>
      <c r="F138" s="106"/>
      <c r="G138" s="2">
        <v>2248600.4192140112</v>
      </c>
    </row>
    <row r="139" spans="1:7" x14ac:dyDescent="0.35">
      <c r="A139" s="41">
        <f t="shared" si="0"/>
        <v>126</v>
      </c>
      <c r="C139" t="s">
        <v>379</v>
      </c>
      <c r="D139" s="106"/>
      <c r="F139" s="106"/>
      <c r="G139" s="16">
        <v>422612.1600000076</v>
      </c>
    </row>
    <row r="140" spans="1:7" x14ac:dyDescent="0.35">
      <c r="A140" s="41">
        <f t="shared" si="0"/>
        <v>127</v>
      </c>
      <c r="C140" t="s">
        <v>380</v>
      </c>
      <c r="D140" s="106"/>
      <c r="F140" s="106"/>
      <c r="G140" s="144">
        <v>29546093.328538749</v>
      </c>
    </row>
    <row r="141" spans="1:7" x14ac:dyDescent="0.35">
      <c r="A141" s="41"/>
      <c r="D141" s="106"/>
      <c r="F141" s="106"/>
      <c r="G141" s="2"/>
    </row>
    <row r="142" spans="1:7" x14ac:dyDescent="0.35">
      <c r="A142" s="41">
        <v>128</v>
      </c>
      <c r="C142" t="s">
        <v>381</v>
      </c>
      <c r="D142" s="106"/>
      <c r="F142" s="106"/>
      <c r="G142" s="2">
        <v>28455362</v>
      </c>
    </row>
    <row r="143" spans="1:7" x14ac:dyDescent="0.35">
      <c r="A143" s="41"/>
      <c r="D143" s="106"/>
      <c r="F143" s="106"/>
      <c r="G143" s="2"/>
    </row>
    <row r="144" spans="1:7" ht="16" thickBot="1" x14ac:dyDescent="0.4">
      <c r="A144" s="41">
        <v>129</v>
      </c>
      <c r="C144" t="s">
        <v>382</v>
      </c>
      <c r="D144" s="106"/>
      <c r="F144" s="106"/>
      <c r="G144" s="143">
        <v>1090731.3285387494</v>
      </c>
    </row>
    <row r="145" spans="3:6" ht="16" thickTop="1" x14ac:dyDescent="0.35">
      <c r="D145" s="106"/>
      <c r="F145" s="106"/>
    </row>
    <row r="146" spans="3:6" x14ac:dyDescent="0.35">
      <c r="C146" t="s">
        <v>487</v>
      </c>
      <c r="D146" s="106"/>
      <c r="F146" s="106"/>
    </row>
    <row r="147" spans="3:6" x14ac:dyDescent="0.35">
      <c r="D147" s="106"/>
      <c r="F147" s="106"/>
    </row>
    <row r="148" spans="3:6" x14ac:dyDescent="0.35">
      <c r="D148" s="106"/>
      <c r="F148" s="106"/>
    </row>
    <row r="149" spans="3:6" x14ac:dyDescent="0.35">
      <c r="D149" s="106"/>
      <c r="F149" s="106"/>
    </row>
    <row r="150" spans="3:6" x14ac:dyDescent="0.35">
      <c r="D150" s="106"/>
      <c r="F150" s="106"/>
    </row>
    <row r="151" spans="3:6" x14ac:dyDescent="0.35">
      <c r="D151" s="106"/>
      <c r="F151" s="106"/>
    </row>
    <row r="152" spans="3:6" x14ac:dyDescent="0.35">
      <c r="D152" s="106"/>
      <c r="F152" s="106"/>
    </row>
    <row r="153" spans="3:6" x14ac:dyDescent="0.35">
      <c r="D153" s="106"/>
      <c r="F153" s="106"/>
    </row>
    <row r="154" spans="3:6" x14ac:dyDescent="0.35">
      <c r="D154" s="106"/>
      <c r="F154" s="106"/>
    </row>
    <row r="155" spans="3:6" x14ac:dyDescent="0.35">
      <c r="D155" s="106"/>
      <c r="F155" s="106"/>
    </row>
    <row r="156" spans="3:6" x14ac:dyDescent="0.35">
      <c r="D156" s="106"/>
      <c r="F156" s="106"/>
    </row>
    <row r="157" spans="3:6" x14ac:dyDescent="0.35">
      <c r="D157" s="106"/>
      <c r="F157" s="106"/>
    </row>
    <row r="158" spans="3:6" x14ac:dyDescent="0.35">
      <c r="D158" s="106"/>
      <c r="F158" s="106"/>
    </row>
    <row r="159" spans="3:6" x14ac:dyDescent="0.35">
      <c r="D159" s="106"/>
      <c r="F159" s="106"/>
    </row>
    <row r="160" spans="3:6" x14ac:dyDescent="0.35">
      <c r="D160" s="106"/>
      <c r="F160" s="106"/>
    </row>
    <row r="161" spans="4:6" x14ac:dyDescent="0.35">
      <c r="D161" s="106"/>
      <c r="F161" s="106"/>
    </row>
    <row r="162" spans="4:6" x14ac:dyDescent="0.35">
      <c r="D162" s="106"/>
      <c r="F162" s="106"/>
    </row>
    <row r="163" spans="4:6" x14ac:dyDescent="0.35">
      <c r="D163" s="106"/>
      <c r="F163" s="106"/>
    </row>
    <row r="164" spans="4:6" x14ac:dyDescent="0.35">
      <c r="D164" s="106"/>
      <c r="F164" s="106"/>
    </row>
    <row r="165" spans="4:6" x14ac:dyDescent="0.35">
      <c r="D165" s="106"/>
      <c r="F165" s="106"/>
    </row>
    <row r="166" spans="4:6" x14ac:dyDescent="0.35">
      <c r="D166" s="106"/>
      <c r="F166" s="106"/>
    </row>
    <row r="167" spans="4:6" x14ac:dyDescent="0.35">
      <c r="D167" s="106"/>
      <c r="F167" s="106"/>
    </row>
    <row r="168" spans="4:6" x14ac:dyDescent="0.35">
      <c r="D168" s="106"/>
      <c r="F168" s="106"/>
    </row>
    <row r="169" spans="4:6" x14ac:dyDescent="0.35">
      <c r="D169" s="106"/>
      <c r="F169" s="106"/>
    </row>
    <row r="170" spans="4:6" x14ac:dyDescent="0.35">
      <c r="D170" s="106"/>
      <c r="F170" s="106"/>
    </row>
    <row r="171" spans="4:6" x14ac:dyDescent="0.35">
      <c r="D171" s="106"/>
      <c r="F171" s="106"/>
    </row>
    <row r="172" spans="4:6" x14ac:dyDescent="0.35">
      <c r="D172" s="106"/>
      <c r="F172" s="106"/>
    </row>
    <row r="173" spans="4:6" x14ac:dyDescent="0.35">
      <c r="D173" s="106"/>
      <c r="F173" s="106"/>
    </row>
    <row r="174" spans="4:6" x14ac:dyDescent="0.35">
      <c r="D174" s="106"/>
      <c r="F174" s="106"/>
    </row>
    <row r="175" spans="4:6" x14ac:dyDescent="0.35">
      <c r="D175" s="106"/>
      <c r="F175" s="106"/>
    </row>
    <row r="176" spans="4:6" x14ac:dyDescent="0.35">
      <c r="D176" s="106"/>
      <c r="F176" s="106"/>
    </row>
    <row r="177" spans="4:6" x14ac:dyDescent="0.35">
      <c r="D177" s="106"/>
      <c r="F177" s="106"/>
    </row>
    <row r="178" spans="4:6" x14ac:dyDescent="0.35">
      <c r="D178" s="106"/>
      <c r="F178" s="106"/>
    </row>
    <row r="179" spans="4:6" x14ac:dyDescent="0.35">
      <c r="D179" s="106"/>
      <c r="F179" s="106"/>
    </row>
    <row r="180" spans="4:6" x14ac:dyDescent="0.35">
      <c r="D180" s="106"/>
      <c r="F180" s="106"/>
    </row>
    <row r="181" spans="4:6" x14ac:dyDescent="0.35">
      <c r="D181" s="106"/>
      <c r="F181" s="106"/>
    </row>
    <row r="182" spans="4:6" x14ac:dyDescent="0.35">
      <c r="D182" s="106"/>
      <c r="F182" s="106"/>
    </row>
    <row r="183" spans="4:6" x14ac:dyDescent="0.35">
      <c r="D183" s="106"/>
      <c r="F183" s="106"/>
    </row>
    <row r="184" spans="4:6" x14ac:dyDescent="0.35">
      <c r="D184" s="106"/>
      <c r="F184" s="106"/>
    </row>
    <row r="185" spans="4:6" x14ac:dyDescent="0.35">
      <c r="D185" s="106"/>
      <c r="F185" s="106"/>
    </row>
    <row r="186" spans="4:6" x14ac:dyDescent="0.35">
      <c r="D186" s="106"/>
      <c r="F186" s="106"/>
    </row>
    <row r="187" spans="4:6" x14ac:dyDescent="0.35">
      <c r="D187" s="106"/>
      <c r="F187" s="106"/>
    </row>
    <row r="188" spans="4:6" x14ac:dyDescent="0.35">
      <c r="D188" s="106"/>
      <c r="F188" s="106"/>
    </row>
    <row r="189" spans="4:6" x14ac:dyDescent="0.35">
      <c r="D189" s="106"/>
      <c r="F189" s="106"/>
    </row>
    <row r="190" spans="4:6" x14ac:dyDescent="0.35">
      <c r="D190" s="106"/>
      <c r="F190" s="106"/>
    </row>
    <row r="191" spans="4:6" x14ac:dyDescent="0.35">
      <c r="D191" s="106"/>
      <c r="F191" s="106"/>
    </row>
    <row r="192" spans="4:6" x14ac:dyDescent="0.35">
      <c r="D192" s="106"/>
      <c r="F192" s="106"/>
    </row>
    <row r="193" spans="4:6" x14ac:dyDescent="0.35">
      <c r="D193" s="106"/>
      <c r="F193" s="106"/>
    </row>
    <row r="194" spans="4:6" x14ac:dyDescent="0.35">
      <c r="D194" s="106"/>
      <c r="F194" s="106"/>
    </row>
    <row r="195" spans="4:6" x14ac:dyDescent="0.35">
      <c r="D195" s="106"/>
      <c r="F195" s="106"/>
    </row>
    <row r="196" spans="4:6" x14ac:dyDescent="0.35">
      <c r="D196" s="106"/>
      <c r="F196" s="106"/>
    </row>
    <row r="197" spans="4:6" x14ac:dyDescent="0.35">
      <c r="D197" s="106"/>
      <c r="F197" s="106"/>
    </row>
    <row r="198" spans="4:6" x14ac:dyDescent="0.35">
      <c r="D198" s="106"/>
      <c r="F198" s="106"/>
    </row>
    <row r="199" spans="4:6" x14ac:dyDescent="0.35">
      <c r="D199" s="106"/>
      <c r="F199" s="106"/>
    </row>
    <row r="200" spans="4:6" x14ac:dyDescent="0.35">
      <c r="D200" s="106"/>
      <c r="F200" s="106"/>
    </row>
    <row r="201" spans="4:6" x14ac:dyDescent="0.35">
      <c r="D201" s="106"/>
      <c r="F201" s="106"/>
    </row>
    <row r="202" spans="4:6" x14ac:dyDescent="0.35">
      <c r="D202" s="106"/>
      <c r="F202" s="106"/>
    </row>
    <row r="203" spans="4:6" x14ac:dyDescent="0.35">
      <c r="D203" s="106"/>
      <c r="F203" s="106"/>
    </row>
    <row r="204" spans="4:6" x14ac:dyDescent="0.35">
      <c r="D204" s="106"/>
      <c r="F204" s="106"/>
    </row>
    <row r="205" spans="4:6" x14ac:dyDescent="0.35">
      <c r="D205" s="106"/>
      <c r="F205" s="106"/>
    </row>
    <row r="206" spans="4:6" x14ac:dyDescent="0.35">
      <c r="D206" s="106"/>
      <c r="F206" s="106"/>
    </row>
    <row r="207" spans="4:6" x14ac:dyDescent="0.35">
      <c r="D207" s="106"/>
      <c r="F207" s="106"/>
    </row>
    <row r="208" spans="4:6" x14ac:dyDescent="0.35">
      <c r="D208" s="106"/>
      <c r="F208" s="106"/>
    </row>
    <row r="209" spans="4:6" x14ac:dyDescent="0.35">
      <c r="D209" s="106"/>
      <c r="F209" s="106"/>
    </row>
    <row r="210" spans="4:6" x14ac:dyDescent="0.35">
      <c r="D210" s="106"/>
      <c r="F210" s="106"/>
    </row>
    <row r="211" spans="4:6" x14ac:dyDescent="0.35">
      <c r="D211" s="106"/>
      <c r="F211" s="106"/>
    </row>
    <row r="212" spans="4:6" x14ac:dyDescent="0.35">
      <c r="D212" s="106"/>
      <c r="F212" s="106"/>
    </row>
    <row r="213" spans="4:6" x14ac:dyDescent="0.35">
      <c r="D213" s="106"/>
      <c r="F213" s="106"/>
    </row>
    <row r="214" spans="4:6" x14ac:dyDescent="0.35">
      <c r="D214" s="106"/>
      <c r="F214" s="106"/>
    </row>
    <row r="215" spans="4:6" x14ac:dyDescent="0.35">
      <c r="D215" s="106"/>
      <c r="F215" s="106"/>
    </row>
    <row r="216" spans="4:6" x14ac:dyDescent="0.35">
      <c r="D216" s="106"/>
      <c r="F216" s="106"/>
    </row>
    <row r="217" spans="4:6" x14ac:dyDescent="0.35">
      <c r="D217" s="106"/>
      <c r="F217" s="106"/>
    </row>
    <row r="218" spans="4:6" x14ac:dyDescent="0.35">
      <c r="D218" s="106"/>
      <c r="F218" s="106"/>
    </row>
    <row r="219" spans="4:6" x14ac:dyDescent="0.35">
      <c r="D219" s="106"/>
      <c r="F219" s="106"/>
    </row>
    <row r="220" spans="4:6" x14ac:dyDescent="0.35">
      <c r="D220" s="106"/>
      <c r="F220" s="106"/>
    </row>
    <row r="221" spans="4:6" x14ac:dyDescent="0.35">
      <c r="D221" s="106"/>
      <c r="F221" s="106"/>
    </row>
    <row r="222" spans="4:6" x14ac:dyDescent="0.35">
      <c r="D222" s="106"/>
      <c r="F222" s="106"/>
    </row>
    <row r="223" spans="4:6" x14ac:dyDescent="0.35">
      <c r="D223" s="106"/>
      <c r="F223" s="106"/>
    </row>
    <row r="224" spans="4:6" x14ac:dyDescent="0.35">
      <c r="D224" s="106"/>
      <c r="F224" s="106"/>
    </row>
    <row r="225" spans="4:6" x14ac:dyDescent="0.35">
      <c r="D225" s="106"/>
      <c r="F225" s="106"/>
    </row>
    <row r="226" spans="4:6" x14ac:dyDescent="0.35">
      <c r="D226" s="106"/>
      <c r="F226" s="106"/>
    </row>
    <row r="227" spans="4:6" x14ac:dyDescent="0.35">
      <c r="D227" s="106"/>
      <c r="F227" s="106"/>
    </row>
    <row r="228" spans="4:6" x14ac:dyDescent="0.35">
      <c r="D228" s="106"/>
      <c r="F228" s="106"/>
    </row>
    <row r="229" spans="4:6" x14ac:dyDescent="0.35">
      <c r="D229" s="106"/>
      <c r="F229" s="106"/>
    </row>
    <row r="230" spans="4:6" x14ac:dyDescent="0.35">
      <c r="D230" s="106"/>
      <c r="F230" s="106"/>
    </row>
    <row r="231" spans="4:6" x14ac:dyDescent="0.35">
      <c r="D231" s="106"/>
      <c r="F231" s="106"/>
    </row>
    <row r="232" spans="4:6" x14ac:dyDescent="0.35">
      <c r="D232" s="106"/>
      <c r="F232" s="106"/>
    </row>
    <row r="233" spans="4:6" x14ac:dyDescent="0.35">
      <c r="D233" s="106"/>
      <c r="F233" s="106"/>
    </row>
    <row r="234" spans="4:6" x14ac:dyDescent="0.35">
      <c r="D234" s="106"/>
      <c r="F234" s="106"/>
    </row>
    <row r="235" spans="4:6" x14ac:dyDescent="0.35">
      <c r="D235" s="106"/>
      <c r="F235" s="106"/>
    </row>
    <row r="236" spans="4:6" x14ac:dyDescent="0.35">
      <c r="D236" s="106"/>
      <c r="F236" s="106"/>
    </row>
    <row r="237" spans="4:6" x14ac:dyDescent="0.35">
      <c r="D237" s="106"/>
      <c r="F237" s="106"/>
    </row>
    <row r="238" spans="4:6" x14ac:dyDescent="0.35">
      <c r="D238" s="106"/>
      <c r="F238" s="106"/>
    </row>
    <row r="239" spans="4:6" x14ac:dyDescent="0.35">
      <c r="D239" s="106"/>
      <c r="F239" s="106"/>
    </row>
    <row r="240" spans="4:6" x14ac:dyDescent="0.35">
      <c r="D240" s="106"/>
      <c r="F240" s="106"/>
    </row>
    <row r="241" spans="4:6" x14ac:dyDescent="0.35">
      <c r="D241" s="106"/>
      <c r="F241" s="106"/>
    </row>
    <row r="242" spans="4:6" x14ac:dyDescent="0.35">
      <c r="D242" s="106"/>
      <c r="F242" s="106"/>
    </row>
    <row r="243" spans="4:6" x14ac:dyDescent="0.35">
      <c r="D243" s="106"/>
      <c r="F243" s="106"/>
    </row>
    <row r="244" spans="4:6" x14ac:dyDescent="0.35">
      <c r="D244" s="106"/>
      <c r="F244" s="106"/>
    </row>
    <row r="245" spans="4:6" x14ac:dyDescent="0.35">
      <c r="D245" s="106"/>
      <c r="F245" s="106"/>
    </row>
    <row r="246" spans="4:6" x14ac:dyDescent="0.35">
      <c r="D246" s="106"/>
      <c r="F246" s="106"/>
    </row>
    <row r="247" spans="4:6" x14ac:dyDescent="0.35">
      <c r="D247" s="106"/>
      <c r="F247" s="106"/>
    </row>
    <row r="248" spans="4:6" x14ac:dyDescent="0.35">
      <c r="D248" s="106"/>
      <c r="F248" s="106"/>
    </row>
    <row r="249" spans="4:6" x14ac:dyDescent="0.35">
      <c r="D249" s="106"/>
      <c r="F249" s="106"/>
    </row>
    <row r="250" spans="4:6" x14ac:dyDescent="0.35">
      <c r="D250" s="106"/>
      <c r="F250" s="106"/>
    </row>
    <row r="251" spans="4:6" x14ac:dyDescent="0.35">
      <c r="D251" s="106"/>
      <c r="F251" s="106"/>
    </row>
    <row r="252" spans="4:6" x14ac:dyDescent="0.35">
      <c r="D252" s="106"/>
      <c r="F252" s="106"/>
    </row>
    <row r="253" spans="4:6" x14ac:dyDescent="0.35">
      <c r="D253" s="106"/>
      <c r="F253" s="106"/>
    </row>
    <row r="254" spans="4:6" x14ac:dyDescent="0.35">
      <c r="D254" s="106"/>
      <c r="F254" s="106"/>
    </row>
    <row r="255" spans="4:6" x14ac:dyDescent="0.35">
      <c r="D255" s="106"/>
      <c r="F255" s="106"/>
    </row>
    <row r="256" spans="4:6" x14ac:dyDescent="0.35">
      <c r="D256" s="106"/>
      <c r="F256" s="106"/>
    </row>
    <row r="257" spans="4:6" x14ac:dyDescent="0.35">
      <c r="D257" s="106"/>
      <c r="F257" s="106"/>
    </row>
    <row r="258" spans="4:6" x14ac:dyDescent="0.35">
      <c r="D258" s="106"/>
      <c r="F258" s="106"/>
    </row>
    <row r="259" spans="4:6" x14ac:dyDescent="0.35">
      <c r="D259" s="106"/>
      <c r="F259" s="106"/>
    </row>
    <row r="260" spans="4:6" x14ac:dyDescent="0.35">
      <c r="D260" s="106"/>
      <c r="F260" s="106"/>
    </row>
    <row r="261" spans="4:6" x14ac:dyDescent="0.35">
      <c r="D261" s="106"/>
      <c r="F261" s="106"/>
    </row>
    <row r="262" spans="4:6" x14ac:dyDescent="0.35">
      <c r="D262" s="106"/>
      <c r="F262" s="106"/>
    </row>
    <row r="263" spans="4:6" x14ac:dyDescent="0.35">
      <c r="D263" s="106"/>
      <c r="F263" s="106"/>
    </row>
    <row r="264" spans="4:6" x14ac:dyDescent="0.35">
      <c r="D264" s="106"/>
      <c r="F264" s="106"/>
    </row>
    <row r="265" spans="4:6" x14ac:dyDescent="0.35">
      <c r="D265" s="106"/>
      <c r="F265" s="106"/>
    </row>
    <row r="266" spans="4:6" x14ac:dyDescent="0.35">
      <c r="D266" s="106"/>
      <c r="F266" s="106"/>
    </row>
    <row r="267" spans="4:6" x14ac:dyDescent="0.35">
      <c r="D267" s="106"/>
      <c r="F267" s="106"/>
    </row>
    <row r="268" spans="4:6" x14ac:dyDescent="0.35">
      <c r="D268" s="106"/>
      <c r="F268" s="106"/>
    </row>
    <row r="269" spans="4:6" x14ac:dyDescent="0.35">
      <c r="D269" s="106"/>
      <c r="F269" s="106"/>
    </row>
    <row r="270" spans="4:6" x14ac:dyDescent="0.35">
      <c r="D270" s="106"/>
      <c r="F270" s="106"/>
    </row>
    <row r="271" spans="4:6" x14ac:dyDescent="0.35">
      <c r="D271" s="106"/>
      <c r="F271" s="106"/>
    </row>
    <row r="272" spans="4:6" x14ac:dyDescent="0.35">
      <c r="D272" s="106"/>
      <c r="F272" s="106"/>
    </row>
    <row r="273" spans="4:6" x14ac:dyDescent="0.35">
      <c r="D273" s="106"/>
      <c r="F273" s="106"/>
    </row>
    <row r="274" spans="4:6" x14ac:dyDescent="0.35">
      <c r="D274" s="106"/>
      <c r="F274" s="106"/>
    </row>
    <row r="275" spans="4:6" x14ac:dyDescent="0.35">
      <c r="D275" s="106"/>
      <c r="F275" s="106"/>
    </row>
    <row r="276" spans="4:6" x14ac:dyDescent="0.35">
      <c r="D276" s="106"/>
      <c r="F276" s="106"/>
    </row>
    <row r="277" spans="4:6" x14ac:dyDescent="0.35">
      <c r="D277" s="106"/>
      <c r="F277" s="106"/>
    </row>
    <row r="278" spans="4:6" x14ac:dyDescent="0.35">
      <c r="D278" s="106"/>
      <c r="F278" s="106"/>
    </row>
    <row r="279" spans="4:6" x14ac:dyDescent="0.35">
      <c r="D279" s="106"/>
      <c r="F279" s="106"/>
    </row>
    <row r="280" spans="4:6" x14ac:dyDescent="0.35">
      <c r="D280" s="106"/>
      <c r="F280" s="106"/>
    </row>
    <row r="281" spans="4:6" x14ac:dyDescent="0.35">
      <c r="D281" s="106"/>
      <c r="F281" s="106"/>
    </row>
    <row r="282" spans="4:6" x14ac:dyDescent="0.35">
      <c r="D282" s="106"/>
      <c r="F282" s="106"/>
    </row>
    <row r="283" spans="4:6" x14ac:dyDescent="0.35">
      <c r="D283" s="106"/>
      <c r="F283" s="106"/>
    </row>
    <row r="284" spans="4:6" x14ac:dyDescent="0.35">
      <c r="D284" s="106"/>
      <c r="F284" s="106"/>
    </row>
    <row r="285" spans="4:6" x14ac:dyDescent="0.35">
      <c r="D285" s="106"/>
      <c r="F285" s="106"/>
    </row>
    <row r="286" spans="4:6" x14ac:dyDescent="0.35">
      <c r="D286" s="106"/>
      <c r="F286" s="106"/>
    </row>
    <row r="287" spans="4:6" x14ac:dyDescent="0.35">
      <c r="D287" s="106"/>
      <c r="F287" s="106"/>
    </row>
    <row r="288" spans="4:6" x14ac:dyDescent="0.35">
      <c r="D288" s="106"/>
      <c r="F288" s="106"/>
    </row>
    <row r="289" spans="4:6" x14ac:dyDescent="0.35">
      <c r="D289" s="106"/>
      <c r="F289" s="106"/>
    </row>
    <row r="290" spans="4:6" x14ac:dyDescent="0.35">
      <c r="D290" s="106"/>
      <c r="F290" s="106"/>
    </row>
    <row r="291" spans="4:6" x14ac:dyDescent="0.35">
      <c r="D291" s="106"/>
      <c r="F291" s="106"/>
    </row>
    <row r="292" spans="4:6" x14ac:dyDescent="0.35">
      <c r="D292" s="106"/>
      <c r="F292" s="106"/>
    </row>
    <row r="293" spans="4:6" x14ac:dyDescent="0.35">
      <c r="D293" s="106"/>
      <c r="F293" s="106"/>
    </row>
    <row r="294" spans="4:6" x14ac:dyDescent="0.35">
      <c r="D294" s="106"/>
      <c r="F294" s="106"/>
    </row>
    <row r="295" spans="4:6" x14ac:dyDescent="0.35">
      <c r="D295" s="106"/>
      <c r="F295" s="106"/>
    </row>
    <row r="296" spans="4:6" x14ac:dyDescent="0.35">
      <c r="D296" s="106"/>
      <c r="F296" s="106"/>
    </row>
    <row r="297" spans="4:6" x14ac:dyDescent="0.35">
      <c r="D297" s="106"/>
      <c r="F297" s="106"/>
    </row>
    <row r="298" spans="4:6" x14ac:dyDescent="0.35">
      <c r="D298" s="106"/>
      <c r="F298" s="106"/>
    </row>
    <row r="299" spans="4:6" x14ac:dyDescent="0.35">
      <c r="D299" s="106"/>
      <c r="F299" s="106"/>
    </row>
    <row r="300" spans="4:6" x14ac:dyDescent="0.35">
      <c r="D300" s="106"/>
      <c r="F300" s="106"/>
    </row>
    <row r="301" spans="4:6" x14ac:dyDescent="0.35">
      <c r="D301" s="106"/>
      <c r="F301" s="106"/>
    </row>
    <row r="302" spans="4:6" x14ac:dyDescent="0.35">
      <c r="D302" s="106"/>
      <c r="F302" s="106"/>
    </row>
    <row r="303" spans="4:6" x14ac:dyDescent="0.35">
      <c r="D303" s="106"/>
      <c r="F303" s="106"/>
    </row>
    <row r="304" spans="4:6" x14ac:dyDescent="0.35">
      <c r="D304" s="106"/>
      <c r="F304" s="106"/>
    </row>
    <row r="305" spans="4:6" x14ac:dyDescent="0.35">
      <c r="D305" s="106"/>
      <c r="F305" s="106"/>
    </row>
    <row r="306" spans="4:6" x14ac:dyDescent="0.35">
      <c r="D306" s="106"/>
      <c r="F306" s="106"/>
    </row>
    <row r="307" spans="4:6" x14ac:dyDescent="0.35">
      <c r="D307" s="106"/>
      <c r="F307" s="106"/>
    </row>
    <row r="308" spans="4:6" x14ac:dyDescent="0.35">
      <c r="D308" s="106"/>
      <c r="F308" s="106"/>
    </row>
    <row r="309" spans="4:6" x14ac:dyDescent="0.35">
      <c r="D309" s="106"/>
      <c r="F309" s="106"/>
    </row>
    <row r="310" spans="4:6" x14ac:dyDescent="0.35">
      <c r="D310" s="106"/>
      <c r="F310" s="106"/>
    </row>
    <row r="311" spans="4:6" x14ac:dyDescent="0.35">
      <c r="D311" s="106"/>
      <c r="F311" s="106"/>
    </row>
    <row r="312" spans="4:6" x14ac:dyDescent="0.35">
      <c r="D312" s="106"/>
      <c r="F312" s="106"/>
    </row>
    <row r="313" spans="4:6" x14ac:dyDescent="0.35">
      <c r="D313" s="106"/>
      <c r="F313" s="106"/>
    </row>
    <row r="314" spans="4:6" x14ac:dyDescent="0.35">
      <c r="D314" s="106"/>
      <c r="F314" s="106"/>
    </row>
    <row r="315" spans="4:6" x14ac:dyDescent="0.35">
      <c r="D315" s="106"/>
      <c r="F315" s="106"/>
    </row>
    <row r="316" spans="4:6" x14ac:dyDescent="0.35">
      <c r="D316" s="106"/>
      <c r="F316" s="106"/>
    </row>
    <row r="317" spans="4:6" x14ac:dyDescent="0.35">
      <c r="D317" s="106"/>
      <c r="F317" s="106"/>
    </row>
    <row r="318" spans="4:6" x14ac:dyDescent="0.35">
      <c r="D318" s="106"/>
      <c r="F318" s="106"/>
    </row>
    <row r="319" spans="4:6" x14ac:dyDescent="0.35">
      <c r="D319" s="106"/>
      <c r="F319" s="106"/>
    </row>
    <row r="320" spans="4:6" x14ac:dyDescent="0.35">
      <c r="D320" s="106"/>
      <c r="F320" s="106"/>
    </row>
    <row r="321" spans="4:6" x14ac:dyDescent="0.35">
      <c r="D321" s="106"/>
      <c r="F321" s="106"/>
    </row>
    <row r="322" spans="4:6" x14ac:dyDescent="0.35">
      <c r="D322" s="106"/>
      <c r="F322" s="106"/>
    </row>
    <row r="323" spans="4:6" x14ac:dyDescent="0.35">
      <c r="D323" s="106"/>
      <c r="F323" s="106"/>
    </row>
    <row r="324" spans="4:6" x14ac:dyDescent="0.35">
      <c r="D324" s="106"/>
      <c r="F324" s="106"/>
    </row>
    <row r="325" spans="4:6" x14ac:dyDescent="0.35">
      <c r="D325" s="106"/>
      <c r="F325" s="106"/>
    </row>
    <row r="326" spans="4:6" x14ac:dyDescent="0.35">
      <c r="D326" s="106"/>
      <c r="F326" s="106"/>
    </row>
    <row r="327" spans="4:6" x14ac:dyDescent="0.35">
      <c r="D327" s="106"/>
      <c r="F327" s="106"/>
    </row>
    <row r="328" spans="4:6" x14ac:dyDescent="0.35">
      <c r="D328" s="106"/>
      <c r="F328" s="106"/>
    </row>
    <row r="329" spans="4:6" x14ac:dyDescent="0.35">
      <c r="D329" s="106"/>
      <c r="F329" s="106"/>
    </row>
    <row r="330" spans="4:6" x14ac:dyDescent="0.35">
      <c r="D330" s="106"/>
      <c r="F330" s="106"/>
    </row>
    <row r="331" spans="4:6" x14ac:dyDescent="0.35">
      <c r="D331" s="106"/>
      <c r="F331" s="106"/>
    </row>
    <row r="332" spans="4:6" x14ac:dyDescent="0.35">
      <c r="D332" s="106"/>
      <c r="F332" s="106"/>
    </row>
    <row r="333" spans="4:6" x14ac:dyDescent="0.35">
      <c r="D333" s="106"/>
      <c r="F333" s="106"/>
    </row>
    <row r="334" spans="4:6" x14ac:dyDescent="0.35">
      <c r="D334" s="106"/>
      <c r="F334" s="106"/>
    </row>
    <row r="335" spans="4:6" x14ac:dyDescent="0.35">
      <c r="D335" s="106"/>
      <c r="F335" s="106"/>
    </row>
    <row r="336" spans="4:6" x14ac:dyDescent="0.35">
      <c r="D336" s="106"/>
      <c r="F336" s="106"/>
    </row>
    <row r="337" spans="4:6" x14ac:dyDescent="0.35">
      <c r="D337" s="106"/>
      <c r="F337" s="106"/>
    </row>
    <row r="338" spans="4:6" x14ac:dyDescent="0.35">
      <c r="D338" s="106"/>
      <c r="F338" s="106"/>
    </row>
    <row r="339" spans="4:6" x14ac:dyDescent="0.35">
      <c r="D339" s="106"/>
      <c r="F339" s="106"/>
    </row>
    <row r="340" spans="4:6" x14ac:dyDescent="0.35">
      <c r="D340" s="106"/>
      <c r="F340" s="106"/>
    </row>
    <row r="341" spans="4:6" x14ac:dyDescent="0.35">
      <c r="D341" s="106"/>
      <c r="F341" s="106"/>
    </row>
    <row r="342" spans="4:6" x14ac:dyDescent="0.35">
      <c r="D342" s="106"/>
      <c r="F342" s="106"/>
    </row>
    <row r="343" spans="4:6" x14ac:dyDescent="0.35">
      <c r="D343" s="106"/>
      <c r="F343" s="106"/>
    </row>
    <row r="344" spans="4:6" x14ac:dyDescent="0.35">
      <c r="D344" s="106"/>
      <c r="F344" s="106"/>
    </row>
    <row r="345" spans="4:6" x14ac:dyDescent="0.35">
      <c r="D345" s="106"/>
      <c r="F345" s="106"/>
    </row>
    <row r="346" spans="4:6" x14ac:dyDescent="0.35">
      <c r="D346" s="106"/>
      <c r="F346" s="106"/>
    </row>
    <row r="347" spans="4:6" x14ac:dyDescent="0.35">
      <c r="D347" s="106"/>
      <c r="F347" s="106"/>
    </row>
    <row r="348" spans="4:6" x14ac:dyDescent="0.35">
      <c r="D348" s="106"/>
      <c r="F348" s="106"/>
    </row>
    <row r="349" spans="4:6" x14ac:dyDescent="0.35">
      <c r="D349" s="106"/>
      <c r="F349" s="106"/>
    </row>
    <row r="350" spans="4:6" x14ac:dyDescent="0.35">
      <c r="D350" s="106"/>
      <c r="F350" s="106"/>
    </row>
    <row r="351" spans="4:6" x14ac:dyDescent="0.35">
      <c r="D351" s="106"/>
      <c r="F351" s="106"/>
    </row>
    <row r="352" spans="4:6" x14ac:dyDescent="0.35">
      <c r="D352" s="106"/>
      <c r="F352" s="106"/>
    </row>
    <row r="353" spans="4:6" x14ac:dyDescent="0.35">
      <c r="D353" s="106"/>
      <c r="F353" s="106"/>
    </row>
    <row r="354" spans="4:6" x14ac:dyDescent="0.35">
      <c r="D354" s="106"/>
      <c r="F354" s="106"/>
    </row>
    <row r="355" spans="4:6" x14ac:dyDescent="0.35">
      <c r="D355" s="106"/>
      <c r="F355" s="106"/>
    </row>
    <row r="356" spans="4:6" x14ac:dyDescent="0.35">
      <c r="D356" s="106"/>
      <c r="F356" s="106"/>
    </row>
    <row r="357" spans="4:6" x14ac:dyDescent="0.35">
      <c r="D357" s="106"/>
      <c r="F357" s="106"/>
    </row>
    <row r="358" spans="4:6" x14ac:dyDescent="0.35">
      <c r="D358" s="106"/>
      <c r="F358" s="106"/>
    </row>
    <row r="359" spans="4:6" x14ac:dyDescent="0.35">
      <c r="D359" s="106"/>
      <c r="F359" s="106"/>
    </row>
    <row r="360" spans="4:6" x14ac:dyDescent="0.35">
      <c r="D360" s="106"/>
      <c r="F360" s="106"/>
    </row>
    <row r="361" spans="4:6" x14ac:dyDescent="0.35">
      <c r="D361" s="106"/>
      <c r="F361" s="106"/>
    </row>
    <row r="362" spans="4:6" x14ac:dyDescent="0.35">
      <c r="D362" s="106"/>
      <c r="F362" s="106"/>
    </row>
    <row r="363" spans="4:6" x14ac:dyDescent="0.35">
      <c r="D363" s="106"/>
      <c r="F363" s="106"/>
    </row>
    <row r="364" spans="4:6" x14ac:dyDescent="0.35">
      <c r="D364" s="106"/>
      <c r="F364" s="106"/>
    </row>
    <row r="365" spans="4:6" x14ac:dyDescent="0.35">
      <c r="D365" s="106"/>
      <c r="F365" s="106"/>
    </row>
    <row r="366" spans="4:6" x14ac:dyDescent="0.35">
      <c r="D366" s="106"/>
      <c r="F366" s="106"/>
    </row>
    <row r="367" spans="4:6" x14ac:dyDescent="0.35">
      <c r="D367" s="106"/>
      <c r="F367" s="106"/>
    </row>
    <row r="368" spans="4:6" x14ac:dyDescent="0.35">
      <c r="D368" s="106"/>
      <c r="F368" s="106"/>
    </row>
    <row r="369" spans="4:6" x14ac:dyDescent="0.35">
      <c r="D369" s="106"/>
      <c r="F369" s="106"/>
    </row>
    <row r="370" spans="4:6" x14ac:dyDescent="0.35">
      <c r="D370" s="106"/>
      <c r="F370" s="106"/>
    </row>
    <row r="371" spans="4:6" x14ac:dyDescent="0.35">
      <c r="D371" s="106"/>
      <c r="F371" s="106"/>
    </row>
    <row r="372" spans="4:6" x14ac:dyDescent="0.35">
      <c r="D372" s="106"/>
      <c r="F372" s="106"/>
    </row>
    <row r="373" spans="4:6" x14ac:dyDescent="0.35">
      <c r="D373" s="106"/>
      <c r="F373" s="106"/>
    </row>
    <row r="374" spans="4:6" x14ac:dyDescent="0.35">
      <c r="D374" s="106"/>
      <c r="F374" s="106"/>
    </row>
    <row r="375" spans="4:6" x14ac:dyDescent="0.35">
      <c r="D375" s="106"/>
      <c r="F375" s="106"/>
    </row>
    <row r="376" spans="4:6" x14ac:dyDescent="0.35">
      <c r="D376" s="106"/>
      <c r="F376" s="106"/>
    </row>
    <row r="377" spans="4:6" x14ac:dyDescent="0.35">
      <c r="D377" s="106"/>
      <c r="F377" s="106"/>
    </row>
    <row r="378" spans="4:6" x14ac:dyDescent="0.35">
      <c r="D378" s="106"/>
      <c r="F378" s="106"/>
    </row>
    <row r="379" spans="4:6" x14ac:dyDescent="0.35">
      <c r="D379" s="106"/>
      <c r="F379" s="106"/>
    </row>
    <row r="380" spans="4:6" x14ac:dyDescent="0.35">
      <c r="D380" s="106"/>
      <c r="F380" s="106"/>
    </row>
    <row r="381" spans="4:6" x14ac:dyDescent="0.35">
      <c r="D381" s="106"/>
      <c r="F381" s="106"/>
    </row>
    <row r="382" spans="4:6" x14ac:dyDescent="0.35">
      <c r="D382" s="106"/>
      <c r="F382" s="106"/>
    </row>
    <row r="383" spans="4:6" x14ac:dyDescent="0.35">
      <c r="D383" s="106"/>
      <c r="F383" s="106"/>
    </row>
    <row r="384" spans="4:6" x14ac:dyDescent="0.35">
      <c r="D384" s="106"/>
      <c r="F384" s="106"/>
    </row>
    <row r="385" spans="4:6" x14ac:dyDescent="0.35">
      <c r="D385" s="106"/>
      <c r="F385" s="106"/>
    </row>
    <row r="386" spans="4:6" x14ac:dyDescent="0.35">
      <c r="D386" s="106"/>
      <c r="F386" s="106"/>
    </row>
    <row r="387" spans="4:6" x14ac:dyDescent="0.35">
      <c r="D387" s="106"/>
      <c r="F387" s="106"/>
    </row>
    <row r="388" spans="4:6" x14ac:dyDescent="0.35">
      <c r="D388" s="106"/>
      <c r="F388" s="106"/>
    </row>
    <row r="389" spans="4:6" x14ac:dyDescent="0.35">
      <c r="D389" s="106"/>
      <c r="F389" s="106"/>
    </row>
    <row r="390" spans="4:6" x14ac:dyDescent="0.35">
      <c r="D390" s="106"/>
      <c r="F390" s="106"/>
    </row>
    <row r="391" spans="4:6" x14ac:dyDescent="0.35">
      <c r="D391" s="106"/>
      <c r="F391" s="106"/>
    </row>
    <row r="392" spans="4:6" x14ac:dyDescent="0.35">
      <c r="D392" s="106"/>
      <c r="F392" s="106"/>
    </row>
    <row r="393" spans="4:6" x14ac:dyDescent="0.35">
      <c r="D393" s="106"/>
      <c r="F393" s="106"/>
    </row>
    <row r="394" spans="4:6" x14ac:dyDescent="0.35">
      <c r="D394" s="106"/>
      <c r="F394" s="106"/>
    </row>
    <row r="395" spans="4:6" x14ac:dyDescent="0.35">
      <c r="D395" s="106"/>
      <c r="F395" s="106"/>
    </row>
    <row r="396" spans="4:6" x14ac:dyDescent="0.35">
      <c r="D396" s="106"/>
      <c r="F396" s="106"/>
    </row>
    <row r="397" spans="4:6" x14ac:dyDescent="0.35">
      <c r="D397" s="106"/>
      <c r="F397" s="106"/>
    </row>
    <row r="398" spans="4:6" x14ac:dyDescent="0.35">
      <c r="D398" s="106"/>
      <c r="F398" s="106"/>
    </row>
    <row r="399" spans="4:6" x14ac:dyDescent="0.35">
      <c r="D399" s="106"/>
      <c r="F399" s="106"/>
    </row>
    <row r="400" spans="4:6" x14ac:dyDescent="0.35">
      <c r="D400" s="106"/>
      <c r="F400" s="106"/>
    </row>
    <row r="401" spans="4:6" x14ac:dyDescent="0.35">
      <c r="D401" s="106"/>
      <c r="F401" s="106"/>
    </row>
    <row r="402" spans="4:6" x14ac:dyDescent="0.35">
      <c r="D402" s="106"/>
      <c r="F402" s="106"/>
    </row>
    <row r="403" spans="4:6" x14ac:dyDescent="0.35">
      <c r="D403" s="106"/>
      <c r="F403" s="106"/>
    </row>
    <row r="404" spans="4:6" x14ac:dyDescent="0.35">
      <c r="D404" s="106"/>
      <c r="F404" s="106"/>
    </row>
    <row r="405" spans="4:6" x14ac:dyDescent="0.35">
      <c r="D405" s="106"/>
      <c r="F405" s="106"/>
    </row>
    <row r="406" spans="4:6" x14ac:dyDescent="0.35">
      <c r="D406" s="106"/>
      <c r="F406" s="106"/>
    </row>
    <row r="407" spans="4:6" x14ac:dyDescent="0.35">
      <c r="D407" s="106"/>
      <c r="F407" s="106"/>
    </row>
    <row r="408" spans="4:6" x14ac:dyDescent="0.35">
      <c r="D408" s="106"/>
      <c r="F408" s="106"/>
    </row>
    <row r="409" spans="4:6" x14ac:dyDescent="0.35">
      <c r="D409" s="106"/>
      <c r="F409" s="106"/>
    </row>
    <row r="410" spans="4:6" x14ac:dyDescent="0.35">
      <c r="D410" s="106"/>
      <c r="F410" s="106"/>
    </row>
    <row r="411" spans="4:6" x14ac:dyDescent="0.35">
      <c r="D411" s="106"/>
      <c r="F411" s="106"/>
    </row>
    <row r="412" spans="4:6" x14ac:dyDescent="0.35">
      <c r="D412" s="106"/>
      <c r="F412" s="106"/>
    </row>
    <row r="413" spans="4:6" x14ac:dyDescent="0.35">
      <c r="D413" s="106"/>
      <c r="F413" s="106"/>
    </row>
    <row r="414" spans="4:6" x14ac:dyDescent="0.35">
      <c r="D414" s="106"/>
      <c r="F414" s="106"/>
    </row>
    <row r="415" spans="4:6" x14ac:dyDescent="0.35">
      <c r="D415" s="106"/>
      <c r="F415" s="106"/>
    </row>
    <row r="416" spans="4:6" x14ac:dyDescent="0.35">
      <c r="D416" s="106"/>
      <c r="F416" s="106"/>
    </row>
    <row r="417" spans="4:6" x14ac:dyDescent="0.35">
      <c r="D417" s="106"/>
      <c r="F417" s="106"/>
    </row>
    <row r="418" spans="4:6" x14ac:dyDescent="0.35">
      <c r="D418" s="106"/>
      <c r="F418" s="106"/>
    </row>
    <row r="419" spans="4:6" x14ac:dyDescent="0.35">
      <c r="D419" s="106"/>
      <c r="F419" s="106"/>
    </row>
    <row r="420" spans="4:6" x14ac:dyDescent="0.35">
      <c r="D420" s="106"/>
      <c r="F420" s="106"/>
    </row>
    <row r="421" spans="4:6" x14ac:dyDescent="0.35">
      <c r="D421" s="106"/>
      <c r="F421" s="106"/>
    </row>
    <row r="422" spans="4:6" x14ac:dyDescent="0.35">
      <c r="D422" s="106"/>
      <c r="F422" s="106"/>
    </row>
    <row r="423" spans="4:6" x14ac:dyDescent="0.35">
      <c r="D423" s="106"/>
      <c r="F423" s="106"/>
    </row>
    <row r="424" spans="4:6" x14ac:dyDescent="0.35">
      <c r="D424" s="106"/>
      <c r="F424" s="106"/>
    </row>
    <row r="425" spans="4:6" x14ac:dyDescent="0.35">
      <c r="D425" s="106"/>
      <c r="F425" s="106"/>
    </row>
    <row r="426" spans="4:6" x14ac:dyDescent="0.35">
      <c r="D426" s="106"/>
      <c r="F426" s="106"/>
    </row>
    <row r="427" spans="4:6" x14ac:dyDescent="0.35">
      <c r="D427" s="106"/>
      <c r="F427" s="106"/>
    </row>
    <row r="428" spans="4:6" x14ac:dyDescent="0.35">
      <c r="D428" s="106"/>
      <c r="F428" s="106"/>
    </row>
    <row r="429" spans="4:6" x14ac:dyDescent="0.35">
      <c r="D429" s="106"/>
      <c r="F429" s="106"/>
    </row>
    <row r="430" spans="4:6" x14ac:dyDescent="0.35">
      <c r="D430" s="106"/>
      <c r="F430" s="106"/>
    </row>
    <row r="431" spans="4:6" x14ac:dyDescent="0.35">
      <c r="D431" s="106"/>
      <c r="F431" s="106"/>
    </row>
    <row r="432" spans="4:6" x14ac:dyDescent="0.35">
      <c r="D432" s="106"/>
      <c r="F432" s="106"/>
    </row>
    <row r="433" spans="4:6" x14ac:dyDescent="0.35">
      <c r="D433" s="106"/>
      <c r="F433" s="106"/>
    </row>
    <row r="434" spans="4:6" x14ac:dyDescent="0.35">
      <c r="D434" s="106"/>
      <c r="F434" s="106"/>
    </row>
    <row r="435" spans="4:6" x14ac:dyDescent="0.35">
      <c r="D435" s="106"/>
      <c r="F435" s="106"/>
    </row>
    <row r="436" spans="4:6" x14ac:dyDescent="0.35">
      <c r="D436" s="106"/>
      <c r="F436" s="106"/>
    </row>
    <row r="437" spans="4:6" x14ac:dyDescent="0.35">
      <c r="D437" s="106"/>
      <c r="F437" s="106"/>
    </row>
    <row r="438" spans="4:6" x14ac:dyDescent="0.35">
      <c r="D438" s="106"/>
      <c r="F438" s="106"/>
    </row>
    <row r="439" spans="4:6" x14ac:dyDescent="0.35">
      <c r="D439" s="106"/>
      <c r="F439" s="106"/>
    </row>
    <row r="440" spans="4:6" x14ac:dyDescent="0.35">
      <c r="D440" s="106"/>
      <c r="F440" s="106"/>
    </row>
    <row r="441" spans="4:6" x14ac:dyDescent="0.35">
      <c r="D441" s="106"/>
      <c r="F441" s="106"/>
    </row>
    <row r="442" spans="4:6" x14ac:dyDescent="0.35">
      <c r="D442" s="106"/>
      <c r="F442" s="106"/>
    </row>
    <row r="443" spans="4:6" x14ac:dyDescent="0.35">
      <c r="D443" s="106"/>
      <c r="F443" s="106"/>
    </row>
    <row r="444" spans="4:6" x14ac:dyDescent="0.35">
      <c r="D444" s="106"/>
      <c r="F444" s="106"/>
    </row>
    <row r="445" spans="4:6" x14ac:dyDescent="0.35">
      <c r="D445" s="106"/>
      <c r="F445" s="106"/>
    </row>
    <row r="446" spans="4:6" x14ac:dyDescent="0.35">
      <c r="D446" s="106"/>
      <c r="F446" s="106"/>
    </row>
    <row r="447" spans="4:6" x14ac:dyDescent="0.35">
      <c r="D447" s="106"/>
      <c r="F447" s="106"/>
    </row>
    <row r="448" spans="4:6" x14ac:dyDescent="0.35">
      <c r="D448" s="106"/>
      <c r="F448" s="106"/>
    </row>
    <row r="449" spans="4:6" x14ac:dyDescent="0.35">
      <c r="D449" s="106"/>
      <c r="F449" s="106"/>
    </row>
    <row r="450" spans="4:6" x14ac:dyDescent="0.35">
      <c r="D450" s="106"/>
      <c r="F450" s="106"/>
    </row>
    <row r="451" spans="4:6" x14ac:dyDescent="0.35">
      <c r="D451" s="106"/>
      <c r="F451" s="106"/>
    </row>
    <row r="452" spans="4:6" x14ac:dyDescent="0.35">
      <c r="D452" s="106"/>
      <c r="F452" s="106"/>
    </row>
    <row r="453" spans="4:6" x14ac:dyDescent="0.35">
      <c r="D453" s="106"/>
      <c r="F453" s="106"/>
    </row>
    <row r="454" spans="4:6" x14ac:dyDescent="0.35">
      <c r="D454" s="106"/>
      <c r="F454" s="106"/>
    </row>
    <row r="455" spans="4:6" x14ac:dyDescent="0.35">
      <c r="D455" s="106"/>
      <c r="F455" s="106"/>
    </row>
    <row r="456" spans="4:6" x14ac:dyDescent="0.35">
      <c r="D456" s="106"/>
      <c r="F456" s="106"/>
    </row>
    <row r="457" spans="4:6" x14ac:dyDescent="0.35">
      <c r="D457" s="106"/>
      <c r="F457" s="106"/>
    </row>
    <row r="458" spans="4:6" x14ac:dyDescent="0.35">
      <c r="D458" s="106"/>
      <c r="F458" s="106"/>
    </row>
    <row r="459" spans="4:6" x14ac:dyDescent="0.35">
      <c r="D459" s="106"/>
      <c r="F459" s="106"/>
    </row>
    <row r="460" spans="4:6" x14ac:dyDescent="0.35">
      <c r="D460" s="106"/>
      <c r="F460" s="106"/>
    </row>
    <row r="461" spans="4:6" x14ac:dyDescent="0.35">
      <c r="D461" s="106"/>
      <c r="F461" s="106"/>
    </row>
    <row r="462" spans="4:6" x14ac:dyDescent="0.35">
      <c r="D462" s="106"/>
      <c r="F462" s="106"/>
    </row>
    <row r="463" spans="4:6" x14ac:dyDescent="0.35">
      <c r="D463" s="106"/>
      <c r="F463" s="106"/>
    </row>
    <row r="464" spans="4:6" x14ac:dyDescent="0.35">
      <c r="D464" s="106"/>
      <c r="F464" s="106"/>
    </row>
    <row r="465" spans="4:6" x14ac:dyDescent="0.35">
      <c r="D465" s="106"/>
      <c r="F465" s="106"/>
    </row>
    <row r="466" spans="4:6" x14ac:dyDescent="0.35">
      <c r="D466" s="106"/>
      <c r="F466" s="106"/>
    </row>
    <row r="467" spans="4:6" x14ac:dyDescent="0.35">
      <c r="D467" s="106"/>
      <c r="F467" s="106"/>
    </row>
    <row r="468" spans="4:6" x14ac:dyDescent="0.35">
      <c r="D468" s="106"/>
      <c r="F468" s="106"/>
    </row>
    <row r="469" spans="4:6" x14ac:dyDescent="0.35">
      <c r="D469" s="106"/>
      <c r="F469" s="106"/>
    </row>
    <row r="470" spans="4:6" x14ac:dyDescent="0.35">
      <c r="D470" s="106"/>
      <c r="F470" s="106"/>
    </row>
    <row r="471" spans="4:6" x14ac:dyDescent="0.35">
      <c r="D471" s="106"/>
      <c r="F471" s="106"/>
    </row>
    <row r="472" spans="4:6" x14ac:dyDescent="0.35">
      <c r="D472" s="106"/>
      <c r="F472" s="106"/>
    </row>
    <row r="473" spans="4:6" x14ac:dyDescent="0.35">
      <c r="D473" s="106"/>
      <c r="F473" s="106"/>
    </row>
    <row r="474" spans="4:6" x14ac:dyDescent="0.35">
      <c r="D474" s="106"/>
      <c r="F474" s="106"/>
    </row>
    <row r="475" spans="4:6" x14ac:dyDescent="0.35">
      <c r="D475" s="106"/>
      <c r="F475" s="106"/>
    </row>
    <row r="476" spans="4:6" x14ac:dyDescent="0.35">
      <c r="D476" s="106"/>
      <c r="F476" s="106"/>
    </row>
    <row r="477" spans="4:6" x14ac:dyDescent="0.35">
      <c r="D477" s="106"/>
      <c r="F477" s="106"/>
    </row>
    <row r="478" spans="4:6" x14ac:dyDescent="0.35">
      <c r="D478" s="106"/>
      <c r="F478" s="106"/>
    </row>
    <row r="479" spans="4:6" x14ac:dyDescent="0.35">
      <c r="D479" s="106"/>
      <c r="F479" s="106"/>
    </row>
    <row r="480" spans="4:6" x14ac:dyDescent="0.35">
      <c r="D480" s="106"/>
      <c r="F480" s="106"/>
    </row>
    <row r="481" spans="4:6" x14ac:dyDescent="0.35">
      <c r="D481" s="106"/>
      <c r="F481" s="106"/>
    </row>
    <row r="482" spans="4:6" x14ac:dyDescent="0.35">
      <c r="D482" s="106"/>
      <c r="F482" s="106"/>
    </row>
    <row r="483" spans="4:6" x14ac:dyDescent="0.35">
      <c r="D483" s="106"/>
      <c r="F483" s="106"/>
    </row>
    <row r="484" spans="4:6" x14ac:dyDescent="0.35">
      <c r="D484" s="106"/>
      <c r="F484" s="106"/>
    </row>
    <row r="485" spans="4:6" x14ac:dyDescent="0.35">
      <c r="D485" s="106"/>
      <c r="F485" s="106"/>
    </row>
    <row r="486" spans="4:6" x14ac:dyDescent="0.35">
      <c r="D486" s="106"/>
      <c r="F486" s="106"/>
    </row>
    <row r="487" spans="4:6" x14ac:dyDescent="0.35">
      <c r="D487" s="106"/>
      <c r="F487" s="106"/>
    </row>
    <row r="488" spans="4:6" x14ac:dyDescent="0.35">
      <c r="D488" s="106"/>
      <c r="F488" s="106"/>
    </row>
    <row r="489" spans="4:6" x14ac:dyDescent="0.35">
      <c r="D489" s="106"/>
      <c r="F489" s="106"/>
    </row>
    <row r="490" spans="4:6" x14ac:dyDescent="0.35">
      <c r="D490" s="106"/>
      <c r="F490" s="106"/>
    </row>
    <row r="491" spans="4:6" x14ac:dyDescent="0.35">
      <c r="D491" s="106"/>
      <c r="F491" s="106"/>
    </row>
    <row r="492" spans="4:6" x14ac:dyDescent="0.35">
      <c r="D492" s="106"/>
      <c r="F492" s="106"/>
    </row>
    <row r="493" spans="4:6" x14ac:dyDescent="0.35">
      <c r="D493" s="106"/>
      <c r="F493" s="106"/>
    </row>
    <row r="494" spans="4:6" x14ac:dyDescent="0.35">
      <c r="D494" s="106"/>
      <c r="F494" s="106"/>
    </row>
    <row r="495" spans="4:6" x14ac:dyDescent="0.35">
      <c r="D495" s="106"/>
      <c r="F495" s="106"/>
    </row>
    <row r="496" spans="4:6" x14ac:dyDescent="0.35">
      <c r="D496" s="106"/>
      <c r="F496" s="106"/>
    </row>
    <row r="497" spans="4:6" x14ac:dyDescent="0.35">
      <c r="D497" s="106"/>
      <c r="F497" s="106"/>
    </row>
    <row r="498" spans="4:6" x14ac:dyDescent="0.35">
      <c r="D498" s="106"/>
      <c r="F498" s="106"/>
    </row>
    <row r="499" spans="4:6" x14ac:dyDescent="0.35">
      <c r="D499" s="106"/>
      <c r="F499" s="106"/>
    </row>
    <row r="500" spans="4:6" x14ac:dyDescent="0.35">
      <c r="D500" s="106"/>
      <c r="F500" s="106"/>
    </row>
    <row r="501" spans="4:6" x14ac:dyDescent="0.35">
      <c r="D501" s="106"/>
      <c r="F501" s="106"/>
    </row>
    <row r="502" spans="4:6" x14ac:dyDescent="0.35">
      <c r="D502" s="106"/>
      <c r="F502" s="106"/>
    </row>
    <row r="503" spans="4:6" x14ac:dyDescent="0.35">
      <c r="D503" s="106"/>
      <c r="F503" s="106"/>
    </row>
    <row r="504" spans="4:6" x14ac:dyDescent="0.35">
      <c r="D504" s="106"/>
      <c r="F504" s="106"/>
    </row>
    <row r="505" spans="4:6" x14ac:dyDescent="0.35">
      <c r="D505" s="106"/>
      <c r="F505" s="106"/>
    </row>
    <row r="506" spans="4:6" x14ac:dyDescent="0.35">
      <c r="D506" s="106"/>
      <c r="F506" s="106"/>
    </row>
    <row r="507" spans="4:6" x14ac:dyDescent="0.35">
      <c r="D507" s="106"/>
      <c r="F507" s="106"/>
    </row>
    <row r="508" spans="4:6" x14ac:dyDescent="0.35">
      <c r="D508" s="106"/>
      <c r="F508" s="106"/>
    </row>
    <row r="509" spans="4:6" x14ac:dyDescent="0.35">
      <c r="D509" s="106"/>
      <c r="F509" s="106"/>
    </row>
    <row r="510" spans="4:6" x14ac:dyDescent="0.35">
      <c r="D510" s="106"/>
      <c r="F510" s="106"/>
    </row>
    <row r="511" spans="4:6" x14ac:dyDescent="0.35">
      <c r="D511" s="106"/>
      <c r="F511" s="106"/>
    </row>
    <row r="512" spans="4:6" x14ac:dyDescent="0.35">
      <c r="D512" s="106"/>
      <c r="F512" s="106"/>
    </row>
    <row r="513" spans="4:6" x14ac:dyDescent="0.35">
      <c r="D513" s="106"/>
      <c r="F513" s="106"/>
    </row>
    <row r="514" spans="4:6" x14ac:dyDescent="0.35">
      <c r="D514" s="106"/>
      <c r="F514" s="106"/>
    </row>
    <row r="515" spans="4:6" x14ac:dyDescent="0.35">
      <c r="D515" s="106"/>
      <c r="F515" s="106"/>
    </row>
    <row r="516" spans="4:6" x14ac:dyDescent="0.35">
      <c r="D516" s="106"/>
      <c r="F516" s="106"/>
    </row>
    <row r="517" spans="4:6" x14ac:dyDescent="0.35">
      <c r="D517" s="106"/>
      <c r="F517" s="106"/>
    </row>
    <row r="518" spans="4:6" x14ac:dyDescent="0.35">
      <c r="D518" s="106"/>
      <c r="F518" s="106"/>
    </row>
    <row r="519" spans="4:6" x14ac:dyDescent="0.35">
      <c r="D519" s="106"/>
      <c r="F519" s="106"/>
    </row>
    <row r="520" spans="4:6" x14ac:dyDescent="0.35">
      <c r="D520" s="106"/>
      <c r="F520" s="106"/>
    </row>
    <row r="521" spans="4:6" x14ac:dyDescent="0.35">
      <c r="D521" s="106"/>
      <c r="F521" s="106"/>
    </row>
    <row r="522" spans="4:6" x14ac:dyDescent="0.35">
      <c r="D522" s="106"/>
      <c r="F522" s="106"/>
    </row>
    <row r="523" spans="4:6" x14ac:dyDescent="0.35">
      <c r="D523" s="106"/>
      <c r="F523" s="106"/>
    </row>
    <row r="524" spans="4:6" x14ac:dyDescent="0.35">
      <c r="D524" s="106"/>
      <c r="F524" s="106"/>
    </row>
    <row r="525" spans="4:6" x14ac:dyDescent="0.35">
      <c r="D525" s="106"/>
      <c r="F525" s="106"/>
    </row>
    <row r="526" spans="4:6" x14ac:dyDescent="0.35">
      <c r="D526" s="106"/>
      <c r="F526" s="106"/>
    </row>
    <row r="527" spans="4:6" x14ac:dyDescent="0.35">
      <c r="D527" s="106"/>
      <c r="F527" s="106"/>
    </row>
    <row r="528" spans="4:6" x14ac:dyDescent="0.35">
      <c r="D528" s="106"/>
      <c r="F528" s="106"/>
    </row>
    <row r="529" spans="4:6" x14ac:dyDescent="0.35">
      <c r="D529" s="106"/>
      <c r="F529" s="106"/>
    </row>
    <row r="530" spans="4:6" x14ac:dyDescent="0.35">
      <c r="D530" s="106"/>
      <c r="F530" s="106"/>
    </row>
    <row r="531" spans="4:6" x14ac:dyDescent="0.35">
      <c r="D531" s="106"/>
      <c r="F531" s="106"/>
    </row>
    <row r="532" spans="4:6" x14ac:dyDescent="0.35">
      <c r="D532" s="106"/>
      <c r="F532" s="106"/>
    </row>
    <row r="533" spans="4:6" x14ac:dyDescent="0.35">
      <c r="D533" s="106"/>
      <c r="F533" s="106"/>
    </row>
    <row r="534" spans="4:6" x14ac:dyDescent="0.35">
      <c r="D534" s="106"/>
      <c r="F534" s="106"/>
    </row>
    <row r="535" spans="4:6" x14ac:dyDescent="0.35">
      <c r="D535" s="106"/>
      <c r="F535" s="106"/>
    </row>
    <row r="536" spans="4:6" x14ac:dyDescent="0.35">
      <c r="D536" s="106"/>
      <c r="F536" s="106"/>
    </row>
    <row r="537" spans="4:6" x14ac:dyDescent="0.35">
      <c r="D537" s="106"/>
      <c r="F537" s="106"/>
    </row>
    <row r="538" spans="4:6" x14ac:dyDescent="0.35">
      <c r="D538" s="106"/>
      <c r="F538" s="106"/>
    </row>
    <row r="539" spans="4:6" x14ac:dyDescent="0.35">
      <c r="D539" s="106"/>
      <c r="F539" s="106"/>
    </row>
    <row r="540" spans="4:6" x14ac:dyDescent="0.35">
      <c r="D540" s="106"/>
      <c r="F540" s="106"/>
    </row>
    <row r="541" spans="4:6" x14ac:dyDescent="0.35">
      <c r="D541" s="106"/>
      <c r="F541" s="106"/>
    </row>
    <row r="542" spans="4:6" x14ac:dyDescent="0.35">
      <c r="D542" s="106"/>
      <c r="F542" s="106"/>
    </row>
    <row r="543" spans="4:6" x14ac:dyDescent="0.35">
      <c r="D543" s="106"/>
      <c r="F543" s="106"/>
    </row>
    <row r="544" spans="4:6" x14ac:dyDescent="0.35">
      <c r="D544" s="106"/>
      <c r="F544" s="106"/>
    </row>
    <row r="545" spans="4:6" x14ac:dyDescent="0.35">
      <c r="D545" s="106"/>
      <c r="F545" s="106"/>
    </row>
    <row r="546" spans="4:6" x14ac:dyDescent="0.35">
      <c r="D546" s="106"/>
      <c r="F546" s="106"/>
    </row>
    <row r="547" spans="4:6" x14ac:dyDescent="0.35">
      <c r="D547" s="106"/>
      <c r="F547" s="106"/>
    </row>
    <row r="548" spans="4:6" x14ac:dyDescent="0.35">
      <c r="D548" s="106"/>
      <c r="F548" s="106"/>
    </row>
    <row r="549" spans="4:6" x14ac:dyDescent="0.35">
      <c r="D549" s="106"/>
      <c r="F549" s="106"/>
    </row>
    <row r="550" spans="4:6" x14ac:dyDescent="0.35">
      <c r="D550" s="106"/>
      <c r="F550" s="106"/>
    </row>
    <row r="551" spans="4:6" x14ac:dyDescent="0.35">
      <c r="D551" s="106"/>
      <c r="F551" s="106"/>
    </row>
    <row r="552" spans="4:6" x14ac:dyDescent="0.35">
      <c r="D552" s="106"/>
      <c r="F552" s="106"/>
    </row>
    <row r="553" spans="4:6" x14ac:dyDescent="0.35">
      <c r="D553" s="106"/>
      <c r="F553" s="106"/>
    </row>
    <row r="554" spans="4:6" x14ac:dyDescent="0.35">
      <c r="D554" s="106"/>
      <c r="F554" s="106"/>
    </row>
    <row r="555" spans="4:6" x14ac:dyDescent="0.35">
      <c r="D555" s="106"/>
      <c r="F555" s="106"/>
    </row>
    <row r="556" spans="4:6" x14ac:dyDescent="0.35">
      <c r="D556" s="106"/>
      <c r="F556" s="106"/>
    </row>
    <row r="557" spans="4:6" x14ac:dyDescent="0.35">
      <c r="D557" s="106"/>
      <c r="F557" s="106"/>
    </row>
    <row r="558" spans="4:6" x14ac:dyDescent="0.35">
      <c r="D558" s="106"/>
      <c r="F558" s="106"/>
    </row>
    <row r="559" spans="4:6" x14ac:dyDescent="0.35">
      <c r="D559" s="106"/>
      <c r="F559" s="106"/>
    </row>
    <row r="560" spans="4:6" x14ac:dyDescent="0.35">
      <c r="D560" s="106"/>
      <c r="F560" s="106"/>
    </row>
    <row r="561" spans="4:6" x14ac:dyDescent="0.35">
      <c r="D561" s="106"/>
      <c r="F561" s="106"/>
    </row>
    <row r="562" spans="4:6" x14ac:dyDescent="0.35">
      <c r="D562" s="106"/>
      <c r="F562" s="106"/>
    </row>
    <row r="563" spans="4:6" x14ac:dyDescent="0.35">
      <c r="D563" s="106"/>
      <c r="F563" s="106"/>
    </row>
    <row r="564" spans="4:6" x14ac:dyDescent="0.35">
      <c r="D564" s="106"/>
      <c r="F564" s="106"/>
    </row>
    <row r="565" spans="4:6" x14ac:dyDescent="0.35">
      <c r="D565" s="106"/>
      <c r="F565" s="106"/>
    </row>
    <row r="566" spans="4:6" x14ac:dyDescent="0.35">
      <c r="D566" s="106"/>
      <c r="F566" s="106"/>
    </row>
    <row r="567" spans="4:6" x14ac:dyDescent="0.35">
      <c r="D567" s="106"/>
      <c r="F567" s="106"/>
    </row>
    <row r="568" spans="4:6" x14ac:dyDescent="0.35">
      <c r="D568" s="106"/>
      <c r="F568" s="106"/>
    </row>
    <row r="569" spans="4:6" x14ac:dyDescent="0.35">
      <c r="D569" s="106"/>
      <c r="F569" s="106"/>
    </row>
    <row r="570" spans="4:6" x14ac:dyDescent="0.35">
      <c r="D570" s="106"/>
      <c r="F570" s="106"/>
    </row>
    <row r="571" spans="4:6" x14ac:dyDescent="0.35">
      <c r="D571" s="106"/>
      <c r="F571" s="106"/>
    </row>
    <row r="572" spans="4:6" x14ac:dyDescent="0.35">
      <c r="D572" s="106"/>
      <c r="F572" s="106"/>
    </row>
    <row r="573" spans="4:6" x14ac:dyDescent="0.35">
      <c r="D573" s="106"/>
      <c r="F573" s="106"/>
    </row>
    <row r="574" spans="4:6" x14ac:dyDescent="0.35">
      <c r="D574" s="106"/>
      <c r="F574" s="106"/>
    </row>
    <row r="575" spans="4:6" x14ac:dyDescent="0.35">
      <c r="D575" s="106"/>
      <c r="F575" s="106"/>
    </row>
    <row r="576" spans="4:6" x14ac:dyDescent="0.35">
      <c r="D576" s="106"/>
      <c r="F576" s="106"/>
    </row>
    <row r="577" spans="4:6" x14ac:dyDescent="0.35">
      <c r="D577" s="106"/>
      <c r="F577" s="106"/>
    </row>
    <row r="578" spans="4:6" x14ac:dyDescent="0.35">
      <c r="D578" s="106"/>
      <c r="F578" s="106"/>
    </row>
    <row r="579" spans="4:6" x14ac:dyDescent="0.35">
      <c r="D579" s="106"/>
      <c r="F579" s="106"/>
    </row>
    <row r="580" spans="4:6" x14ac:dyDescent="0.35">
      <c r="D580" s="106"/>
      <c r="F580" s="106"/>
    </row>
    <row r="581" spans="4:6" x14ac:dyDescent="0.35">
      <c r="D581" s="106"/>
      <c r="F581" s="106"/>
    </row>
    <row r="582" spans="4:6" x14ac:dyDescent="0.35">
      <c r="D582" s="106"/>
      <c r="F582" s="106"/>
    </row>
    <row r="583" spans="4:6" x14ac:dyDescent="0.35">
      <c r="D583" s="106"/>
      <c r="F583" s="106"/>
    </row>
    <row r="584" spans="4:6" x14ac:dyDescent="0.35">
      <c r="D584" s="106"/>
      <c r="F584" s="106"/>
    </row>
    <row r="585" spans="4:6" x14ac:dyDescent="0.35">
      <c r="D585" s="106"/>
      <c r="F585" s="106"/>
    </row>
    <row r="586" spans="4:6" x14ac:dyDescent="0.35">
      <c r="D586" s="106"/>
      <c r="F586" s="106"/>
    </row>
    <row r="587" spans="4:6" x14ac:dyDescent="0.35">
      <c r="D587" s="106"/>
      <c r="F587" s="106"/>
    </row>
    <row r="588" spans="4:6" x14ac:dyDescent="0.35">
      <c r="D588" s="106"/>
      <c r="F588" s="106"/>
    </row>
    <row r="589" spans="4:6" x14ac:dyDescent="0.35">
      <c r="D589" s="106"/>
      <c r="F589" s="106"/>
    </row>
    <row r="590" spans="4:6" x14ac:dyDescent="0.35">
      <c r="D590" s="106"/>
      <c r="F590" s="106"/>
    </row>
    <row r="591" spans="4:6" x14ac:dyDescent="0.35">
      <c r="D591" s="106"/>
      <c r="F591" s="106"/>
    </row>
    <row r="592" spans="4:6" x14ac:dyDescent="0.35">
      <c r="D592" s="106"/>
      <c r="F592" s="106"/>
    </row>
    <row r="593" spans="4:6" x14ac:dyDescent="0.35">
      <c r="D593" s="106"/>
      <c r="F593" s="106"/>
    </row>
    <row r="594" spans="4:6" x14ac:dyDescent="0.35">
      <c r="D594" s="106"/>
      <c r="F594" s="106"/>
    </row>
    <row r="595" spans="4:6" x14ac:dyDescent="0.35">
      <c r="D595" s="106"/>
      <c r="F595" s="106"/>
    </row>
    <row r="596" spans="4:6" x14ac:dyDescent="0.35">
      <c r="D596" s="106"/>
      <c r="F596" s="106"/>
    </row>
    <row r="597" spans="4:6" x14ac:dyDescent="0.35">
      <c r="D597" s="106"/>
      <c r="F597" s="106"/>
    </row>
    <row r="598" spans="4:6" x14ac:dyDescent="0.35">
      <c r="D598" s="106"/>
      <c r="F598" s="106"/>
    </row>
    <row r="599" spans="4:6" x14ac:dyDescent="0.35">
      <c r="D599" s="106"/>
      <c r="F599" s="106"/>
    </row>
    <row r="600" spans="4:6" x14ac:dyDescent="0.35">
      <c r="D600" s="106"/>
      <c r="F600" s="106"/>
    </row>
    <row r="601" spans="4:6" x14ac:dyDescent="0.35">
      <c r="D601" s="106"/>
      <c r="F601" s="106"/>
    </row>
    <row r="602" spans="4:6" x14ac:dyDescent="0.35">
      <c r="D602" s="106"/>
      <c r="F602" s="106"/>
    </row>
    <row r="603" spans="4:6" x14ac:dyDescent="0.35">
      <c r="D603" s="106"/>
      <c r="F603" s="106"/>
    </row>
    <row r="604" spans="4:6" x14ac:dyDescent="0.35">
      <c r="D604" s="106"/>
      <c r="F604" s="106"/>
    </row>
    <row r="605" spans="4:6" x14ac:dyDescent="0.35">
      <c r="D605" s="106"/>
      <c r="F605" s="106"/>
    </row>
    <row r="606" spans="4:6" x14ac:dyDescent="0.35">
      <c r="D606" s="106"/>
      <c r="F606" s="106"/>
    </row>
    <row r="607" spans="4:6" x14ac:dyDescent="0.35">
      <c r="D607" s="106"/>
      <c r="F607" s="106"/>
    </row>
    <row r="608" spans="4:6" x14ac:dyDescent="0.35">
      <c r="D608" s="106"/>
      <c r="F608" s="106"/>
    </row>
    <row r="609" spans="4:6" x14ac:dyDescent="0.35">
      <c r="D609" s="106"/>
      <c r="F609" s="106"/>
    </row>
    <row r="610" spans="4:6" x14ac:dyDescent="0.35">
      <c r="D610" s="106"/>
      <c r="F610" s="106"/>
    </row>
    <row r="611" spans="4:6" x14ac:dyDescent="0.35">
      <c r="D611" s="106"/>
      <c r="F611" s="106"/>
    </row>
    <row r="612" spans="4:6" x14ac:dyDescent="0.35">
      <c r="D612" s="106"/>
      <c r="F612" s="106"/>
    </row>
    <row r="613" spans="4:6" x14ac:dyDescent="0.35">
      <c r="D613" s="106"/>
      <c r="F613" s="106"/>
    </row>
    <row r="614" spans="4:6" x14ac:dyDescent="0.35">
      <c r="D614" s="106"/>
      <c r="F614" s="106"/>
    </row>
    <row r="615" spans="4:6" x14ac:dyDescent="0.35">
      <c r="D615" s="106"/>
      <c r="F615" s="106"/>
    </row>
    <row r="616" spans="4:6" x14ac:dyDescent="0.35">
      <c r="D616" s="106"/>
      <c r="F616" s="106"/>
    </row>
    <row r="617" spans="4:6" x14ac:dyDescent="0.35">
      <c r="D617" s="106"/>
      <c r="F617" s="106"/>
    </row>
    <row r="618" spans="4:6" x14ac:dyDescent="0.35">
      <c r="D618" s="106"/>
      <c r="F618" s="106"/>
    </row>
    <row r="619" spans="4:6" x14ac:dyDescent="0.35">
      <c r="D619" s="106"/>
      <c r="F619" s="106"/>
    </row>
    <row r="620" spans="4:6" x14ac:dyDescent="0.35">
      <c r="D620" s="106"/>
      <c r="F620" s="106"/>
    </row>
    <row r="621" spans="4:6" x14ac:dyDescent="0.35">
      <c r="D621" s="106"/>
      <c r="F621" s="106"/>
    </row>
    <row r="622" spans="4:6" x14ac:dyDescent="0.35">
      <c r="D622" s="106"/>
      <c r="F622" s="106"/>
    </row>
    <row r="623" spans="4:6" x14ac:dyDescent="0.35">
      <c r="D623" s="106"/>
      <c r="F623" s="106"/>
    </row>
    <row r="624" spans="4:6" x14ac:dyDescent="0.35">
      <c r="D624" s="106"/>
      <c r="F624" s="106"/>
    </row>
    <row r="625" spans="4:6" x14ac:dyDescent="0.35">
      <c r="D625" s="106"/>
      <c r="F625" s="106"/>
    </row>
    <row r="626" spans="4:6" x14ac:dyDescent="0.35">
      <c r="D626" s="106"/>
      <c r="F626" s="106"/>
    </row>
    <row r="627" spans="4:6" x14ac:dyDescent="0.35">
      <c r="D627" s="106"/>
      <c r="F627" s="106"/>
    </row>
    <row r="628" spans="4:6" x14ac:dyDescent="0.35">
      <c r="D628" s="106"/>
      <c r="F628" s="106"/>
    </row>
    <row r="629" spans="4:6" x14ac:dyDescent="0.35">
      <c r="D629" s="106"/>
      <c r="F629" s="106"/>
    </row>
    <row r="630" spans="4:6" x14ac:dyDescent="0.35">
      <c r="D630" s="106"/>
      <c r="F630" s="106"/>
    </row>
    <row r="631" spans="4:6" x14ac:dyDescent="0.35">
      <c r="D631" s="106"/>
      <c r="F631" s="106"/>
    </row>
    <row r="632" spans="4:6" x14ac:dyDescent="0.35">
      <c r="D632" s="106"/>
      <c r="F632" s="106"/>
    </row>
    <row r="633" spans="4:6" x14ac:dyDescent="0.35">
      <c r="D633" s="106"/>
      <c r="F633" s="106"/>
    </row>
    <row r="634" spans="4:6" x14ac:dyDescent="0.35">
      <c r="D634" s="106"/>
      <c r="F634" s="106"/>
    </row>
    <row r="635" spans="4:6" x14ac:dyDescent="0.35">
      <c r="D635" s="106"/>
      <c r="F635" s="106"/>
    </row>
    <row r="636" spans="4:6" x14ac:dyDescent="0.35">
      <c r="D636" s="106"/>
      <c r="F636" s="106"/>
    </row>
    <row r="637" spans="4:6" x14ac:dyDescent="0.35">
      <c r="D637" s="106"/>
      <c r="F637" s="106"/>
    </row>
    <row r="638" spans="4:6" x14ac:dyDescent="0.35">
      <c r="D638" s="106"/>
      <c r="F638" s="106"/>
    </row>
    <row r="639" spans="4:6" x14ac:dyDescent="0.35">
      <c r="D639" s="106"/>
      <c r="F639" s="106"/>
    </row>
    <row r="640" spans="4:6" x14ac:dyDescent="0.35">
      <c r="D640" s="106"/>
      <c r="F640" s="106"/>
    </row>
    <row r="641" spans="4:6" x14ac:dyDescent="0.35">
      <c r="D641" s="106"/>
      <c r="F641" s="106"/>
    </row>
    <row r="642" spans="4:6" x14ac:dyDescent="0.35">
      <c r="D642" s="106"/>
      <c r="F642" s="106"/>
    </row>
    <row r="643" spans="4:6" x14ac:dyDescent="0.35">
      <c r="D643" s="106"/>
      <c r="F643" s="106"/>
    </row>
    <row r="644" spans="4:6" x14ac:dyDescent="0.35">
      <c r="D644" s="106"/>
      <c r="F644" s="106"/>
    </row>
    <row r="645" spans="4:6" x14ac:dyDescent="0.35">
      <c r="D645" s="106"/>
      <c r="F645" s="106"/>
    </row>
    <row r="646" spans="4:6" x14ac:dyDescent="0.35">
      <c r="D646" s="106"/>
      <c r="F646" s="106"/>
    </row>
    <row r="647" spans="4:6" x14ac:dyDescent="0.35">
      <c r="D647" s="106"/>
      <c r="F647" s="106"/>
    </row>
    <row r="648" spans="4:6" x14ac:dyDescent="0.35">
      <c r="D648" s="106"/>
      <c r="F648" s="106"/>
    </row>
    <row r="649" spans="4:6" x14ac:dyDescent="0.35">
      <c r="D649" s="106"/>
      <c r="F649" s="106"/>
    </row>
    <row r="650" spans="4:6" x14ac:dyDescent="0.35">
      <c r="D650" s="106"/>
      <c r="F650" s="106"/>
    </row>
    <row r="651" spans="4:6" x14ac:dyDescent="0.35">
      <c r="D651" s="106"/>
      <c r="F651" s="106"/>
    </row>
    <row r="652" spans="4:6" x14ac:dyDescent="0.35">
      <c r="D652" s="106"/>
      <c r="F652" s="106"/>
    </row>
    <row r="653" spans="4:6" x14ac:dyDescent="0.35">
      <c r="D653" s="106"/>
      <c r="F653" s="106"/>
    </row>
    <row r="654" spans="4:6" x14ac:dyDescent="0.35">
      <c r="D654" s="106"/>
      <c r="F654" s="106"/>
    </row>
    <row r="655" spans="4:6" x14ac:dyDescent="0.35">
      <c r="D655" s="106"/>
      <c r="F655" s="106"/>
    </row>
    <row r="656" spans="4:6" x14ac:dyDescent="0.35">
      <c r="D656" s="106"/>
      <c r="F656" s="106"/>
    </row>
    <row r="657" spans="4:6" x14ac:dyDescent="0.35">
      <c r="D657" s="106"/>
      <c r="F657" s="106"/>
    </row>
    <row r="658" spans="4:6" x14ac:dyDescent="0.35">
      <c r="D658" s="106"/>
      <c r="F658" s="106"/>
    </row>
    <row r="659" spans="4:6" x14ac:dyDescent="0.35">
      <c r="D659" s="106"/>
      <c r="F659" s="106"/>
    </row>
    <row r="660" spans="4:6" x14ac:dyDescent="0.35">
      <c r="D660" s="106"/>
      <c r="F660" s="106"/>
    </row>
    <row r="661" spans="4:6" x14ac:dyDescent="0.35">
      <c r="D661" s="106"/>
      <c r="F661" s="106"/>
    </row>
    <row r="662" spans="4:6" x14ac:dyDescent="0.35">
      <c r="D662" s="106"/>
      <c r="F662" s="106"/>
    </row>
    <row r="663" spans="4:6" x14ac:dyDescent="0.35">
      <c r="D663" s="106"/>
      <c r="F663" s="106"/>
    </row>
    <row r="664" spans="4:6" x14ac:dyDescent="0.35">
      <c r="D664" s="106"/>
      <c r="F664" s="106"/>
    </row>
    <row r="665" spans="4:6" x14ac:dyDescent="0.35">
      <c r="D665" s="106"/>
      <c r="F665" s="106"/>
    </row>
    <row r="666" spans="4:6" x14ac:dyDescent="0.35">
      <c r="D666" s="106"/>
      <c r="F666" s="106"/>
    </row>
    <row r="667" spans="4:6" x14ac:dyDescent="0.35">
      <c r="D667" s="106"/>
      <c r="F667" s="106"/>
    </row>
    <row r="668" spans="4:6" x14ac:dyDescent="0.35">
      <c r="D668" s="106"/>
      <c r="F668" s="106"/>
    </row>
    <row r="669" spans="4:6" x14ac:dyDescent="0.35">
      <c r="D669" s="106"/>
      <c r="F669" s="106"/>
    </row>
    <row r="670" spans="4:6" x14ac:dyDescent="0.35">
      <c r="D670" s="106"/>
      <c r="F670" s="106"/>
    </row>
    <row r="671" spans="4:6" x14ac:dyDescent="0.35">
      <c r="D671" s="106"/>
      <c r="F671" s="106"/>
    </row>
    <row r="672" spans="4:6" x14ac:dyDescent="0.35">
      <c r="D672" s="106"/>
      <c r="F672" s="106"/>
    </row>
    <row r="673" spans="4:6" x14ac:dyDescent="0.35">
      <c r="D673" s="106"/>
      <c r="F673" s="106"/>
    </row>
    <row r="674" spans="4:6" x14ac:dyDescent="0.35">
      <c r="D674" s="106"/>
      <c r="F674" s="106"/>
    </row>
    <row r="675" spans="4:6" x14ac:dyDescent="0.35">
      <c r="D675" s="106"/>
      <c r="F675" s="106"/>
    </row>
    <row r="676" spans="4:6" x14ac:dyDescent="0.35">
      <c r="D676" s="106"/>
      <c r="F676" s="106"/>
    </row>
    <row r="677" spans="4:6" x14ac:dyDescent="0.35">
      <c r="D677" s="106"/>
      <c r="F677" s="106"/>
    </row>
    <row r="678" spans="4:6" x14ac:dyDescent="0.35">
      <c r="D678" s="106"/>
      <c r="F678" s="106"/>
    </row>
    <row r="679" spans="4:6" x14ac:dyDescent="0.35">
      <c r="D679" s="106"/>
      <c r="F679" s="106"/>
    </row>
    <row r="680" spans="4:6" x14ac:dyDescent="0.35">
      <c r="D680" s="106"/>
      <c r="F680" s="106"/>
    </row>
    <row r="681" spans="4:6" x14ac:dyDescent="0.35">
      <c r="D681" s="106"/>
      <c r="F681" s="106"/>
    </row>
    <row r="682" spans="4:6" x14ac:dyDescent="0.35">
      <c r="D682" s="106"/>
      <c r="F682" s="106"/>
    </row>
    <row r="683" spans="4:6" x14ac:dyDescent="0.35">
      <c r="D683" s="106"/>
      <c r="F683" s="106"/>
    </row>
    <row r="684" spans="4:6" x14ac:dyDescent="0.35">
      <c r="D684" s="106"/>
      <c r="F684" s="106"/>
    </row>
    <row r="685" spans="4:6" x14ac:dyDescent="0.35">
      <c r="D685" s="106"/>
      <c r="F685" s="106"/>
    </row>
    <row r="686" spans="4:6" x14ac:dyDescent="0.35">
      <c r="D686" s="106"/>
      <c r="F686" s="106"/>
    </row>
    <row r="687" spans="4:6" x14ac:dyDescent="0.35">
      <c r="D687" s="106"/>
      <c r="F687" s="106"/>
    </row>
    <row r="688" spans="4:6" x14ac:dyDescent="0.35">
      <c r="D688" s="106"/>
      <c r="F688" s="106"/>
    </row>
    <row r="689" spans="4:6" x14ac:dyDescent="0.35">
      <c r="D689" s="106"/>
      <c r="F689" s="106"/>
    </row>
    <row r="690" spans="4:6" x14ac:dyDescent="0.35">
      <c r="D690" s="106"/>
      <c r="F690" s="106"/>
    </row>
    <row r="691" spans="4:6" x14ac:dyDescent="0.35">
      <c r="D691" s="106"/>
      <c r="F691" s="106"/>
    </row>
    <row r="692" spans="4:6" x14ac:dyDescent="0.35">
      <c r="D692" s="106"/>
      <c r="F692" s="106"/>
    </row>
    <row r="693" spans="4:6" x14ac:dyDescent="0.35">
      <c r="D693" s="106"/>
      <c r="F693" s="106"/>
    </row>
    <row r="694" spans="4:6" x14ac:dyDescent="0.35">
      <c r="D694" s="106"/>
      <c r="F694" s="106"/>
    </row>
    <row r="695" spans="4:6" x14ac:dyDescent="0.35">
      <c r="D695" s="106"/>
      <c r="F695" s="106"/>
    </row>
    <row r="696" spans="4:6" x14ac:dyDescent="0.35">
      <c r="D696" s="106"/>
      <c r="F696" s="106"/>
    </row>
    <row r="697" spans="4:6" x14ac:dyDescent="0.35">
      <c r="D697" s="106"/>
      <c r="F697" s="106"/>
    </row>
    <row r="698" spans="4:6" x14ac:dyDescent="0.35">
      <c r="D698" s="106"/>
      <c r="F698" s="106"/>
    </row>
    <row r="699" spans="4:6" x14ac:dyDescent="0.35">
      <c r="D699" s="106"/>
      <c r="F699" s="106"/>
    </row>
    <row r="700" spans="4:6" x14ac:dyDescent="0.35">
      <c r="D700" s="106"/>
      <c r="F700" s="106"/>
    </row>
    <row r="701" spans="4:6" x14ac:dyDescent="0.35">
      <c r="D701" s="106"/>
      <c r="F701" s="106"/>
    </row>
    <row r="702" spans="4:6" x14ac:dyDescent="0.35">
      <c r="D702" s="106"/>
      <c r="F702" s="106"/>
    </row>
    <row r="703" spans="4:6" x14ac:dyDescent="0.35">
      <c r="D703" s="106"/>
      <c r="F703" s="106"/>
    </row>
    <row r="704" spans="4:6" x14ac:dyDescent="0.35">
      <c r="D704" s="106"/>
      <c r="F704" s="106"/>
    </row>
    <row r="705" spans="4:6" x14ac:dyDescent="0.35">
      <c r="D705" s="106"/>
      <c r="F705" s="106"/>
    </row>
    <row r="706" spans="4:6" x14ac:dyDescent="0.35">
      <c r="D706" s="106"/>
      <c r="F706" s="106"/>
    </row>
    <row r="707" spans="4:6" x14ac:dyDescent="0.35">
      <c r="D707" s="106"/>
      <c r="F707" s="106"/>
    </row>
    <row r="708" spans="4:6" x14ac:dyDescent="0.35">
      <c r="D708" s="106"/>
      <c r="F708" s="106"/>
    </row>
    <row r="709" spans="4:6" x14ac:dyDescent="0.35">
      <c r="D709" s="106"/>
      <c r="F709" s="106"/>
    </row>
    <row r="710" spans="4:6" x14ac:dyDescent="0.35">
      <c r="D710" s="106"/>
      <c r="F710" s="106"/>
    </row>
    <row r="711" spans="4:6" x14ac:dyDescent="0.35">
      <c r="D711" s="106"/>
      <c r="F711" s="106"/>
    </row>
    <row r="712" spans="4:6" x14ac:dyDescent="0.35">
      <c r="D712" s="106"/>
      <c r="F712" s="106"/>
    </row>
    <row r="713" spans="4:6" x14ac:dyDescent="0.35">
      <c r="D713" s="106"/>
      <c r="F713" s="106"/>
    </row>
    <row r="714" spans="4:6" x14ac:dyDescent="0.35">
      <c r="D714" s="106"/>
      <c r="F714" s="106"/>
    </row>
    <row r="715" spans="4:6" x14ac:dyDescent="0.35">
      <c r="D715" s="106"/>
      <c r="F715" s="106"/>
    </row>
    <row r="716" spans="4:6" x14ac:dyDescent="0.35">
      <c r="D716" s="106"/>
      <c r="F716" s="106"/>
    </row>
    <row r="717" spans="4:6" x14ac:dyDescent="0.35">
      <c r="D717" s="106"/>
      <c r="F717" s="106"/>
    </row>
    <row r="718" spans="4:6" x14ac:dyDescent="0.35">
      <c r="D718" s="106"/>
      <c r="F718" s="106"/>
    </row>
    <row r="719" spans="4:6" x14ac:dyDescent="0.35">
      <c r="D719" s="106"/>
      <c r="F719" s="106"/>
    </row>
    <row r="720" spans="4:6" x14ac:dyDescent="0.35">
      <c r="D720" s="106"/>
      <c r="F720" s="106"/>
    </row>
    <row r="721" spans="4:6" x14ac:dyDescent="0.35">
      <c r="D721" s="106"/>
      <c r="F721" s="106"/>
    </row>
    <row r="722" spans="4:6" x14ac:dyDescent="0.35">
      <c r="D722" s="106"/>
      <c r="F722" s="106"/>
    </row>
    <row r="723" spans="4:6" x14ac:dyDescent="0.35">
      <c r="D723" s="106"/>
      <c r="F723" s="106"/>
    </row>
    <row r="724" spans="4:6" x14ac:dyDescent="0.35">
      <c r="D724" s="106"/>
      <c r="F724" s="106"/>
    </row>
    <row r="725" spans="4:6" x14ac:dyDescent="0.35">
      <c r="D725" s="106"/>
      <c r="F725" s="106"/>
    </row>
    <row r="726" spans="4:6" x14ac:dyDescent="0.35">
      <c r="D726" s="106"/>
      <c r="F726" s="106"/>
    </row>
    <row r="727" spans="4:6" x14ac:dyDescent="0.35">
      <c r="D727" s="106"/>
      <c r="F727" s="106"/>
    </row>
    <row r="728" spans="4:6" x14ac:dyDescent="0.35">
      <c r="D728" s="106"/>
      <c r="F728" s="106"/>
    </row>
    <row r="729" spans="4:6" x14ac:dyDescent="0.35">
      <c r="D729" s="106"/>
      <c r="F729" s="106"/>
    </row>
    <row r="730" spans="4:6" x14ac:dyDescent="0.35">
      <c r="D730" s="106"/>
      <c r="F730" s="106"/>
    </row>
    <row r="731" spans="4:6" x14ac:dyDescent="0.35">
      <c r="D731" s="106"/>
      <c r="F731" s="106"/>
    </row>
    <row r="732" spans="4:6" x14ac:dyDescent="0.35">
      <c r="D732" s="106"/>
      <c r="F732" s="106"/>
    </row>
    <row r="733" spans="4:6" x14ac:dyDescent="0.35">
      <c r="D733" s="106"/>
      <c r="F733" s="106"/>
    </row>
    <row r="734" spans="4:6" x14ac:dyDescent="0.35">
      <c r="D734" s="106"/>
      <c r="F734" s="106"/>
    </row>
    <row r="735" spans="4:6" x14ac:dyDescent="0.35">
      <c r="D735" s="106"/>
      <c r="F735" s="106"/>
    </row>
    <row r="736" spans="4:6" x14ac:dyDescent="0.35">
      <c r="D736" s="106"/>
      <c r="F736" s="106"/>
    </row>
    <row r="737" spans="4:6" x14ac:dyDescent="0.35">
      <c r="D737" s="106"/>
      <c r="F737" s="106"/>
    </row>
    <row r="738" spans="4:6" x14ac:dyDescent="0.35">
      <c r="D738" s="106"/>
      <c r="F738" s="106"/>
    </row>
    <row r="739" spans="4:6" x14ac:dyDescent="0.35">
      <c r="D739" s="106"/>
      <c r="F739" s="106"/>
    </row>
    <row r="740" spans="4:6" x14ac:dyDescent="0.35">
      <c r="D740" s="106"/>
      <c r="F740" s="106"/>
    </row>
    <row r="741" spans="4:6" x14ac:dyDescent="0.35">
      <c r="D741" s="106"/>
      <c r="F741" s="106"/>
    </row>
    <row r="742" spans="4:6" x14ac:dyDescent="0.35">
      <c r="D742" s="106"/>
      <c r="F742" s="106"/>
    </row>
    <row r="743" spans="4:6" x14ac:dyDescent="0.35">
      <c r="D743" s="106"/>
      <c r="F743" s="106"/>
    </row>
    <row r="744" spans="4:6" x14ac:dyDescent="0.35">
      <c r="D744" s="106"/>
      <c r="F744" s="106"/>
    </row>
    <row r="745" spans="4:6" x14ac:dyDescent="0.35">
      <c r="D745" s="106"/>
      <c r="F745" s="106"/>
    </row>
    <row r="746" spans="4:6" x14ac:dyDescent="0.35">
      <c r="D746" s="106"/>
      <c r="F746" s="106"/>
    </row>
    <row r="747" spans="4:6" x14ac:dyDescent="0.35">
      <c r="D747" s="106"/>
      <c r="F747" s="106"/>
    </row>
    <row r="748" spans="4:6" x14ac:dyDescent="0.35">
      <c r="D748" s="106"/>
      <c r="F748" s="106"/>
    </row>
    <row r="749" spans="4:6" x14ac:dyDescent="0.35">
      <c r="D749" s="106"/>
      <c r="F749" s="106"/>
    </row>
    <row r="750" spans="4:6" x14ac:dyDescent="0.35">
      <c r="D750" s="106"/>
      <c r="F750" s="106"/>
    </row>
    <row r="751" spans="4:6" x14ac:dyDescent="0.35">
      <c r="D751" s="106"/>
      <c r="F751" s="106"/>
    </row>
    <row r="752" spans="4:6" x14ac:dyDescent="0.35">
      <c r="D752" s="106"/>
      <c r="F752" s="106"/>
    </row>
    <row r="753" spans="4:6" x14ac:dyDescent="0.35">
      <c r="D753" s="106"/>
      <c r="F753" s="106"/>
    </row>
    <row r="754" spans="4:6" x14ac:dyDescent="0.35">
      <c r="D754" s="106"/>
      <c r="F754" s="106"/>
    </row>
    <row r="755" spans="4:6" x14ac:dyDescent="0.35">
      <c r="D755" s="106"/>
      <c r="F755" s="106"/>
    </row>
    <row r="756" spans="4:6" x14ac:dyDescent="0.35">
      <c r="D756" s="106"/>
      <c r="F756" s="106"/>
    </row>
    <row r="757" spans="4:6" x14ac:dyDescent="0.35">
      <c r="D757" s="106"/>
      <c r="F757" s="106"/>
    </row>
    <row r="758" spans="4:6" x14ac:dyDescent="0.35">
      <c r="D758" s="106"/>
      <c r="F758" s="106"/>
    </row>
    <row r="759" spans="4:6" x14ac:dyDescent="0.35">
      <c r="D759" s="106"/>
      <c r="F759" s="106"/>
    </row>
    <row r="760" spans="4:6" x14ac:dyDescent="0.35">
      <c r="D760" s="106"/>
      <c r="F760" s="106"/>
    </row>
    <row r="761" spans="4:6" x14ac:dyDescent="0.35">
      <c r="D761" s="106"/>
      <c r="F761" s="106"/>
    </row>
    <row r="762" spans="4:6" x14ac:dyDescent="0.35">
      <c r="D762" s="106"/>
      <c r="F762" s="106"/>
    </row>
    <row r="763" spans="4:6" x14ac:dyDescent="0.35">
      <c r="D763" s="106"/>
      <c r="F763" s="106"/>
    </row>
    <row r="764" spans="4:6" x14ac:dyDescent="0.35">
      <c r="D764" s="106"/>
      <c r="F764" s="106"/>
    </row>
    <row r="765" spans="4:6" x14ac:dyDescent="0.35">
      <c r="D765" s="106"/>
      <c r="F765" s="106"/>
    </row>
    <row r="766" spans="4:6" x14ac:dyDescent="0.35">
      <c r="D766" s="106"/>
      <c r="F766" s="106"/>
    </row>
    <row r="767" spans="4:6" x14ac:dyDescent="0.35">
      <c r="D767" s="106"/>
      <c r="F767" s="106"/>
    </row>
    <row r="768" spans="4:6" x14ac:dyDescent="0.35">
      <c r="D768" s="106"/>
      <c r="F768" s="106"/>
    </row>
    <row r="769" spans="4:6" x14ac:dyDescent="0.35">
      <c r="D769" s="106"/>
      <c r="F769" s="106"/>
    </row>
    <row r="770" spans="4:6" x14ac:dyDescent="0.35">
      <c r="D770" s="106"/>
      <c r="F770" s="106"/>
    </row>
    <row r="771" spans="4:6" x14ac:dyDescent="0.35">
      <c r="D771" s="106"/>
      <c r="F771" s="106"/>
    </row>
    <row r="772" spans="4:6" x14ac:dyDescent="0.35">
      <c r="D772" s="106"/>
      <c r="F772" s="106"/>
    </row>
    <row r="773" spans="4:6" x14ac:dyDescent="0.35">
      <c r="D773" s="106"/>
      <c r="F773" s="106"/>
    </row>
    <row r="774" spans="4:6" x14ac:dyDescent="0.35">
      <c r="D774" s="106"/>
      <c r="F774" s="106"/>
    </row>
    <row r="775" spans="4:6" x14ac:dyDescent="0.35">
      <c r="D775" s="106"/>
      <c r="F775" s="106"/>
    </row>
    <row r="776" spans="4:6" x14ac:dyDescent="0.35">
      <c r="D776" s="106"/>
      <c r="F776" s="106"/>
    </row>
    <row r="777" spans="4:6" x14ac:dyDescent="0.35">
      <c r="D777" s="106"/>
      <c r="F777" s="106"/>
    </row>
    <row r="778" spans="4:6" x14ac:dyDescent="0.35">
      <c r="D778" s="106"/>
      <c r="F778" s="106"/>
    </row>
    <row r="779" spans="4:6" x14ac:dyDescent="0.35">
      <c r="D779" s="106"/>
      <c r="F779" s="106"/>
    </row>
    <row r="780" spans="4:6" x14ac:dyDescent="0.35">
      <c r="D780" s="106"/>
      <c r="F780" s="106"/>
    </row>
    <row r="781" spans="4:6" x14ac:dyDescent="0.35">
      <c r="D781" s="106"/>
      <c r="F781" s="106"/>
    </row>
    <row r="782" spans="4:6" x14ac:dyDescent="0.35">
      <c r="D782" s="106"/>
      <c r="F782" s="106"/>
    </row>
    <row r="783" spans="4:6" x14ac:dyDescent="0.35">
      <c r="D783" s="106"/>
      <c r="F783" s="106"/>
    </row>
    <row r="784" spans="4:6" x14ac:dyDescent="0.35">
      <c r="D784" s="106"/>
      <c r="F784" s="106"/>
    </row>
    <row r="785" spans="4:6" x14ac:dyDescent="0.35">
      <c r="D785" s="106"/>
      <c r="F785" s="106"/>
    </row>
    <row r="786" spans="4:6" x14ac:dyDescent="0.35">
      <c r="D786" s="106"/>
      <c r="F786" s="106"/>
    </row>
    <row r="787" spans="4:6" x14ac:dyDescent="0.35">
      <c r="D787" s="106"/>
      <c r="F787" s="106"/>
    </row>
    <row r="788" spans="4:6" x14ac:dyDescent="0.35">
      <c r="D788" s="106"/>
      <c r="F788" s="106"/>
    </row>
    <row r="789" spans="4:6" x14ac:dyDescent="0.35">
      <c r="D789" s="106"/>
      <c r="F789" s="106"/>
    </row>
    <row r="790" spans="4:6" x14ac:dyDescent="0.35">
      <c r="D790" s="106"/>
      <c r="F790" s="106"/>
    </row>
    <row r="791" spans="4:6" x14ac:dyDescent="0.35">
      <c r="D791" s="106"/>
      <c r="F791" s="106"/>
    </row>
    <row r="792" spans="4:6" x14ac:dyDescent="0.35">
      <c r="D792" s="106"/>
      <c r="F792" s="106"/>
    </row>
    <row r="793" spans="4:6" x14ac:dyDescent="0.35">
      <c r="D793" s="106"/>
      <c r="F793" s="106"/>
    </row>
    <row r="794" spans="4:6" x14ac:dyDescent="0.35">
      <c r="D794" s="106"/>
      <c r="F794" s="106"/>
    </row>
    <row r="795" spans="4:6" x14ac:dyDescent="0.35">
      <c r="D795" s="106"/>
      <c r="F795" s="106"/>
    </row>
    <row r="796" spans="4:6" x14ac:dyDescent="0.35">
      <c r="D796" s="106"/>
      <c r="F796" s="106"/>
    </row>
    <row r="797" spans="4:6" x14ac:dyDescent="0.35">
      <c r="D797" s="106"/>
      <c r="F797" s="106"/>
    </row>
    <row r="798" spans="4:6" x14ac:dyDescent="0.35">
      <c r="D798" s="106"/>
      <c r="F798" s="106"/>
    </row>
    <row r="799" spans="4:6" x14ac:dyDescent="0.35">
      <c r="D799" s="106"/>
      <c r="F799" s="106"/>
    </row>
    <row r="800" spans="4:6" x14ac:dyDescent="0.35">
      <c r="D800" s="106"/>
      <c r="F800" s="106"/>
    </row>
    <row r="801" spans="4:6" x14ac:dyDescent="0.35">
      <c r="D801" s="106"/>
      <c r="F801" s="106"/>
    </row>
    <row r="802" spans="4:6" x14ac:dyDescent="0.35">
      <c r="D802" s="106"/>
      <c r="F802" s="106"/>
    </row>
    <row r="803" spans="4:6" x14ac:dyDescent="0.35">
      <c r="D803" s="106"/>
      <c r="F803" s="106"/>
    </row>
    <row r="804" spans="4:6" x14ac:dyDescent="0.35">
      <c r="D804" s="106"/>
      <c r="F804" s="106"/>
    </row>
    <row r="805" spans="4:6" x14ac:dyDescent="0.35">
      <c r="D805" s="106"/>
      <c r="F805" s="106"/>
    </row>
    <row r="806" spans="4:6" x14ac:dyDescent="0.35">
      <c r="D806" s="106"/>
      <c r="F806" s="106"/>
    </row>
    <row r="807" spans="4:6" x14ac:dyDescent="0.35">
      <c r="D807" s="106"/>
    </row>
    <row r="808" spans="4:6" x14ac:dyDescent="0.35">
      <c r="D808" s="106"/>
    </row>
    <row r="809" spans="4:6" x14ac:dyDescent="0.35">
      <c r="D809" s="106"/>
    </row>
    <row r="810" spans="4:6" x14ac:dyDescent="0.35">
      <c r="D810" s="106"/>
    </row>
    <row r="811" spans="4:6" x14ac:dyDescent="0.35">
      <c r="D811" s="106"/>
    </row>
    <row r="812" spans="4:6" x14ac:dyDescent="0.35">
      <c r="D812" s="106"/>
    </row>
    <row r="813" spans="4:6" x14ac:dyDescent="0.35">
      <c r="D813" s="106"/>
    </row>
    <row r="814" spans="4:6" x14ac:dyDescent="0.35">
      <c r="D814" s="106"/>
    </row>
    <row r="815" spans="4:6" x14ac:dyDescent="0.35">
      <c r="D815" s="106"/>
    </row>
    <row r="816" spans="4:6" x14ac:dyDescent="0.35">
      <c r="D816" s="106"/>
    </row>
    <row r="817" spans="4:4" x14ac:dyDescent="0.35">
      <c r="D817" s="106"/>
    </row>
    <row r="818" spans="4:4" x14ac:dyDescent="0.35">
      <c r="D818" s="106"/>
    </row>
    <row r="819" spans="4:4" x14ac:dyDescent="0.35">
      <c r="D819" s="106"/>
    </row>
    <row r="820" spans="4:4" x14ac:dyDescent="0.35">
      <c r="D820" s="106"/>
    </row>
    <row r="821" spans="4:4" x14ac:dyDescent="0.35">
      <c r="D821" s="106"/>
    </row>
    <row r="822" spans="4:4" x14ac:dyDescent="0.35">
      <c r="D822" s="106"/>
    </row>
    <row r="823" spans="4:4" x14ac:dyDescent="0.35">
      <c r="D823" s="106"/>
    </row>
    <row r="824" spans="4:4" x14ac:dyDescent="0.35">
      <c r="D824" s="106"/>
    </row>
    <row r="825" spans="4:4" x14ac:dyDescent="0.35">
      <c r="D825" s="106"/>
    </row>
    <row r="826" spans="4:4" x14ac:dyDescent="0.35">
      <c r="D826" s="106"/>
    </row>
    <row r="827" spans="4:4" x14ac:dyDescent="0.35">
      <c r="D827" s="106"/>
    </row>
    <row r="828" spans="4:4" x14ac:dyDescent="0.35">
      <c r="D828" s="106"/>
    </row>
    <row r="829" spans="4:4" x14ac:dyDescent="0.35">
      <c r="D829" s="106"/>
    </row>
    <row r="830" spans="4:4" x14ac:dyDescent="0.35">
      <c r="D830" s="106"/>
    </row>
    <row r="831" spans="4:4" x14ac:dyDescent="0.35">
      <c r="D831" s="106"/>
    </row>
    <row r="832" spans="4:4" x14ac:dyDescent="0.35">
      <c r="D832" s="106"/>
    </row>
    <row r="833" spans="4:4" x14ac:dyDescent="0.35">
      <c r="D833" s="106"/>
    </row>
    <row r="834" spans="4:4" x14ac:dyDescent="0.35">
      <c r="D834" s="106"/>
    </row>
    <row r="835" spans="4:4" x14ac:dyDescent="0.35">
      <c r="D835" s="106"/>
    </row>
    <row r="836" spans="4:4" x14ac:dyDescent="0.35">
      <c r="D836" s="106"/>
    </row>
    <row r="837" spans="4:4" x14ac:dyDescent="0.35">
      <c r="D837" s="106"/>
    </row>
    <row r="838" spans="4:4" x14ac:dyDescent="0.35">
      <c r="D838" s="106"/>
    </row>
    <row r="839" spans="4:4" x14ac:dyDescent="0.35">
      <c r="D839" s="106"/>
    </row>
    <row r="840" spans="4:4" x14ac:dyDescent="0.35">
      <c r="D840" s="106"/>
    </row>
    <row r="841" spans="4:4" x14ac:dyDescent="0.35">
      <c r="D841" s="106"/>
    </row>
    <row r="842" spans="4:4" x14ac:dyDescent="0.35">
      <c r="D842" s="106"/>
    </row>
    <row r="843" spans="4:4" x14ac:dyDescent="0.35">
      <c r="D843" s="106"/>
    </row>
    <row r="844" spans="4:4" x14ac:dyDescent="0.35">
      <c r="D844" s="106"/>
    </row>
    <row r="845" spans="4:4" x14ac:dyDescent="0.35">
      <c r="D845" s="106"/>
    </row>
    <row r="846" spans="4:4" x14ac:dyDescent="0.35">
      <c r="D846" s="106"/>
    </row>
    <row r="847" spans="4:4" x14ac:dyDescent="0.35">
      <c r="D847" s="106"/>
    </row>
    <row r="848" spans="4:4" x14ac:dyDescent="0.35">
      <c r="D848" s="106"/>
    </row>
    <row r="849" spans="4:4" x14ac:dyDescent="0.35">
      <c r="D849" s="106"/>
    </row>
    <row r="850" spans="4:4" x14ac:dyDescent="0.35">
      <c r="D850" s="106"/>
    </row>
    <row r="851" spans="4:4" x14ac:dyDescent="0.35">
      <c r="D851" s="106"/>
    </row>
    <row r="852" spans="4:4" x14ac:dyDescent="0.35">
      <c r="D852" s="106"/>
    </row>
    <row r="853" spans="4:4" x14ac:dyDescent="0.35">
      <c r="D853" s="106"/>
    </row>
    <row r="854" spans="4:4" x14ac:dyDescent="0.35">
      <c r="D854" s="106"/>
    </row>
    <row r="855" spans="4:4" x14ac:dyDescent="0.35">
      <c r="D855" s="106"/>
    </row>
    <row r="856" spans="4:4" x14ac:dyDescent="0.35">
      <c r="D856" s="106"/>
    </row>
    <row r="857" spans="4:4" x14ac:dyDescent="0.35">
      <c r="D857" s="106"/>
    </row>
    <row r="858" spans="4:4" x14ac:dyDescent="0.35">
      <c r="D858" s="106"/>
    </row>
    <row r="859" spans="4:4" x14ac:dyDescent="0.35">
      <c r="D859" s="106"/>
    </row>
    <row r="860" spans="4:4" x14ac:dyDescent="0.35">
      <c r="D860" s="106"/>
    </row>
    <row r="861" spans="4:4" x14ac:dyDescent="0.35">
      <c r="D861" s="106"/>
    </row>
    <row r="862" spans="4:4" x14ac:dyDescent="0.35">
      <c r="D862" s="106"/>
    </row>
    <row r="863" spans="4:4" x14ac:dyDescent="0.35">
      <c r="D863" s="106"/>
    </row>
    <row r="864" spans="4:4" x14ac:dyDescent="0.35">
      <c r="D864" s="106"/>
    </row>
    <row r="865" spans="4:4" x14ac:dyDescent="0.35">
      <c r="D865" s="106"/>
    </row>
    <row r="866" spans="4:4" x14ac:dyDescent="0.35">
      <c r="D866" s="106"/>
    </row>
    <row r="867" spans="4:4" x14ac:dyDescent="0.35">
      <c r="D867" s="106"/>
    </row>
    <row r="868" spans="4:4" x14ac:dyDescent="0.35">
      <c r="D868" s="106"/>
    </row>
    <row r="869" spans="4:4" x14ac:dyDescent="0.35">
      <c r="D869" s="106"/>
    </row>
    <row r="870" spans="4:4" x14ac:dyDescent="0.35">
      <c r="D870" s="106"/>
    </row>
    <row r="871" spans="4:4" x14ac:dyDescent="0.35">
      <c r="D871" s="106"/>
    </row>
    <row r="872" spans="4:4" x14ac:dyDescent="0.35">
      <c r="D872" s="106"/>
    </row>
    <row r="873" spans="4:4" x14ac:dyDescent="0.35">
      <c r="D873" s="106"/>
    </row>
    <row r="874" spans="4:4" x14ac:dyDescent="0.35">
      <c r="D874" s="106"/>
    </row>
    <row r="875" spans="4:4" x14ac:dyDescent="0.35">
      <c r="D875" s="106"/>
    </row>
    <row r="876" spans="4:4" x14ac:dyDescent="0.35">
      <c r="D876" s="106"/>
    </row>
    <row r="877" spans="4:4" x14ac:dyDescent="0.35">
      <c r="D877" s="106"/>
    </row>
    <row r="878" spans="4:4" x14ac:dyDescent="0.35">
      <c r="D878" s="106"/>
    </row>
  </sheetData>
  <mergeCells count="3">
    <mergeCell ref="A5:G5"/>
    <mergeCell ref="A6:G6"/>
    <mergeCell ref="A7:G7"/>
  </mergeCells>
  <pageMargins left="0.7" right="0.7" top="0.75" bottom="0.75" header="0.3" footer="0.3"/>
  <pageSetup scale="76" fitToHeight="3" orientation="portrait" r:id="rId1"/>
  <headerFooter>
    <oddHeader>&amp;R
&amp;14WP MEG-12.1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7" workbookViewId="0">
      <selection activeCell="A33" sqref="A33:A37"/>
    </sheetView>
  </sheetViews>
  <sheetFormatPr defaultRowHeight="15.5" x14ac:dyDescent="0.35"/>
  <cols>
    <col min="1" max="1" width="6.25" bestFit="1" customWidth="1"/>
    <col min="2" max="2" width="57.83203125" customWidth="1"/>
    <col min="3" max="3" width="1.33203125" customWidth="1"/>
    <col min="4" max="4" width="13.33203125" bestFit="1" customWidth="1"/>
    <col min="5" max="5" width="3.5" customWidth="1"/>
    <col min="6" max="6" width="13.33203125" bestFit="1" customWidth="1"/>
    <col min="7" max="7" width="3.33203125" customWidth="1"/>
    <col min="8" max="8" width="12.83203125" customWidth="1"/>
  </cols>
  <sheetData>
    <row r="1" spans="1:8" x14ac:dyDescent="0.35">
      <c r="H1" s="29" t="s">
        <v>108</v>
      </c>
    </row>
    <row r="2" spans="1:8" x14ac:dyDescent="0.35">
      <c r="H2" s="29" t="s">
        <v>385</v>
      </c>
    </row>
    <row r="3" spans="1:8" x14ac:dyDescent="0.35">
      <c r="H3" s="113" t="s">
        <v>458</v>
      </c>
    </row>
    <row r="4" spans="1:8" x14ac:dyDescent="0.35">
      <c r="A4" s="4"/>
      <c r="H4" s="29" t="s">
        <v>106</v>
      </c>
    </row>
    <row r="5" spans="1:8" x14ac:dyDescent="0.35">
      <c r="A5" s="168" t="s">
        <v>146</v>
      </c>
      <c r="B5" s="168"/>
      <c r="C5" s="168"/>
      <c r="D5" s="168"/>
      <c r="E5" s="168"/>
      <c r="F5" s="168"/>
      <c r="G5" s="168"/>
      <c r="H5" s="168"/>
    </row>
    <row r="6" spans="1:8" x14ac:dyDescent="0.35">
      <c r="A6" s="169" t="s">
        <v>87</v>
      </c>
      <c r="B6" s="169"/>
      <c r="C6" s="169"/>
      <c r="D6" s="169"/>
      <c r="E6" s="169"/>
      <c r="F6" s="169"/>
      <c r="G6" s="169"/>
      <c r="H6" s="169"/>
    </row>
    <row r="7" spans="1:8" x14ac:dyDescent="0.35">
      <c r="A7" s="169" t="s">
        <v>121</v>
      </c>
      <c r="B7" s="169"/>
      <c r="C7" s="169"/>
      <c r="D7" s="169"/>
      <c r="E7" s="169"/>
      <c r="F7" s="169"/>
      <c r="G7" s="169"/>
      <c r="H7" s="169"/>
    </row>
    <row r="8" spans="1:8" x14ac:dyDescent="0.35">
      <c r="A8" s="4"/>
    </row>
    <row r="9" spans="1:8" x14ac:dyDescent="0.35">
      <c r="A9" s="4"/>
      <c r="D9" s="1"/>
    </row>
    <row r="10" spans="1:8" x14ac:dyDescent="0.35">
      <c r="A10" s="1"/>
      <c r="B10" s="1"/>
      <c r="C10" s="1"/>
      <c r="D10" s="1"/>
      <c r="H10" s="1" t="s">
        <v>27</v>
      </c>
    </row>
    <row r="11" spans="1:8" x14ac:dyDescent="0.35">
      <c r="A11" s="1" t="s">
        <v>7</v>
      </c>
      <c r="B11" s="1"/>
      <c r="C11" s="1"/>
      <c r="D11" s="1" t="s">
        <v>34</v>
      </c>
      <c r="F11" s="1" t="s">
        <v>63</v>
      </c>
      <c r="H11" s="1" t="s">
        <v>95</v>
      </c>
    </row>
    <row r="12" spans="1:8" ht="18.5" x14ac:dyDescent="0.35">
      <c r="A12" s="15" t="s">
        <v>10</v>
      </c>
      <c r="B12" s="15" t="s">
        <v>11</v>
      </c>
      <c r="C12" s="15"/>
      <c r="D12" s="66" t="s">
        <v>85</v>
      </c>
      <c r="E12" s="72"/>
      <c r="F12" s="66" t="s">
        <v>86</v>
      </c>
      <c r="G12" s="72"/>
      <c r="H12" s="57" t="s">
        <v>96</v>
      </c>
    </row>
    <row r="13" spans="1:8" x14ac:dyDescent="0.35">
      <c r="A13" s="33"/>
      <c r="D13" s="3"/>
    </row>
    <row r="14" spans="1:8" x14ac:dyDescent="0.35">
      <c r="A14" s="41">
        <v>1</v>
      </c>
      <c r="B14" t="s">
        <v>2</v>
      </c>
      <c r="D14" s="3">
        <f>+'MEG-4 Results of Operations'!Q41</f>
        <v>512244642</v>
      </c>
      <c r="F14" s="3"/>
    </row>
    <row r="15" spans="1:8" x14ac:dyDescent="0.35">
      <c r="A15" s="41"/>
      <c r="D15" s="3"/>
      <c r="F15" s="3"/>
    </row>
    <row r="16" spans="1:8" x14ac:dyDescent="0.35">
      <c r="A16" s="41">
        <v>2</v>
      </c>
      <c r="B16" t="s">
        <v>88</v>
      </c>
      <c r="D16" s="58">
        <f>+'MEG-14 Cost of Capital'!G27</f>
        <v>2.3109999999999999E-2</v>
      </c>
      <c r="F16" s="58">
        <f>+'MEG-14 Cost of Capital'!G15</f>
        <v>2.3109999999999999E-2</v>
      </c>
    </row>
    <row r="17" spans="1:8" x14ac:dyDescent="0.35">
      <c r="A17" s="41"/>
      <c r="D17" s="63"/>
      <c r="F17" s="63"/>
    </row>
    <row r="18" spans="1:8" x14ac:dyDescent="0.35">
      <c r="A18" s="41">
        <v>3</v>
      </c>
      <c r="B18" t="s">
        <v>89</v>
      </c>
      <c r="D18" s="3">
        <f>+D14*D16</f>
        <v>11837973.676619999</v>
      </c>
      <c r="F18" s="3">
        <f>+F14*F16</f>
        <v>0</v>
      </c>
    </row>
    <row r="19" spans="1:8" x14ac:dyDescent="0.35">
      <c r="A19" s="41"/>
      <c r="D19" s="3"/>
      <c r="F19" s="3"/>
    </row>
    <row r="20" spans="1:8" x14ac:dyDescent="0.35">
      <c r="A20" s="41">
        <v>4</v>
      </c>
      <c r="B20" t="s">
        <v>90</v>
      </c>
      <c r="D20" s="16">
        <v>11766975</v>
      </c>
      <c r="F20" s="16"/>
    </row>
    <row r="21" spans="1:8" x14ac:dyDescent="0.35">
      <c r="A21" s="41"/>
      <c r="D21" s="19"/>
      <c r="F21" s="19"/>
    </row>
    <row r="22" spans="1:8" x14ac:dyDescent="0.35">
      <c r="A22" s="41">
        <v>5</v>
      </c>
      <c r="B22" t="s">
        <v>91</v>
      </c>
      <c r="D22" s="21">
        <f>+D18-D20</f>
        <v>70998.676619999111</v>
      </c>
      <c r="F22" s="21">
        <f>+F18-F20</f>
        <v>0</v>
      </c>
    </row>
    <row r="23" spans="1:8" x14ac:dyDescent="0.35">
      <c r="A23" s="41"/>
      <c r="D23" s="21"/>
      <c r="F23" s="21"/>
    </row>
    <row r="24" spans="1:8" x14ac:dyDescent="0.35">
      <c r="A24" s="41">
        <v>6</v>
      </c>
      <c r="B24" t="s">
        <v>92</v>
      </c>
      <c r="D24" s="59">
        <v>0.21</v>
      </c>
      <c r="F24" s="59">
        <v>0.21</v>
      </c>
    </row>
    <row r="25" spans="1:8" x14ac:dyDescent="0.35">
      <c r="A25" s="41"/>
      <c r="D25" s="64"/>
      <c r="F25" s="64"/>
    </row>
    <row r="26" spans="1:8" ht="16" thickBot="1" x14ac:dyDescent="0.4">
      <c r="A26" s="41">
        <v>7</v>
      </c>
      <c r="B26" t="s">
        <v>93</v>
      </c>
      <c r="D26" s="18">
        <f>-D22*D24</f>
        <v>-14909.722090199813</v>
      </c>
      <c r="F26" s="18">
        <f>-F22*F24</f>
        <v>0</v>
      </c>
      <c r="H26" s="23">
        <f>+D26-F26</f>
        <v>-14909.722090199813</v>
      </c>
    </row>
    <row r="27" spans="1:8" ht="16" thickTop="1" x14ac:dyDescent="0.35">
      <c r="A27" s="41"/>
    </row>
    <row r="28" spans="1:8" ht="16" thickBot="1" x14ac:dyDescent="0.4">
      <c r="A28" s="41">
        <v>8</v>
      </c>
      <c r="B28" t="s">
        <v>94</v>
      </c>
      <c r="D28" s="18">
        <f>-D26</f>
        <v>14909.722090199813</v>
      </c>
      <c r="F28" s="18">
        <f>-F26</f>
        <v>0</v>
      </c>
      <c r="H28" s="18">
        <f>+D28-F28</f>
        <v>14909.722090199813</v>
      </c>
    </row>
    <row r="29" spans="1:8" ht="16" thickTop="1" x14ac:dyDescent="0.35">
      <c r="A29" s="41"/>
    </row>
    <row r="30" spans="1:8" x14ac:dyDescent="0.35">
      <c r="A30" s="41"/>
      <c r="B30" t="s">
        <v>476</v>
      </c>
    </row>
    <row r="31" spans="1:8" x14ac:dyDescent="0.35">
      <c r="A31" s="41"/>
      <c r="B31" s="177" t="s">
        <v>477</v>
      </c>
      <c r="C31" s="177"/>
      <c r="D31" s="177"/>
      <c r="E31" s="177"/>
      <c r="F31" s="177"/>
      <c r="G31" s="177"/>
      <c r="H31" s="177"/>
    </row>
    <row r="32" spans="1:8" x14ac:dyDescent="0.35">
      <c r="A32" s="33"/>
    </row>
  </sheetData>
  <mergeCells count="4">
    <mergeCell ref="A5:H5"/>
    <mergeCell ref="A6:H6"/>
    <mergeCell ref="A7:H7"/>
    <mergeCell ref="B31:H31"/>
  </mergeCells>
  <printOptions horizontalCentered="1"/>
  <pageMargins left="0.7" right="0.7" top="0.75" bottom="0.75" header="0.3" footer="0.3"/>
  <pageSetup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10" workbookViewId="0">
      <selection activeCell="B35" sqref="B35"/>
    </sheetView>
  </sheetViews>
  <sheetFormatPr defaultRowHeight="15.5" x14ac:dyDescent="0.35"/>
  <cols>
    <col min="1" max="1" width="6.75" bestFit="1" customWidth="1"/>
    <col min="2" max="2" width="33.25" customWidth="1"/>
    <col min="4" max="4" width="4.75" customWidth="1"/>
    <col min="6" max="6" width="3.33203125" customWidth="1"/>
    <col min="8" max="8" width="11.33203125" customWidth="1"/>
    <col min="9" max="9" width="1.75" customWidth="1"/>
    <col min="10" max="10" width="12.75" customWidth="1"/>
  </cols>
  <sheetData>
    <row r="1" spans="1:10" x14ac:dyDescent="0.35">
      <c r="J1" s="29" t="s">
        <v>119</v>
      </c>
    </row>
    <row r="2" spans="1:10" x14ac:dyDescent="0.35">
      <c r="A2" s="4"/>
      <c r="B2" s="4"/>
      <c r="C2" s="4"/>
      <c r="D2" s="4"/>
      <c r="E2" s="4"/>
      <c r="F2" s="4"/>
      <c r="G2" s="4"/>
      <c r="H2" s="4"/>
      <c r="I2" s="4"/>
      <c r="J2" s="28" t="s">
        <v>383</v>
      </c>
    </row>
    <row r="3" spans="1:10" x14ac:dyDescent="0.35">
      <c r="A3" s="4"/>
      <c r="B3" s="4"/>
      <c r="C3" s="4"/>
      <c r="D3" s="4"/>
      <c r="E3" s="4"/>
      <c r="F3" s="4"/>
      <c r="G3" s="4"/>
      <c r="H3" s="4"/>
      <c r="I3" s="4"/>
      <c r="J3" s="113" t="s">
        <v>458</v>
      </c>
    </row>
    <row r="4" spans="1:10" x14ac:dyDescent="0.35">
      <c r="A4" s="4"/>
      <c r="B4" s="4"/>
      <c r="C4" s="4"/>
      <c r="D4" s="4"/>
      <c r="E4" s="4"/>
      <c r="F4" s="4"/>
      <c r="G4" s="4"/>
      <c r="H4" s="4"/>
      <c r="I4" s="4"/>
      <c r="J4" s="29" t="s">
        <v>106</v>
      </c>
    </row>
    <row r="5" spans="1:10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 x14ac:dyDescent="0.35">
      <c r="A6" s="169" t="s">
        <v>18</v>
      </c>
      <c r="B6" s="169"/>
      <c r="C6" s="169"/>
      <c r="D6" s="169"/>
      <c r="E6" s="169"/>
      <c r="F6" s="169"/>
      <c r="G6" s="169"/>
      <c r="H6" s="169"/>
      <c r="I6" s="169"/>
      <c r="J6" s="169"/>
    </row>
    <row r="7" spans="1:10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  <c r="J7" s="169"/>
    </row>
    <row r="8" spans="1:10" x14ac:dyDescent="0.3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3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35">
      <c r="A10" s="4"/>
      <c r="B10" s="5"/>
      <c r="C10" s="5"/>
      <c r="D10" s="103"/>
      <c r="E10" s="5"/>
      <c r="F10" s="65"/>
      <c r="G10" s="5" t="s">
        <v>19</v>
      </c>
      <c r="H10" s="5" t="s">
        <v>28</v>
      </c>
      <c r="I10" s="65"/>
      <c r="J10" s="5" t="s">
        <v>8</v>
      </c>
    </row>
    <row r="11" spans="1:10" x14ac:dyDescent="0.35">
      <c r="A11" s="5" t="s">
        <v>7</v>
      </c>
      <c r="B11" s="5"/>
      <c r="C11" s="5" t="s">
        <v>20</v>
      </c>
      <c r="D11" s="103"/>
      <c r="E11" s="5"/>
      <c r="F11" s="65"/>
      <c r="G11" s="5" t="s">
        <v>21</v>
      </c>
      <c r="H11" s="5" t="s">
        <v>29</v>
      </c>
      <c r="I11" s="65"/>
      <c r="J11" s="5" t="s">
        <v>19</v>
      </c>
    </row>
    <row r="12" spans="1:10" ht="18.5" x14ac:dyDescent="0.35">
      <c r="A12" s="6" t="s">
        <v>10</v>
      </c>
      <c r="B12" s="6" t="s">
        <v>11</v>
      </c>
      <c r="C12" s="6" t="s">
        <v>22</v>
      </c>
      <c r="D12" s="6"/>
      <c r="E12" s="6" t="s">
        <v>23</v>
      </c>
      <c r="F12" s="6"/>
      <c r="G12" s="6" t="s">
        <v>20</v>
      </c>
      <c r="H12" s="6" t="s">
        <v>40</v>
      </c>
      <c r="I12" s="6"/>
      <c r="J12" s="6" t="s">
        <v>23</v>
      </c>
    </row>
    <row r="13" spans="1:10" x14ac:dyDescent="0.35">
      <c r="A13" s="5"/>
      <c r="B13" s="4"/>
      <c r="C13" s="4"/>
      <c r="D13" s="4"/>
      <c r="E13" s="4"/>
      <c r="F13" s="4"/>
      <c r="G13" s="4"/>
      <c r="H13" s="4"/>
      <c r="I13" s="4"/>
      <c r="J13" s="4"/>
    </row>
    <row r="14" spans="1:10" ht="18.5" x14ac:dyDescent="0.35">
      <c r="A14" s="5"/>
      <c r="B14" s="25" t="s">
        <v>39</v>
      </c>
      <c r="C14" s="4"/>
      <c r="D14" s="4"/>
      <c r="E14" s="4"/>
      <c r="F14" s="4"/>
      <c r="G14" s="4"/>
      <c r="H14" s="4"/>
      <c r="I14" s="4"/>
      <c r="J14" s="4"/>
    </row>
    <row r="15" spans="1:10" x14ac:dyDescent="0.35">
      <c r="A15" s="69">
        <v>1</v>
      </c>
      <c r="B15" s="4" t="s">
        <v>24</v>
      </c>
      <c r="C15" s="9">
        <v>0.50900000000000001</v>
      </c>
      <c r="D15" s="9"/>
      <c r="E15" s="8">
        <v>4.5409999999999999E-2</v>
      </c>
      <c r="F15" s="8"/>
      <c r="G15" s="10">
        <f>+ROUND(C15*E15,5)</f>
        <v>2.3109999999999999E-2</v>
      </c>
      <c r="H15" s="4">
        <f>1/0.955773623</f>
        <v>1.0462728578564258</v>
      </c>
      <c r="I15" s="4"/>
      <c r="J15" s="8">
        <f>+G15*H15</f>
        <v>2.4179365745061999E-2</v>
      </c>
    </row>
    <row r="16" spans="1:10" x14ac:dyDescent="0.35">
      <c r="A16" s="69">
        <v>2</v>
      </c>
      <c r="B16" s="4" t="s">
        <v>25</v>
      </c>
      <c r="C16" s="11">
        <v>0.49099999999999999</v>
      </c>
      <c r="D16" s="157"/>
      <c r="E16" s="10">
        <v>9.4E-2</v>
      </c>
      <c r="F16" s="9"/>
      <c r="G16" s="12">
        <f>+ROUND(C16*E16,5)</f>
        <v>4.6149999999999997E-2</v>
      </c>
      <c r="H16" s="4">
        <f>1/0.755061162</f>
        <v>1.3243960229012548</v>
      </c>
      <c r="I16" s="4"/>
      <c r="J16" s="12">
        <f>+G16*H16</f>
        <v>6.1120876456892903E-2</v>
      </c>
    </row>
    <row r="17" spans="1:10" x14ac:dyDescent="0.35">
      <c r="A17" s="69">
        <v>3</v>
      </c>
      <c r="B17" s="4" t="s">
        <v>26</v>
      </c>
      <c r="C17" s="9">
        <f>+C15+C16</f>
        <v>1</v>
      </c>
      <c r="D17" s="9"/>
      <c r="E17" s="4"/>
      <c r="F17" s="4"/>
      <c r="G17" s="10">
        <f>+G15+G16</f>
        <v>6.9259999999999988E-2</v>
      </c>
      <c r="H17" s="4"/>
      <c r="I17" s="4"/>
      <c r="J17" s="10">
        <f>SUM(J15:J16)</f>
        <v>8.5300242201954896E-2</v>
      </c>
    </row>
    <row r="18" spans="1:10" x14ac:dyDescent="0.35">
      <c r="A18" s="69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5">
      <c r="A19" s="69"/>
      <c r="B19" s="25" t="s">
        <v>45</v>
      </c>
      <c r="C19" s="4"/>
      <c r="D19" s="4"/>
      <c r="E19" s="4"/>
      <c r="F19" s="4"/>
      <c r="G19" s="4"/>
      <c r="H19" s="4"/>
      <c r="I19" s="4"/>
      <c r="J19" s="4"/>
    </row>
    <row r="20" spans="1:10" x14ac:dyDescent="0.35">
      <c r="A20" s="69">
        <v>4</v>
      </c>
      <c r="B20" s="4" t="s">
        <v>24</v>
      </c>
      <c r="C20" s="9">
        <v>0.50900000000000001</v>
      </c>
      <c r="D20" s="9"/>
      <c r="E20" s="8">
        <f>+E15</f>
        <v>4.5409999999999999E-2</v>
      </c>
      <c r="F20" s="8"/>
      <c r="G20" s="10">
        <f>+G15</f>
        <v>2.3109999999999999E-2</v>
      </c>
      <c r="H20" s="4">
        <f>1/0.955773623</f>
        <v>1.0462728578564258</v>
      </c>
      <c r="I20" s="4"/>
      <c r="J20" s="8">
        <f>+G20*H20</f>
        <v>2.4179365745061999E-2</v>
      </c>
    </row>
    <row r="21" spans="1:10" x14ac:dyDescent="0.35">
      <c r="A21" s="69">
        <v>5</v>
      </c>
      <c r="B21" s="4" t="s">
        <v>25</v>
      </c>
      <c r="C21" s="11">
        <v>0.49099999999999999</v>
      </c>
      <c r="D21" s="157"/>
      <c r="E21" s="9">
        <f>+E16</f>
        <v>9.4E-2</v>
      </c>
      <c r="F21" s="9"/>
      <c r="G21" s="12">
        <f>+G16</f>
        <v>4.6149999999999997E-2</v>
      </c>
      <c r="H21" s="4">
        <f>1/0.755061162</f>
        <v>1.3243960229012548</v>
      </c>
      <c r="I21" s="4"/>
      <c r="J21" s="12">
        <f>+G21*H21</f>
        <v>6.1120876456892903E-2</v>
      </c>
    </row>
    <row r="22" spans="1:10" x14ac:dyDescent="0.35">
      <c r="A22" s="69">
        <v>6</v>
      </c>
      <c r="B22" s="4" t="s">
        <v>26</v>
      </c>
      <c r="C22" s="9">
        <f>+C20+C21</f>
        <v>1</v>
      </c>
      <c r="D22" s="9"/>
      <c r="E22" s="4"/>
      <c r="F22" s="4"/>
      <c r="G22" s="13">
        <f>+G20+G21</f>
        <v>6.9259999999999988E-2</v>
      </c>
      <c r="H22" s="4"/>
      <c r="I22" s="4"/>
      <c r="J22" s="13">
        <f>SUM(J20:J21)</f>
        <v>8.5300242201954896E-2</v>
      </c>
    </row>
    <row r="23" spans="1:10" x14ac:dyDescent="0.35">
      <c r="A23" s="69"/>
      <c r="B23" s="4"/>
      <c r="C23" s="4"/>
      <c r="D23" s="4"/>
      <c r="E23" s="4"/>
      <c r="F23" s="4"/>
      <c r="G23" s="4"/>
      <c r="H23" s="4"/>
      <c r="I23" s="4"/>
      <c r="J23" s="4"/>
    </row>
    <row r="24" spans="1:10" ht="16" thickBot="1" x14ac:dyDescent="0.4">
      <c r="A24" s="69">
        <v>7</v>
      </c>
      <c r="B24" s="4" t="s">
        <v>44</v>
      </c>
      <c r="C24" s="4"/>
      <c r="D24" s="4"/>
      <c r="E24" s="4"/>
      <c r="F24" s="4"/>
      <c r="G24" s="14">
        <f>+G22-G17</f>
        <v>0</v>
      </c>
      <c r="H24" s="4"/>
      <c r="I24" s="4"/>
      <c r="J24" s="14">
        <f>+J22-J17</f>
        <v>0</v>
      </c>
    </row>
    <row r="25" spans="1:10" ht="16" thickTop="1" x14ac:dyDescent="0.35">
      <c r="A25" s="69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35">
      <c r="A26" s="69"/>
      <c r="B26" s="25" t="s">
        <v>43</v>
      </c>
      <c r="C26" s="4"/>
      <c r="D26" s="4"/>
      <c r="E26" s="4"/>
      <c r="F26" s="4"/>
      <c r="G26" s="4"/>
      <c r="H26" s="4"/>
      <c r="I26" s="4"/>
      <c r="J26" s="4"/>
    </row>
    <row r="27" spans="1:10" x14ac:dyDescent="0.35">
      <c r="A27" s="69">
        <v>8</v>
      </c>
      <c r="B27" s="4" t="s">
        <v>24</v>
      </c>
      <c r="C27" s="9">
        <f>+C20</f>
        <v>0.50900000000000001</v>
      </c>
      <c r="D27" s="9"/>
      <c r="E27" s="8">
        <f>+E20</f>
        <v>4.5409999999999999E-2</v>
      </c>
      <c r="F27" s="8"/>
      <c r="G27" s="10">
        <f>+G15</f>
        <v>2.3109999999999999E-2</v>
      </c>
      <c r="H27" s="4">
        <f>1/0.955773623</f>
        <v>1.0462728578564258</v>
      </c>
      <c r="I27" s="4"/>
      <c r="J27" s="8">
        <f>+G27*H27</f>
        <v>2.4179365745061999E-2</v>
      </c>
    </row>
    <row r="28" spans="1:10" x14ac:dyDescent="0.35">
      <c r="A28" s="69">
        <v>9</v>
      </c>
      <c r="B28" s="4" t="s">
        <v>25</v>
      </c>
      <c r="C28" s="11">
        <f>+C21</f>
        <v>0.49099999999999999</v>
      </c>
      <c r="D28" s="157"/>
      <c r="E28" s="9">
        <f>+E21</f>
        <v>9.4E-2</v>
      </c>
      <c r="F28" s="9"/>
      <c r="G28" s="12">
        <f>+G16</f>
        <v>4.6149999999999997E-2</v>
      </c>
      <c r="H28" s="4">
        <f>1/0.755061162</f>
        <v>1.3243960229012548</v>
      </c>
      <c r="I28" s="4"/>
      <c r="J28" s="12">
        <f>+G28*H28</f>
        <v>6.1120876456892903E-2</v>
      </c>
    </row>
    <row r="29" spans="1:10" x14ac:dyDescent="0.35">
      <c r="A29" s="69">
        <v>10</v>
      </c>
      <c r="B29" s="4" t="s">
        <v>26</v>
      </c>
      <c r="C29" s="9">
        <f>+C27+C28</f>
        <v>1</v>
      </c>
      <c r="D29" s="9"/>
      <c r="E29" s="4"/>
      <c r="F29" s="4"/>
      <c r="G29" s="13">
        <f>SUM(G27:G28)</f>
        <v>6.9259999999999988E-2</v>
      </c>
      <c r="H29" s="4"/>
      <c r="I29" s="4"/>
      <c r="J29" s="13">
        <f>SUM(J27:J28)</f>
        <v>8.5300242201954896E-2</v>
      </c>
    </row>
    <row r="30" spans="1:10" x14ac:dyDescent="0.35">
      <c r="A30" s="69"/>
      <c r="B30" s="4"/>
      <c r="C30" s="4"/>
      <c r="D30" s="4"/>
      <c r="E30" s="4"/>
      <c r="F30" s="4"/>
      <c r="G30" s="4"/>
      <c r="H30" s="4"/>
      <c r="I30" s="4"/>
      <c r="J30" s="4"/>
    </row>
    <row r="31" spans="1:10" ht="16" thickBot="1" x14ac:dyDescent="0.4">
      <c r="A31" s="69">
        <v>11</v>
      </c>
      <c r="B31" s="4" t="s">
        <v>42</v>
      </c>
      <c r="C31" s="4"/>
      <c r="D31" s="4"/>
      <c r="E31" s="4"/>
      <c r="F31" s="4"/>
      <c r="G31" s="14">
        <f>+G29-G22</f>
        <v>0</v>
      </c>
      <c r="H31" s="4"/>
      <c r="I31" s="4"/>
      <c r="J31" s="14">
        <f>+J29-J22</f>
        <v>0</v>
      </c>
    </row>
    <row r="32" spans="1:10" ht="16" thickTop="1" x14ac:dyDescent="0.35">
      <c r="A32" s="69"/>
    </row>
    <row r="34" spans="1:7" x14ac:dyDescent="0.35">
      <c r="A34" s="71" t="s">
        <v>38</v>
      </c>
      <c r="B34" s="71" t="s">
        <v>131</v>
      </c>
      <c r="C34" s="71"/>
      <c r="D34" s="71"/>
      <c r="E34" s="71"/>
      <c r="F34" s="71"/>
      <c r="G34" s="71"/>
    </row>
    <row r="35" spans="1:7" x14ac:dyDescent="0.35">
      <c r="A35" s="71" t="s">
        <v>41</v>
      </c>
      <c r="B35" s="71" t="s">
        <v>486</v>
      </c>
      <c r="C35" s="71"/>
      <c r="D35" s="71"/>
      <c r="E35" s="71"/>
      <c r="F35" s="71"/>
      <c r="G35" s="71"/>
    </row>
  </sheetData>
  <mergeCells count="3">
    <mergeCell ref="A5:J5"/>
    <mergeCell ref="A6:J6"/>
    <mergeCell ref="A7:J7"/>
  </mergeCells>
  <printOptions horizontalCentered="1"/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opLeftCell="A19" workbookViewId="0">
      <selection activeCell="M12" sqref="M12"/>
    </sheetView>
  </sheetViews>
  <sheetFormatPr defaultRowHeight="15.5" x14ac:dyDescent="0.35"/>
  <cols>
    <col min="1" max="1" width="8" customWidth="1"/>
    <col min="2" max="2" width="1.33203125" customWidth="1"/>
    <col min="3" max="3" width="26.83203125" customWidth="1"/>
    <col min="4" max="4" width="4" customWidth="1"/>
    <col min="5" max="5" width="13.58203125" customWidth="1"/>
    <col min="6" max="6" width="1.08203125" customWidth="1"/>
    <col min="7" max="7" width="13.25" customWidth="1"/>
    <col min="8" max="8" width="1.08203125" customWidth="1"/>
    <col min="9" max="9" width="12.75" customWidth="1"/>
    <col min="10" max="10" width="1.08203125" customWidth="1"/>
    <col min="11" max="11" width="11.75" customWidth="1"/>
    <col min="12" max="12" width="1.08203125" customWidth="1"/>
    <col min="13" max="13" width="13.25" customWidth="1"/>
    <col min="14" max="14" width="5" customWidth="1"/>
    <col min="15" max="15" width="12.25" bestFit="1" customWidth="1"/>
    <col min="16" max="16" width="1.08203125" customWidth="1"/>
    <col min="17" max="17" width="13.33203125" bestFit="1" customWidth="1"/>
    <col min="18" max="18" width="1.08203125" customWidth="1"/>
    <col min="19" max="19" width="12.25" customWidth="1"/>
    <col min="20" max="20" width="1.08203125" customWidth="1"/>
    <col min="21" max="21" width="15.08203125" bestFit="1" customWidth="1"/>
    <col min="22" max="22" width="0.75" customWidth="1"/>
    <col min="23" max="23" width="13.08203125" bestFit="1" customWidth="1"/>
  </cols>
  <sheetData>
    <row r="1" spans="1:23" x14ac:dyDescent="0.35">
      <c r="W1" s="29" t="s">
        <v>119</v>
      </c>
    </row>
    <row r="2" spans="1:23" x14ac:dyDescent="0.35">
      <c r="W2" s="28" t="s">
        <v>133</v>
      </c>
    </row>
    <row r="3" spans="1:23" x14ac:dyDescent="0.35">
      <c r="W3" s="112" t="s">
        <v>458</v>
      </c>
    </row>
    <row r="4" spans="1:23" x14ac:dyDescent="0.35">
      <c r="W4" s="29" t="s">
        <v>106</v>
      </c>
    </row>
    <row r="5" spans="1:23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23" x14ac:dyDescent="0.35">
      <c r="A6" s="172" t="s">
        <v>98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</row>
    <row r="7" spans="1:23" x14ac:dyDescent="0.35">
      <c r="A7" s="172" t="s">
        <v>229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</row>
    <row r="9" spans="1:23" x14ac:dyDescent="0.35">
      <c r="E9" s="173"/>
      <c r="F9" s="173"/>
      <c r="G9" s="173"/>
      <c r="H9" s="173"/>
      <c r="I9" s="173"/>
      <c r="K9" s="1"/>
      <c r="L9" s="1"/>
      <c r="M9" s="1"/>
      <c r="N9" s="32"/>
      <c r="O9" s="172" t="s">
        <v>46</v>
      </c>
      <c r="P9" s="172"/>
      <c r="Q9" s="172"/>
      <c r="R9" s="172"/>
      <c r="S9" s="172"/>
      <c r="T9" s="1"/>
      <c r="U9" s="1" t="s">
        <v>47</v>
      </c>
      <c r="V9" s="1"/>
      <c r="W9" s="1" t="s">
        <v>48</v>
      </c>
    </row>
    <row r="10" spans="1:23" ht="18.5" x14ac:dyDescent="0.35">
      <c r="A10" s="1" t="s">
        <v>63</v>
      </c>
      <c r="B10" s="1"/>
      <c r="E10" s="170" t="s">
        <v>441</v>
      </c>
      <c r="F10" s="170"/>
      <c r="G10" s="170"/>
      <c r="H10" s="170"/>
      <c r="I10" s="170"/>
      <c r="K10" s="171" t="s">
        <v>49</v>
      </c>
      <c r="L10" s="171"/>
      <c r="M10" s="171"/>
      <c r="N10" s="32"/>
      <c r="O10" s="171" t="s">
        <v>50</v>
      </c>
      <c r="P10" s="171"/>
      <c r="Q10" s="171"/>
      <c r="R10" s="171"/>
      <c r="S10" s="171"/>
      <c r="T10" s="1"/>
      <c r="U10" s="1" t="s">
        <v>51</v>
      </c>
      <c r="V10" s="1"/>
      <c r="W10" s="1" t="s">
        <v>52</v>
      </c>
    </row>
    <row r="11" spans="1:23" x14ac:dyDescent="0.35">
      <c r="A11" s="15" t="s">
        <v>53</v>
      </c>
      <c r="B11" s="1"/>
      <c r="C11" s="15" t="s">
        <v>54</v>
      </c>
      <c r="D11" s="104" t="s">
        <v>459</v>
      </c>
      <c r="E11" s="34" t="s">
        <v>55</v>
      </c>
      <c r="F11" s="35"/>
      <c r="G11" s="34" t="s">
        <v>2</v>
      </c>
      <c r="H11" s="35"/>
      <c r="I11" s="15" t="s">
        <v>56</v>
      </c>
      <c r="K11" s="15" t="s">
        <v>57</v>
      </c>
      <c r="L11" s="1"/>
      <c r="M11" s="36" t="s">
        <v>2</v>
      </c>
      <c r="N11" s="36" t="s">
        <v>459</v>
      </c>
      <c r="O11" s="34" t="s">
        <v>55</v>
      </c>
      <c r="P11" s="35"/>
      <c r="Q11" s="34" t="s">
        <v>2</v>
      </c>
      <c r="R11" s="35"/>
      <c r="S11" s="15" t="s">
        <v>56</v>
      </c>
      <c r="T11" s="1"/>
      <c r="U11" s="15" t="s">
        <v>58</v>
      </c>
      <c r="V11" s="1"/>
      <c r="W11" s="15" t="s">
        <v>59</v>
      </c>
    </row>
    <row r="12" spans="1:23" x14ac:dyDescent="0.35">
      <c r="E12" s="3"/>
      <c r="F12" s="37"/>
      <c r="G12" s="37"/>
      <c r="H12" s="37"/>
      <c r="N12" s="32"/>
      <c r="Q12" s="22"/>
    </row>
    <row r="13" spans="1:23" x14ac:dyDescent="0.35">
      <c r="B13" s="38"/>
      <c r="C13" t="s">
        <v>123</v>
      </c>
      <c r="D13" s="147" t="s">
        <v>0</v>
      </c>
      <c r="E13" s="3">
        <v>24683915</v>
      </c>
      <c r="F13" s="37"/>
      <c r="G13" s="3">
        <v>420308417</v>
      </c>
      <c r="H13" s="3"/>
      <c r="I13" s="3">
        <f>((G13*0.06926)-E13)/0.75506116196</f>
        <v>5862632.3064071266</v>
      </c>
      <c r="J13" s="3"/>
      <c r="K13" s="3"/>
      <c r="L13" s="3"/>
      <c r="M13" s="3"/>
      <c r="N13" s="50"/>
      <c r="O13" s="3">
        <f>+E13</f>
        <v>24683915</v>
      </c>
      <c r="P13" s="3"/>
      <c r="Q13" s="3">
        <f>+G13</f>
        <v>420308417</v>
      </c>
      <c r="R13" s="3"/>
      <c r="S13" s="3">
        <f t="shared" ref="S13:S22" si="0">((Q13*0.06926)-O13)/0.755061162</f>
        <v>5862632.3060965491</v>
      </c>
      <c r="T13" s="3"/>
      <c r="U13" s="41" t="s">
        <v>61</v>
      </c>
      <c r="V13" s="3"/>
      <c r="W13" s="3">
        <f t="shared" ref="W13:W32" si="1">+S13-I13</f>
        <v>-3.1057745218276978E-4</v>
      </c>
    </row>
    <row r="14" spans="1:23" x14ac:dyDescent="0.35">
      <c r="A14" s="67" t="s">
        <v>64</v>
      </c>
      <c r="B14" s="38"/>
      <c r="C14" t="s">
        <v>74</v>
      </c>
      <c r="D14" s="39"/>
      <c r="E14" s="40">
        <v>-636366</v>
      </c>
      <c r="F14" s="21"/>
      <c r="G14" s="40">
        <v>0</v>
      </c>
      <c r="H14" s="21"/>
      <c r="I14" s="40">
        <f t="shared" ref="I14:I27" si="2">((G14*0.06926)-E14)/0.75506116196</f>
        <v>842800.59955422801</v>
      </c>
      <c r="K14" s="40"/>
      <c r="L14" s="40"/>
      <c r="M14" s="40"/>
      <c r="N14" s="55"/>
      <c r="O14" s="37">
        <f>+E14+K14</f>
        <v>-636366</v>
      </c>
      <c r="P14" s="37"/>
      <c r="Q14" s="37">
        <f>+G14+M14</f>
        <v>0</v>
      </c>
      <c r="R14" s="21"/>
      <c r="S14" s="40">
        <f t="shared" si="0"/>
        <v>842800.59950957994</v>
      </c>
      <c r="U14" s="41" t="s">
        <v>60</v>
      </c>
      <c r="V14" s="1"/>
      <c r="W14" s="40">
        <f t="shared" si="1"/>
        <v>-4.4648069888353348E-5</v>
      </c>
    </row>
    <row r="15" spans="1:23" x14ac:dyDescent="0.35">
      <c r="A15" s="67" t="s">
        <v>65</v>
      </c>
      <c r="B15" s="38"/>
      <c r="C15" t="s">
        <v>75</v>
      </c>
      <c r="D15" s="39"/>
      <c r="E15" s="40">
        <v>107863</v>
      </c>
      <c r="F15" s="21"/>
      <c r="G15" s="40">
        <v>0</v>
      </c>
      <c r="H15" s="21"/>
      <c r="I15" s="40">
        <f t="shared" si="2"/>
        <v>-142853.32822576581</v>
      </c>
      <c r="K15" s="40"/>
      <c r="L15" s="40"/>
      <c r="M15" s="40"/>
      <c r="N15" s="55"/>
      <c r="O15" s="37">
        <f t="shared" ref="O15" si="3">+E15+K15</f>
        <v>107863</v>
      </c>
      <c r="P15" s="37"/>
      <c r="Q15" s="37">
        <f t="shared" ref="Q15" si="4">+G15+M15</f>
        <v>0</v>
      </c>
      <c r="R15" s="21"/>
      <c r="S15" s="40">
        <f t="shared" si="0"/>
        <v>-142853.32821819806</v>
      </c>
      <c r="U15" s="41" t="s">
        <v>60</v>
      </c>
      <c r="V15" s="1"/>
      <c r="W15" s="40">
        <f t="shared" si="1"/>
        <v>7.567752618342638E-6</v>
      </c>
    </row>
    <row r="16" spans="1:23" x14ac:dyDescent="0.35">
      <c r="A16" s="67" t="s">
        <v>66</v>
      </c>
      <c r="B16" s="38"/>
      <c r="C16" t="s">
        <v>76</v>
      </c>
      <c r="D16" s="39"/>
      <c r="E16" s="61">
        <v>-1055200</v>
      </c>
      <c r="F16" s="21"/>
      <c r="G16" s="40">
        <v>53527363</v>
      </c>
      <c r="H16" s="21"/>
      <c r="I16" s="40">
        <f t="shared" si="2"/>
        <v>6307442.8951125136</v>
      </c>
      <c r="K16" s="40"/>
      <c r="L16" s="40"/>
      <c r="M16" s="40"/>
      <c r="N16" s="55"/>
      <c r="O16" s="37">
        <f>+E16+K16</f>
        <v>-1055200</v>
      </c>
      <c r="P16" s="37"/>
      <c r="Q16" s="37">
        <f>+G16</f>
        <v>53527363</v>
      </c>
      <c r="R16" s="21"/>
      <c r="S16" s="40">
        <f t="shared" si="0"/>
        <v>6307442.8947783709</v>
      </c>
      <c r="U16" s="41" t="s">
        <v>61</v>
      </c>
      <c r="V16" s="1"/>
      <c r="W16" s="40">
        <f>+S16-I16</f>
        <v>-3.3414270728826523E-4</v>
      </c>
    </row>
    <row r="17" spans="1:23" x14ac:dyDescent="0.35">
      <c r="A17" s="67" t="s">
        <v>67</v>
      </c>
      <c r="B17" s="38"/>
      <c r="C17" t="s">
        <v>77</v>
      </c>
      <c r="D17" s="39"/>
      <c r="E17" s="40">
        <v>-59453</v>
      </c>
      <c r="F17" s="21"/>
      <c r="G17" s="40">
        <v>0</v>
      </c>
      <c r="H17" s="21"/>
      <c r="I17" s="40">
        <f t="shared" si="2"/>
        <v>78739.316753719584</v>
      </c>
      <c r="K17" s="40"/>
      <c r="L17" s="40"/>
      <c r="M17" s="40"/>
      <c r="N17" s="55"/>
      <c r="O17" s="37">
        <f>+E17+K17</f>
        <v>-59453</v>
      </c>
      <c r="P17" s="37"/>
      <c r="Q17" s="37">
        <f>+G17+M17</f>
        <v>0</v>
      </c>
      <c r="R17" s="21"/>
      <c r="S17" s="40">
        <f t="shared" si="0"/>
        <v>78739.316749548307</v>
      </c>
      <c r="U17" s="41" t="s">
        <v>60</v>
      </c>
      <c r="V17" s="1"/>
      <c r="W17" s="40">
        <f>+S17-I17</f>
        <v>-4.1712773963809013E-6</v>
      </c>
    </row>
    <row r="18" spans="1:23" x14ac:dyDescent="0.35">
      <c r="A18" s="67" t="s">
        <v>68</v>
      </c>
      <c r="B18" s="38"/>
      <c r="C18" t="s">
        <v>124</v>
      </c>
      <c r="D18" s="39"/>
      <c r="E18" s="40">
        <v>1255708</v>
      </c>
      <c r="F18" s="21"/>
      <c r="G18" s="40">
        <v>0</v>
      </c>
      <c r="H18" s="21"/>
      <c r="I18" s="40">
        <f t="shared" si="2"/>
        <v>-1663054.6812133905</v>
      </c>
      <c r="K18" s="40"/>
      <c r="L18" s="40"/>
      <c r="M18" s="40"/>
      <c r="N18" s="55"/>
      <c r="O18" s="37">
        <f>+E18</f>
        <v>1255708</v>
      </c>
      <c r="P18" s="37"/>
      <c r="Q18" s="37">
        <v>0</v>
      </c>
      <c r="R18" s="21"/>
      <c r="S18" s="40">
        <f t="shared" si="0"/>
        <v>-1663054.6811252888</v>
      </c>
      <c r="U18" s="41" t="s">
        <v>61</v>
      </c>
      <c r="V18" s="1"/>
      <c r="W18" s="40">
        <f>+S18-I18</f>
        <v>8.8101718574762344E-5</v>
      </c>
    </row>
    <row r="19" spans="1:23" x14ac:dyDescent="0.35">
      <c r="A19" s="67" t="s">
        <v>69</v>
      </c>
      <c r="B19" s="38"/>
      <c r="C19" t="s">
        <v>99</v>
      </c>
      <c r="D19" s="39"/>
      <c r="E19" s="61">
        <f>140713</f>
        <v>140713</v>
      </c>
      <c r="F19" s="21"/>
      <c r="G19" s="40">
        <v>0</v>
      </c>
      <c r="H19" s="21"/>
      <c r="I19" s="40">
        <f t="shared" si="2"/>
        <v>-186359.73758037682</v>
      </c>
      <c r="K19" s="40"/>
      <c r="L19" s="40"/>
      <c r="M19" s="40"/>
      <c r="N19" s="55"/>
      <c r="O19" s="37">
        <f>+E19</f>
        <v>140713</v>
      </c>
      <c r="P19" s="37"/>
      <c r="Q19" s="37">
        <f>+G19</f>
        <v>0</v>
      </c>
      <c r="R19" s="21"/>
      <c r="S19" s="40">
        <f t="shared" si="0"/>
        <v>-186359.73757050428</v>
      </c>
      <c r="U19" s="41" t="s">
        <v>60</v>
      </c>
      <c r="V19" s="68"/>
      <c r="W19" s="40">
        <f t="shared" ref="W19:W22" si="5">+S19-I19</f>
        <v>9.8725431598722935E-6</v>
      </c>
    </row>
    <row r="20" spans="1:23" x14ac:dyDescent="0.35">
      <c r="A20" s="74" t="s">
        <v>125</v>
      </c>
      <c r="B20" s="38"/>
      <c r="C20" t="s">
        <v>450</v>
      </c>
      <c r="D20" s="39"/>
      <c r="E20" s="40">
        <v>-161446</v>
      </c>
      <c r="F20" s="21"/>
      <c r="G20" s="40">
        <v>0</v>
      </c>
      <c r="H20" s="21"/>
      <c r="I20" s="40">
        <f t="shared" si="2"/>
        <v>213818.44032464319</v>
      </c>
      <c r="K20" s="40"/>
      <c r="L20" s="40"/>
      <c r="M20" s="40"/>
      <c r="N20" s="55"/>
      <c r="O20" s="37">
        <f t="shared" ref="O20:O22" si="6">+E20+K20</f>
        <v>-161446</v>
      </c>
      <c r="P20" s="37"/>
      <c r="Q20" s="37">
        <f t="shared" ref="Q20:Q22" si="7">+G20+M20</f>
        <v>0</v>
      </c>
      <c r="R20" s="21"/>
      <c r="S20" s="40">
        <f t="shared" si="0"/>
        <v>213818.44031331598</v>
      </c>
      <c r="U20" s="41" t="s">
        <v>60</v>
      </c>
      <c r="V20" s="74"/>
      <c r="W20" s="40">
        <f t="shared" si="5"/>
        <v>-1.1327210813760757E-5</v>
      </c>
    </row>
    <row r="21" spans="1:23" x14ac:dyDescent="0.35">
      <c r="A21" s="74" t="s">
        <v>126</v>
      </c>
      <c r="B21" s="38"/>
      <c r="C21" t="s">
        <v>128</v>
      </c>
      <c r="D21" s="39"/>
      <c r="E21" s="40">
        <v>272140</v>
      </c>
      <c r="F21" s="21"/>
      <c r="G21" s="40">
        <v>0</v>
      </c>
      <c r="H21" s="21"/>
      <c r="I21" s="40">
        <f t="shared" si="2"/>
        <v>-360421.13369144109</v>
      </c>
      <c r="K21" s="40"/>
      <c r="L21" s="40"/>
      <c r="M21" s="40"/>
      <c r="N21" s="55"/>
      <c r="O21" s="37">
        <f t="shared" si="6"/>
        <v>272140</v>
      </c>
      <c r="P21" s="37"/>
      <c r="Q21" s="37">
        <f t="shared" si="7"/>
        <v>0</v>
      </c>
      <c r="R21" s="21"/>
      <c r="S21" s="40">
        <f t="shared" si="0"/>
        <v>-360421.13367234747</v>
      </c>
      <c r="U21" s="41" t="s">
        <v>60</v>
      </c>
      <c r="V21" s="74"/>
      <c r="W21" s="40">
        <f t="shared" si="5"/>
        <v>1.909362617880106E-5</v>
      </c>
    </row>
    <row r="22" spans="1:23" x14ac:dyDescent="0.35">
      <c r="A22" s="74" t="s">
        <v>127</v>
      </c>
      <c r="B22" s="38"/>
      <c r="C22" t="s">
        <v>129</v>
      </c>
      <c r="E22" s="40">
        <v>41188</v>
      </c>
      <c r="F22" s="21"/>
      <c r="G22" s="40">
        <v>-3395927</v>
      </c>
      <c r="H22" s="21"/>
      <c r="I22" s="40">
        <f t="shared" si="2"/>
        <v>-366049.68967353937</v>
      </c>
      <c r="K22" s="40"/>
      <c r="L22" s="40"/>
      <c r="M22" s="40"/>
      <c r="N22" s="55"/>
      <c r="O22" s="37">
        <f t="shared" si="6"/>
        <v>41188</v>
      </c>
      <c r="P22" s="37"/>
      <c r="Q22" s="37">
        <f t="shared" si="7"/>
        <v>-3395927</v>
      </c>
      <c r="R22" s="21"/>
      <c r="S22" s="40">
        <f t="shared" si="0"/>
        <v>-366049.68965414754</v>
      </c>
      <c r="U22" s="41" t="s">
        <v>60</v>
      </c>
      <c r="V22" s="74"/>
      <c r="W22" s="40">
        <f t="shared" si="5"/>
        <v>1.9391824025660753E-5</v>
      </c>
    </row>
    <row r="23" spans="1:23" x14ac:dyDescent="0.35">
      <c r="A23" s="92" t="s">
        <v>421</v>
      </c>
      <c r="B23" s="38"/>
      <c r="C23" t="s">
        <v>422</v>
      </c>
      <c r="E23" s="40">
        <v>-5529</v>
      </c>
      <c r="F23" s="21"/>
      <c r="G23" s="40">
        <v>-27547</v>
      </c>
      <c r="H23" s="21"/>
      <c r="I23" s="40">
        <f t="shared" si="2"/>
        <v>4795.7635254345541</v>
      </c>
      <c r="K23" s="40"/>
      <c r="L23" s="40"/>
      <c r="M23" s="40"/>
      <c r="N23" s="55"/>
      <c r="O23" s="37">
        <f t="shared" ref="O23" si="8">+E23+K23</f>
        <v>-5529</v>
      </c>
      <c r="P23" s="37"/>
      <c r="Q23" s="37">
        <f t="shared" ref="Q23" si="9">+G23+M23</f>
        <v>-27547</v>
      </c>
      <c r="R23" s="21"/>
      <c r="S23" s="40">
        <f t="shared" ref="S23" si="10">((Q23*0.06926)-O23)/0.755061162</f>
        <v>4795.7635251804941</v>
      </c>
      <c r="U23" s="41"/>
      <c r="V23" s="92"/>
      <c r="W23" s="40"/>
    </row>
    <row r="24" spans="1:23" x14ac:dyDescent="0.35">
      <c r="A24" s="67" t="s">
        <v>70</v>
      </c>
      <c r="B24" s="38"/>
      <c r="C24" t="s">
        <v>78</v>
      </c>
      <c r="D24" s="39"/>
      <c r="E24" s="40">
        <v>-188107</v>
      </c>
      <c r="F24" s="37"/>
      <c r="G24" s="40">
        <v>0</v>
      </c>
      <c r="H24" s="37"/>
      <c r="I24" s="40">
        <f t="shared" si="2"/>
        <v>249128.1626930841</v>
      </c>
      <c r="K24" s="40"/>
      <c r="L24" s="40"/>
      <c r="M24" s="40"/>
      <c r="N24" s="55"/>
      <c r="O24" s="37">
        <f>+E24</f>
        <v>-188107</v>
      </c>
      <c r="P24" s="37"/>
      <c r="Q24" s="37">
        <f>+G24</f>
        <v>0</v>
      </c>
      <c r="R24" s="37"/>
      <c r="S24" s="40">
        <f t="shared" ref="S24:S32" si="11">((Q24*0.06926)-O24)/0.755061162</f>
        <v>249128.16267988633</v>
      </c>
      <c r="U24" s="41" t="s">
        <v>60</v>
      </c>
      <c r="V24" s="1"/>
      <c r="W24" s="40">
        <f t="shared" si="1"/>
        <v>-1.3197772204875946E-5</v>
      </c>
    </row>
    <row r="25" spans="1:23" x14ac:dyDescent="0.35">
      <c r="A25" s="67" t="s">
        <v>71</v>
      </c>
      <c r="B25" s="42"/>
      <c r="C25" t="s">
        <v>130</v>
      </c>
      <c r="E25" s="40">
        <v>1062652</v>
      </c>
      <c r="F25" s="37"/>
      <c r="G25" s="40">
        <v>0</v>
      </c>
      <c r="H25" s="37"/>
      <c r="I25" s="40">
        <f t="shared" si="2"/>
        <v>-1407372.0826026211</v>
      </c>
      <c r="J25" s="26"/>
      <c r="K25" s="40"/>
      <c r="L25" s="40"/>
      <c r="M25" s="40"/>
      <c r="N25" s="50"/>
      <c r="O25" s="37">
        <f>+E25</f>
        <v>1062652</v>
      </c>
      <c r="P25" s="37"/>
      <c r="Q25" s="37">
        <f>+G25</f>
        <v>0</v>
      </c>
      <c r="R25" s="37"/>
      <c r="S25" s="40">
        <f t="shared" si="11"/>
        <v>-1407372.0825280643</v>
      </c>
      <c r="U25" s="41" t="s">
        <v>60</v>
      </c>
      <c r="W25" s="40">
        <f>+S25-I25</f>
        <v>7.4556795880198479E-5</v>
      </c>
    </row>
    <row r="26" spans="1:23" x14ac:dyDescent="0.35">
      <c r="A26" s="67" t="s">
        <v>72</v>
      </c>
      <c r="B26" s="1"/>
      <c r="C26" t="s">
        <v>79</v>
      </c>
      <c r="D26" s="39"/>
      <c r="E26" s="40">
        <v>-605074</v>
      </c>
      <c r="F26" s="37"/>
      <c r="G26" s="40">
        <v>0</v>
      </c>
      <c r="H26" s="37"/>
      <c r="I26" s="40">
        <f t="shared" si="2"/>
        <v>801357.59920340648</v>
      </c>
      <c r="J26" s="43"/>
      <c r="K26" s="61"/>
      <c r="L26" s="40"/>
      <c r="M26" s="40"/>
      <c r="N26" s="55"/>
      <c r="O26" s="37">
        <f>+E26</f>
        <v>-605074</v>
      </c>
      <c r="P26" s="37"/>
      <c r="Q26" s="37">
        <v>0</v>
      </c>
      <c r="R26" s="37"/>
      <c r="S26" s="40">
        <f t="shared" si="11"/>
        <v>801357.59916095389</v>
      </c>
      <c r="U26" s="41" t="s">
        <v>61</v>
      </c>
      <c r="W26" s="40">
        <f t="shared" si="1"/>
        <v>-4.2452593334019184E-5</v>
      </c>
    </row>
    <row r="27" spans="1:23" x14ac:dyDescent="0.35">
      <c r="A27" s="67" t="s">
        <v>73</v>
      </c>
      <c r="B27" s="1"/>
      <c r="C27" t="s">
        <v>80</v>
      </c>
      <c r="E27" s="44">
        <v>-346111</v>
      </c>
      <c r="F27" s="37"/>
      <c r="G27" s="44">
        <v>0</v>
      </c>
      <c r="H27" s="37"/>
      <c r="I27" s="44">
        <f t="shared" si="2"/>
        <v>458388.03190665971</v>
      </c>
      <c r="J27" s="26"/>
      <c r="K27" s="44"/>
      <c r="L27" s="40"/>
      <c r="M27" s="44"/>
      <c r="N27" s="55"/>
      <c r="O27" s="45">
        <f>+E27</f>
        <v>-346111</v>
      </c>
      <c r="P27" s="37"/>
      <c r="Q27" s="45">
        <f>+G27</f>
        <v>0</v>
      </c>
      <c r="R27" s="37"/>
      <c r="S27" s="44">
        <f t="shared" si="11"/>
        <v>458388.03188237618</v>
      </c>
      <c r="U27" s="41" t="s">
        <v>60</v>
      </c>
      <c r="W27" s="44">
        <f t="shared" si="1"/>
        <v>-2.4283537641167641E-5</v>
      </c>
    </row>
    <row r="28" spans="1:23" x14ac:dyDescent="0.35">
      <c r="A28" s="90"/>
      <c r="B28" s="90"/>
      <c r="C28" t="s">
        <v>414</v>
      </c>
      <c r="E28" s="40">
        <f>SUM(E13:E27)</f>
        <v>24506893</v>
      </c>
      <c r="F28" s="37"/>
      <c r="G28" s="40">
        <f>SUM(G13:G27)</f>
        <v>470412306</v>
      </c>
      <c r="H28" s="37"/>
      <c r="I28" s="40">
        <f>SUM(I13:I27)</f>
        <v>10692992.462493677</v>
      </c>
      <c r="J28" s="26"/>
      <c r="K28" s="40">
        <f>SUM(K13:K27)</f>
        <v>0</v>
      </c>
      <c r="L28" s="40"/>
      <c r="M28" s="40">
        <f>SUM(M13:M27)</f>
        <v>0</v>
      </c>
      <c r="N28" s="146"/>
      <c r="O28" s="40">
        <f>SUM(O13:O27)</f>
        <v>24506893</v>
      </c>
      <c r="P28" s="37"/>
      <c r="Q28" s="40">
        <f>SUM(Q13:Q27)</f>
        <v>470412306</v>
      </c>
      <c r="R28" s="37"/>
      <c r="S28" s="40">
        <f>SUM(S13:S27)</f>
        <v>10692992.461927213</v>
      </c>
      <c r="U28" s="41"/>
      <c r="W28" s="40">
        <f>SUM(W13:W27)</f>
        <v>-5.6621636031195521E-4</v>
      </c>
    </row>
    <row r="29" spans="1:23" x14ac:dyDescent="0.35">
      <c r="A29" s="90"/>
      <c r="B29" s="90"/>
      <c r="E29" s="40"/>
      <c r="F29" s="37"/>
      <c r="G29" s="40"/>
      <c r="H29" s="37"/>
      <c r="I29" s="40"/>
      <c r="J29" s="26"/>
      <c r="K29" s="40"/>
      <c r="L29" s="40"/>
      <c r="M29" s="40"/>
      <c r="N29" s="146"/>
      <c r="O29" s="37"/>
      <c r="P29" s="37"/>
      <c r="Q29" s="37"/>
      <c r="R29" s="37"/>
      <c r="S29" s="40"/>
      <c r="U29" s="41"/>
      <c r="W29" s="40"/>
    </row>
    <row r="30" spans="1:23" x14ac:dyDescent="0.35">
      <c r="A30" s="92" t="s">
        <v>113</v>
      </c>
      <c r="B30" s="77"/>
      <c r="C30" t="s">
        <v>143</v>
      </c>
      <c r="E30" s="40">
        <v>0</v>
      </c>
      <c r="F30" s="37"/>
      <c r="G30" s="40">
        <v>0</v>
      </c>
      <c r="H30" s="37"/>
      <c r="I30" s="40">
        <f t="shared" ref="I30" si="12">((G30*0.06926)-E30)/0.755061162</f>
        <v>0</v>
      </c>
      <c r="J30" s="26"/>
      <c r="K30" s="61">
        <f t="shared" ref="K30:K32" si="13">+O30-E30</f>
        <v>4129425</v>
      </c>
      <c r="L30" s="40"/>
      <c r="M30" s="40">
        <f t="shared" ref="M30:M32" si="14">+Q30-G30</f>
        <v>16106493</v>
      </c>
      <c r="N30" s="148" t="s">
        <v>3</v>
      </c>
      <c r="O30" s="37">
        <f>+'MEG-5 2021 AMA'!I16</f>
        <v>4129425</v>
      </c>
      <c r="P30" s="37"/>
      <c r="Q30" s="37">
        <f>+'MEG-5 2021 AMA'!I14</f>
        <v>16106493</v>
      </c>
      <c r="R30" s="37"/>
      <c r="S30" s="40">
        <f t="shared" si="11"/>
        <v>-3991582.9955242751</v>
      </c>
      <c r="U30" s="41" t="s">
        <v>144</v>
      </c>
      <c r="W30" s="40">
        <f t="shared" si="1"/>
        <v>-3991582.9955242751</v>
      </c>
    </row>
    <row r="31" spans="1:23" x14ac:dyDescent="0.35">
      <c r="A31" s="77" t="s">
        <v>114</v>
      </c>
      <c r="B31" s="77"/>
      <c r="C31" t="s">
        <v>208</v>
      </c>
      <c r="E31" s="40">
        <v>0</v>
      </c>
      <c r="F31" s="37"/>
      <c r="G31" s="40">
        <v>0</v>
      </c>
      <c r="H31" s="37"/>
      <c r="I31" s="40">
        <f t="shared" ref="I31:I32" si="15">((G31*0.06926)-E31)/0.755061162</f>
        <v>0</v>
      </c>
      <c r="J31" s="26"/>
      <c r="K31" s="61">
        <f t="shared" si="13"/>
        <v>1604789.1622634286</v>
      </c>
      <c r="L31" s="40"/>
      <c r="M31" s="40">
        <f t="shared" si="14"/>
        <v>0</v>
      </c>
      <c r="N31" s="146" t="s">
        <v>4</v>
      </c>
      <c r="O31" s="37">
        <f>+'MEG-6 Restate 2021 Revenue'!E30</f>
        <v>1604789.1622634286</v>
      </c>
      <c r="P31" s="37"/>
      <c r="Q31" s="37"/>
      <c r="R31" s="37"/>
      <c r="S31" s="40">
        <f t="shared" si="11"/>
        <v>-2125376.3840967212</v>
      </c>
      <c r="U31" s="41" t="s">
        <v>144</v>
      </c>
      <c r="W31" s="40">
        <f t="shared" si="1"/>
        <v>-2125376.3840967212</v>
      </c>
    </row>
    <row r="32" spans="1:23" x14ac:dyDescent="0.35">
      <c r="A32" s="77" t="s">
        <v>115</v>
      </c>
      <c r="B32" s="77"/>
      <c r="C32" t="s">
        <v>209</v>
      </c>
      <c r="E32" s="40">
        <v>0</v>
      </c>
      <c r="F32" s="37"/>
      <c r="G32" s="40">
        <v>0</v>
      </c>
      <c r="H32" s="37"/>
      <c r="I32" s="40">
        <f t="shared" si="15"/>
        <v>0</v>
      </c>
      <c r="J32" s="26"/>
      <c r="K32" s="61">
        <f t="shared" si="13"/>
        <v>-78974.309493232213</v>
      </c>
      <c r="L32" s="40"/>
      <c r="M32" s="40">
        <f t="shared" si="14"/>
        <v>0</v>
      </c>
      <c r="N32" s="146" t="s">
        <v>5</v>
      </c>
      <c r="O32" s="37">
        <f>+'MEG-7 Restate 2021 Payroll'!E22</f>
        <v>-78974.309493232213</v>
      </c>
      <c r="P32" s="37"/>
      <c r="Q32" s="37"/>
      <c r="R32" s="37"/>
      <c r="S32" s="40">
        <f t="shared" si="11"/>
        <v>104593.26140420955</v>
      </c>
      <c r="U32" s="41" t="s">
        <v>144</v>
      </c>
      <c r="W32" s="40">
        <f t="shared" si="1"/>
        <v>104593.26140420955</v>
      </c>
    </row>
    <row r="33" spans="1:23" x14ac:dyDescent="0.35">
      <c r="A33" s="77" t="s">
        <v>116</v>
      </c>
      <c r="B33" s="77"/>
      <c r="C33" t="s">
        <v>213</v>
      </c>
      <c r="E33" s="40">
        <v>0</v>
      </c>
      <c r="F33" s="37"/>
      <c r="G33" s="40">
        <v>0</v>
      </c>
      <c r="H33" s="37"/>
      <c r="I33" s="40">
        <f t="shared" ref="I33" si="16">((G33*0.06926)-E33)/0.755061162</f>
        <v>0</v>
      </c>
      <c r="J33" s="26"/>
      <c r="K33" s="61">
        <f>+O33-E32</f>
        <v>1419828.29</v>
      </c>
      <c r="L33" s="40"/>
      <c r="M33" s="40">
        <f t="shared" ref="M33:M34" si="17">+Q33-G33</f>
        <v>0</v>
      </c>
      <c r="N33" s="146" t="s">
        <v>30</v>
      </c>
      <c r="O33" s="37">
        <f>+'MEG-8 Executive Incentives'!I26</f>
        <v>1419828.29</v>
      </c>
      <c r="P33" s="37"/>
      <c r="Q33" s="37"/>
      <c r="R33" s="37"/>
      <c r="S33" s="40">
        <f t="shared" ref="S33:S39" si="18">((Q33*0.06926)-O33)/0.755061162</f>
        <v>-1880414.9404786895</v>
      </c>
      <c r="U33" s="41" t="s">
        <v>144</v>
      </c>
      <c r="W33" s="40">
        <f t="shared" ref="W33:W34" si="19">+S33-I33</f>
        <v>-1880414.9404786895</v>
      </c>
    </row>
    <row r="34" spans="1:23" ht="16" thickBot="1" x14ac:dyDescent="0.4">
      <c r="A34" s="77" t="s">
        <v>117</v>
      </c>
      <c r="B34" s="77"/>
      <c r="C34" t="s">
        <v>211</v>
      </c>
      <c r="E34" s="40">
        <v>0</v>
      </c>
      <c r="F34" s="37"/>
      <c r="G34" s="40">
        <v>0</v>
      </c>
      <c r="H34" s="37"/>
      <c r="I34" s="40">
        <f t="shared" ref="I34" si="20">((G34*0.06926)-E34)/0.755061162</f>
        <v>0</v>
      </c>
      <c r="J34" s="26"/>
      <c r="K34" s="61">
        <f>+'MEG-9 BOD Expenses'!E28</f>
        <v>140875.96</v>
      </c>
      <c r="L34" s="40"/>
      <c r="M34" s="40">
        <f t="shared" si="17"/>
        <v>0</v>
      </c>
      <c r="N34" s="146" t="s">
        <v>62</v>
      </c>
      <c r="O34" s="37">
        <v>140713</v>
      </c>
      <c r="P34" s="37"/>
      <c r="Q34" s="37"/>
      <c r="R34" s="37"/>
      <c r="S34" s="40">
        <f t="shared" si="18"/>
        <v>-186359.73757050428</v>
      </c>
      <c r="U34" s="41" t="s">
        <v>144</v>
      </c>
      <c r="W34" s="40">
        <f t="shared" si="19"/>
        <v>-186359.73757050428</v>
      </c>
    </row>
    <row r="35" spans="1:23" ht="16.5" thickTop="1" thickBot="1" x14ac:dyDescent="0.4">
      <c r="B35" s="88"/>
      <c r="C35" t="s">
        <v>105</v>
      </c>
      <c r="E35" s="62">
        <f>SUM(E28:E34)</f>
        <v>24506893</v>
      </c>
      <c r="F35" s="37"/>
      <c r="G35" s="62">
        <f>SUM(G28:G34)</f>
        <v>470412306</v>
      </c>
      <c r="H35" s="37"/>
      <c r="I35" s="62">
        <f>SUM(I28:I34)</f>
        <v>10692992.462493677</v>
      </c>
      <c r="J35" s="26"/>
      <c r="K35" s="62">
        <f>SUM(K28:K34)</f>
        <v>7215944.1027701963</v>
      </c>
      <c r="L35" s="40"/>
      <c r="M35" s="62">
        <f>SUM(M28:M34)</f>
        <v>16106493</v>
      </c>
      <c r="N35" s="146"/>
      <c r="O35" s="62">
        <f>SUM(O28:O34)</f>
        <v>31722674.142770194</v>
      </c>
      <c r="P35" s="37"/>
      <c r="Q35" s="62">
        <f>SUM(Q28:Q34)</f>
        <v>486518799</v>
      </c>
      <c r="R35" s="37"/>
      <c r="S35" s="62">
        <f>SUM(S28:S34)</f>
        <v>2613851.6656612325</v>
      </c>
      <c r="U35" s="41"/>
      <c r="W35" s="62">
        <f>SUM(W28:W34)</f>
        <v>-8079140.7968321973</v>
      </c>
    </row>
    <row r="36" spans="1:23" ht="16" thickTop="1" x14ac:dyDescent="0.35">
      <c r="B36" s="88"/>
      <c r="E36" s="40"/>
      <c r="F36" s="37"/>
      <c r="G36" s="40"/>
      <c r="H36" s="37"/>
      <c r="I36" s="40"/>
      <c r="J36" s="26"/>
      <c r="K36" s="61"/>
      <c r="L36" s="40"/>
      <c r="M36" s="40"/>
      <c r="N36" s="146"/>
      <c r="O36" s="37"/>
      <c r="P36" s="37"/>
      <c r="Q36" s="37"/>
      <c r="R36" s="37"/>
      <c r="S36" s="40"/>
      <c r="U36" s="41"/>
      <c r="W36" s="40"/>
    </row>
    <row r="37" spans="1:23" x14ac:dyDescent="0.35">
      <c r="A37" s="77" t="s">
        <v>118</v>
      </c>
      <c r="B37" s="38"/>
      <c r="C37" t="s">
        <v>241</v>
      </c>
      <c r="E37" s="40">
        <v>0</v>
      </c>
      <c r="F37" s="37"/>
      <c r="G37" s="40">
        <v>0</v>
      </c>
      <c r="H37" s="37"/>
      <c r="I37" s="40">
        <f t="shared" ref="I37:I39" si="21">((G37*0.06926)-E37)/0.755061162</f>
        <v>0</v>
      </c>
      <c r="J37" s="26"/>
      <c r="K37" s="61">
        <f>+O37-E37</f>
        <v>677345.14201770572</v>
      </c>
      <c r="L37" s="40"/>
      <c r="M37" s="40">
        <f t="shared" ref="M37:M39" si="22">+Q37-G37</f>
        <v>0</v>
      </c>
      <c r="N37" s="149" t="s">
        <v>101</v>
      </c>
      <c r="O37" s="37">
        <f>+'MEG-10 2021 EOP Revenue Adjust'!J28</f>
        <v>677345.14201770572</v>
      </c>
      <c r="P37" s="37"/>
      <c r="Q37" s="37"/>
      <c r="R37" s="37"/>
      <c r="S37" s="40">
        <f t="shared" si="18"/>
        <v>-897073.21221973503</v>
      </c>
      <c r="U37" s="41" t="s">
        <v>144</v>
      </c>
      <c r="W37" s="40">
        <f t="shared" ref="W37:W39" si="23">+S37-I37</f>
        <v>-897073.21221973503</v>
      </c>
    </row>
    <row r="38" spans="1:23" x14ac:dyDescent="0.35">
      <c r="A38" s="77" t="s">
        <v>210</v>
      </c>
      <c r="B38" s="77"/>
      <c r="C38" t="s">
        <v>242</v>
      </c>
      <c r="E38" s="40">
        <v>0</v>
      </c>
      <c r="F38" s="37"/>
      <c r="G38" s="40">
        <v>0</v>
      </c>
      <c r="H38" s="37"/>
      <c r="I38" s="40">
        <f t="shared" si="21"/>
        <v>0</v>
      </c>
      <c r="J38" s="26"/>
      <c r="K38" s="61">
        <f>+O38-E38</f>
        <v>0</v>
      </c>
      <c r="L38" s="40"/>
      <c r="M38" s="40">
        <f t="shared" si="22"/>
        <v>25725843</v>
      </c>
      <c r="N38" s="149" t="s">
        <v>435</v>
      </c>
      <c r="O38" s="37"/>
      <c r="P38" s="37"/>
      <c r="Q38" s="37">
        <f>+'MEG-11 2021 EOP Rate Base'!E14</f>
        <v>25725843</v>
      </c>
      <c r="R38" s="37"/>
      <c r="S38" s="40">
        <f t="shared" si="18"/>
        <v>2359771.5997740594</v>
      </c>
      <c r="U38" s="41" t="s">
        <v>144</v>
      </c>
      <c r="W38" s="40">
        <f t="shared" si="23"/>
        <v>2359771.5997740594</v>
      </c>
    </row>
    <row r="39" spans="1:23" x14ac:dyDescent="0.35">
      <c r="A39" s="77" t="s">
        <v>212</v>
      </c>
      <c r="B39" s="77"/>
      <c r="C39" t="s">
        <v>243</v>
      </c>
      <c r="E39" s="40">
        <v>0</v>
      </c>
      <c r="F39" s="37"/>
      <c r="G39" s="40">
        <v>0</v>
      </c>
      <c r="H39" s="37"/>
      <c r="I39" s="40">
        <f t="shared" si="21"/>
        <v>0</v>
      </c>
      <c r="J39" s="26"/>
      <c r="K39" s="61">
        <f>+O39-E39</f>
        <v>-861677.74954561202</v>
      </c>
      <c r="L39" s="40"/>
      <c r="M39" s="40">
        <f t="shared" si="22"/>
        <v>0</v>
      </c>
      <c r="N39" s="149" t="s">
        <v>437</v>
      </c>
      <c r="O39" s="87">
        <f>+'MEG-12 2021 Deprec Exp'!E20</f>
        <v>-861677.74954561202</v>
      </c>
      <c r="P39" s="37"/>
      <c r="Q39" s="37"/>
      <c r="R39" s="37"/>
      <c r="S39" s="40">
        <f t="shared" si="18"/>
        <v>1141202.584520712</v>
      </c>
      <c r="U39" s="41" t="s">
        <v>144</v>
      </c>
      <c r="W39" s="40">
        <f t="shared" si="23"/>
        <v>1141202.584520712</v>
      </c>
    </row>
    <row r="40" spans="1:23" ht="16" thickBot="1" x14ac:dyDescent="0.4">
      <c r="A40" s="77" t="s">
        <v>240</v>
      </c>
      <c r="B40" s="78"/>
      <c r="C40" t="s">
        <v>78</v>
      </c>
      <c r="E40" s="40">
        <v>0</v>
      </c>
      <c r="F40" s="37"/>
      <c r="G40" s="40">
        <v>0</v>
      </c>
      <c r="H40" s="37"/>
      <c r="I40" s="40">
        <f t="shared" ref="I40" si="24">((G40*0.06926)-E40)/0.755061162</f>
        <v>0</v>
      </c>
      <c r="J40" s="26"/>
      <c r="K40" s="40">
        <f>+O40-E40</f>
        <v>14909.722090199813</v>
      </c>
      <c r="L40" s="40"/>
      <c r="M40" s="40">
        <f>+Q40-G40</f>
        <v>0</v>
      </c>
      <c r="N40" s="149" t="s">
        <v>438</v>
      </c>
      <c r="O40" s="87">
        <f>+'MEG-13 Interest Coord. Adj'!D28</f>
        <v>14909.722090199813</v>
      </c>
      <c r="P40" s="37"/>
      <c r="Q40" s="37"/>
      <c r="R40" s="37"/>
      <c r="S40" s="40">
        <f t="shared" ref="S40" si="25">((Q40*0.06926)-O40)/0.755061162</f>
        <v>-19746.376638823618</v>
      </c>
      <c r="U40" s="41" t="s">
        <v>144</v>
      </c>
      <c r="W40" s="40">
        <f t="shared" ref="W40" si="26">+S40-I40</f>
        <v>-19746.376638823618</v>
      </c>
    </row>
    <row r="41" spans="1:23" ht="16.5" thickTop="1" thickBot="1" x14ac:dyDescent="0.4">
      <c r="A41" s="78"/>
      <c r="B41" s="38"/>
      <c r="C41" t="s">
        <v>442</v>
      </c>
      <c r="D41" s="39"/>
      <c r="E41" s="62">
        <f>SUM(E35:E40)</f>
        <v>24506893</v>
      </c>
      <c r="F41" s="37">
        <f>SUM(F13:F40)</f>
        <v>0</v>
      </c>
      <c r="G41" s="62">
        <f>SUM(G35:G40)</f>
        <v>470412306</v>
      </c>
      <c r="H41" s="37">
        <f>SUM(H13:H40)</f>
        <v>0</v>
      </c>
      <c r="I41" s="62">
        <f>SUM(I35:I40)</f>
        <v>10692992.462493677</v>
      </c>
      <c r="K41" s="62">
        <f>SUM(K35:K40)</f>
        <v>7046521.2173324889</v>
      </c>
      <c r="L41" s="37"/>
      <c r="M41" s="62">
        <f>SUM(M35:M40)</f>
        <v>41832336</v>
      </c>
      <c r="N41" s="146"/>
      <c r="O41" s="62">
        <f>SUM(O35:O40)</f>
        <v>31553251.257332489</v>
      </c>
      <c r="P41" s="37"/>
      <c r="Q41" s="62">
        <f>SUM(Q35:Q40)</f>
        <v>512244642</v>
      </c>
      <c r="R41" s="37"/>
      <c r="S41" s="62">
        <f>SUM(S35:S40)</f>
        <v>5198006.2610974452</v>
      </c>
      <c r="U41" s="1"/>
      <c r="V41" s="1"/>
      <c r="W41" s="62">
        <f>SUM(W35:W40)</f>
        <v>-5494986.2013959838</v>
      </c>
    </row>
    <row r="42" spans="1:23" ht="16" thickTop="1" x14ac:dyDescent="0.35">
      <c r="A42" s="38"/>
      <c r="B42" s="38"/>
      <c r="D42" s="39"/>
      <c r="E42" s="31"/>
      <c r="F42" s="37"/>
      <c r="G42" s="37"/>
      <c r="H42" s="37"/>
      <c r="I42" s="37"/>
      <c r="K42" s="37"/>
      <c r="L42" s="37"/>
      <c r="M42" s="37"/>
      <c r="N42" s="146"/>
      <c r="O42" s="37"/>
      <c r="P42" s="37"/>
      <c r="Q42" s="37"/>
      <c r="R42" s="37"/>
      <c r="S42" s="37"/>
      <c r="U42" s="1"/>
      <c r="V42" s="1"/>
      <c r="W42" s="37"/>
    </row>
    <row r="43" spans="1:23" ht="16" thickBot="1" x14ac:dyDescent="0.4">
      <c r="A43" s="1"/>
      <c r="B43" s="46" t="s">
        <v>46</v>
      </c>
      <c r="C43" s="47"/>
      <c r="D43" s="48"/>
      <c r="E43" s="49"/>
      <c r="F43" s="37"/>
      <c r="G43" s="37"/>
      <c r="H43" s="37"/>
      <c r="I43" s="23"/>
      <c r="K43" s="37"/>
      <c r="N43" s="146"/>
      <c r="O43" s="37"/>
      <c r="P43" s="37"/>
      <c r="Q43" s="37"/>
      <c r="R43" s="37"/>
      <c r="S43" s="40"/>
    </row>
    <row r="44" spans="1:23" x14ac:dyDescent="0.35">
      <c r="A44" s="50"/>
      <c r="B44" s="51" t="s">
        <v>0</v>
      </c>
      <c r="C44" s="75" t="s">
        <v>430</v>
      </c>
      <c r="D44" s="52"/>
      <c r="E44" s="53"/>
      <c r="F44" s="54"/>
      <c r="G44" s="54"/>
      <c r="H44" s="54"/>
      <c r="I44" s="23"/>
      <c r="J44" s="50"/>
      <c r="K44" s="50"/>
      <c r="L44" s="50"/>
      <c r="M44" s="50"/>
      <c r="N44" s="146"/>
      <c r="O44" s="54"/>
      <c r="P44" s="54"/>
      <c r="Q44" s="54"/>
      <c r="R44" s="54"/>
      <c r="S44" s="54"/>
      <c r="T44" s="50"/>
      <c r="U44" s="50"/>
      <c r="V44" s="50"/>
      <c r="W44" s="50"/>
    </row>
    <row r="45" spans="1:23" x14ac:dyDescent="0.35">
      <c r="A45" s="50"/>
      <c r="B45" s="56" t="s">
        <v>3</v>
      </c>
      <c r="C45" s="75" t="s">
        <v>431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146"/>
      <c r="O45" s="50"/>
      <c r="P45" s="50"/>
      <c r="Q45" s="50"/>
      <c r="R45" s="50"/>
      <c r="S45" s="50"/>
      <c r="T45" s="50"/>
      <c r="U45" s="50"/>
      <c r="V45" s="50"/>
      <c r="W45" s="50"/>
    </row>
    <row r="46" spans="1:23" x14ac:dyDescent="0.35">
      <c r="A46" s="50"/>
      <c r="B46" s="56" t="s">
        <v>4</v>
      </c>
      <c r="C46" s="75" t="s">
        <v>432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146"/>
      <c r="O46" s="50"/>
      <c r="P46" s="50"/>
      <c r="Q46" s="50"/>
      <c r="R46" s="50"/>
      <c r="S46" s="50"/>
      <c r="T46" s="50"/>
      <c r="U46" s="50"/>
      <c r="V46" s="50"/>
      <c r="W46" s="50"/>
    </row>
    <row r="47" spans="1:23" x14ac:dyDescent="0.35">
      <c r="A47" s="50"/>
      <c r="B47" s="56" t="s">
        <v>5</v>
      </c>
      <c r="C47" s="75" t="s">
        <v>433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146"/>
      <c r="O47" s="50"/>
      <c r="P47" s="50"/>
      <c r="Q47" s="50"/>
      <c r="R47" s="50"/>
      <c r="S47" s="50"/>
      <c r="T47" s="50"/>
      <c r="U47" s="50"/>
      <c r="V47" s="50"/>
      <c r="W47" s="50"/>
    </row>
    <row r="48" spans="1:23" x14ac:dyDescent="0.35">
      <c r="A48" s="50"/>
      <c r="B48" s="56" t="s">
        <v>30</v>
      </c>
      <c r="C48" s="75" t="s">
        <v>434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146"/>
      <c r="O48" s="50"/>
      <c r="P48" s="50"/>
      <c r="Q48" s="50"/>
      <c r="R48" s="50"/>
      <c r="S48" s="50"/>
      <c r="T48" s="50"/>
      <c r="U48" s="50"/>
      <c r="V48" s="50"/>
      <c r="W48" s="50"/>
    </row>
    <row r="49" spans="1:23" x14ac:dyDescent="0.35">
      <c r="A49" s="50"/>
      <c r="B49" s="56" t="s">
        <v>62</v>
      </c>
      <c r="C49" s="75" t="s">
        <v>436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146"/>
      <c r="O49" s="50"/>
      <c r="P49" s="50"/>
      <c r="Q49" s="50"/>
      <c r="R49" s="50"/>
      <c r="S49" s="50"/>
      <c r="T49" s="50"/>
      <c r="U49" s="50"/>
      <c r="V49" s="50"/>
      <c r="W49" s="50"/>
    </row>
    <row r="50" spans="1:23" x14ac:dyDescent="0.35">
      <c r="A50" s="50"/>
      <c r="B50" s="56" t="s">
        <v>101</v>
      </c>
      <c r="C50" s="75" t="s">
        <v>449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46"/>
      <c r="O50" s="50"/>
      <c r="P50" s="50"/>
      <c r="Q50" s="50"/>
      <c r="R50" s="50"/>
      <c r="S50" s="50"/>
      <c r="T50" s="50"/>
      <c r="U50" s="50"/>
      <c r="V50" s="50"/>
      <c r="W50" s="50"/>
    </row>
    <row r="51" spans="1:23" x14ac:dyDescent="0.35">
      <c r="A51" s="50"/>
      <c r="B51" s="56" t="s">
        <v>435</v>
      </c>
      <c r="C51" s="75" t="s">
        <v>439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46"/>
      <c r="O51" s="50"/>
      <c r="P51" s="50"/>
      <c r="Q51" s="50"/>
      <c r="R51" s="50"/>
      <c r="S51" s="50"/>
      <c r="T51" s="50"/>
      <c r="U51" s="50"/>
      <c r="V51" s="50"/>
      <c r="W51" s="50"/>
    </row>
    <row r="52" spans="1:23" x14ac:dyDescent="0.35">
      <c r="B52" s="56" t="s">
        <v>437</v>
      </c>
      <c r="C52" s="75" t="s">
        <v>440</v>
      </c>
      <c r="N52" s="106"/>
    </row>
    <row r="53" spans="1:23" x14ac:dyDescent="0.35">
      <c r="B53" s="56" t="s">
        <v>438</v>
      </c>
      <c r="C53" s="75" t="s">
        <v>97</v>
      </c>
      <c r="N53" s="106"/>
    </row>
    <row r="54" spans="1:23" x14ac:dyDescent="0.35">
      <c r="B54" s="56"/>
      <c r="N54" s="106"/>
    </row>
    <row r="55" spans="1:23" x14ac:dyDescent="0.35">
      <c r="B55" s="56"/>
      <c r="N55" s="106"/>
    </row>
    <row r="56" spans="1:23" x14ac:dyDescent="0.35">
      <c r="N56" s="106"/>
    </row>
    <row r="57" spans="1:23" x14ac:dyDescent="0.35">
      <c r="N57" s="106"/>
    </row>
    <row r="58" spans="1:23" x14ac:dyDescent="0.35">
      <c r="N58" s="106"/>
    </row>
    <row r="59" spans="1:23" x14ac:dyDescent="0.35">
      <c r="N59" s="106"/>
    </row>
    <row r="60" spans="1:23" x14ac:dyDescent="0.35">
      <c r="N60" s="106"/>
    </row>
    <row r="61" spans="1:23" x14ac:dyDescent="0.35">
      <c r="N61" s="106"/>
    </row>
    <row r="62" spans="1:23" x14ac:dyDescent="0.35">
      <c r="N62" s="106"/>
    </row>
    <row r="63" spans="1:23" x14ac:dyDescent="0.35">
      <c r="N63" s="106"/>
    </row>
  </sheetData>
  <mergeCells count="8">
    <mergeCell ref="E10:I10"/>
    <mergeCell ref="K10:M10"/>
    <mergeCell ref="O10:S10"/>
    <mergeCell ref="A5:W5"/>
    <mergeCell ref="A6:W6"/>
    <mergeCell ref="A7:W7"/>
    <mergeCell ref="E9:I9"/>
    <mergeCell ref="O9:S9"/>
  </mergeCells>
  <printOptions horizontalCentered="1"/>
  <pageMargins left="0.7" right="0.7" top="0.75" bottom="0.7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C19" sqref="C19"/>
    </sheetView>
  </sheetViews>
  <sheetFormatPr defaultRowHeight="15.5" x14ac:dyDescent="0.35"/>
  <cols>
    <col min="1" max="1" width="6.25" bestFit="1" customWidth="1"/>
    <col min="2" max="2" width="43.75" customWidth="1"/>
    <col min="3" max="3" width="16" customWidth="1"/>
    <col min="4" max="4" width="7.5" bestFit="1" customWidth="1"/>
    <col min="5" max="5" width="12.83203125" customWidth="1"/>
    <col min="6" max="6" width="1.58203125" customWidth="1"/>
    <col min="7" max="7" width="12.83203125" customWidth="1"/>
    <col min="8" max="8" width="1.25" customWidth="1"/>
    <col min="9" max="9" width="14.7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428</v>
      </c>
    </row>
    <row r="3" spans="1:9" x14ac:dyDescent="0.35">
      <c r="A3" s="4"/>
      <c r="I3" s="113" t="s">
        <v>458</v>
      </c>
    </row>
    <row r="4" spans="1:9" x14ac:dyDescent="0.35">
      <c r="A4" s="4"/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387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4"/>
    </row>
    <row r="9" spans="1:9" x14ac:dyDescent="0.35">
      <c r="A9" s="4"/>
      <c r="D9" s="77"/>
    </row>
    <row r="10" spans="1:9" x14ac:dyDescent="0.35">
      <c r="A10" s="77"/>
      <c r="B10" s="77"/>
      <c r="C10" s="77"/>
      <c r="D10" s="77"/>
      <c r="E10" s="77" t="s">
        <v>34</v>
      </c>
      <c r="G10" s="77" t="s">
        <v>63</v>
      </c>
      <c r="H10" s="77"/>
      <c r="I10" s="77" t="s">
        <v>27</v>
      </c>
    </row>
    <row r="11" spans="1:9" x14ac:dyDescent="0.35">
      <c r="A11" s="77" t="s">
        <v>7</v>
      </c>
      <c r="B11" s="77"/>
      <c r="C11" s="77"/>
      <c r="D11" s="77"/>
      <c r="E11" s="77" t="s">
        <v>215</v>
      </c>
      <c r="G11" s="77" t="s">
        <v>215</v>
      </c>
      <c r="H11" s="77"/>
      <c r="I11" s="77" t="s">
        <v>95</v>
      </c>
    </row>
    <row r="12" spans="1:9" x14ac:dyDescent="0.35">
      <c r="A12" s="76" t="s">
        <v>10</v>
      </c>
      <c r="B12" s="76" t="s">
        <v>11</v>
      </c>
      <c r="C12" s="76" t="s">
        <v>37</v>
      </c>
      <c r="D12" s="76"/>
      <c r="E12" s="76" t="s">
        <v>27</v>
      </c>
      <c r="F12" s="72"/>
      <c r="G12" s="76" t="s">
        <v>27</v>
      </c>
      <c r="H12" s="57"/>
      <c r="I12" s="57" t="s">
        <v>96</v>
      </c>
    </row>
    <row r="13" spans="1:9" x14ac:dyDescent="0.35">
      <c r="A13" s="77"/>
    </row>
    <row r="14" spans="1:9" ht="16" thickBot="1" x14ac:dyDescent="0.4">
      <c r="A14" s="41">
        <v>1</v>
      </c>
      <c r="B14" t="s">
        <v>216</v>
      </c>
      <c r="C14" s="114" t="s">
        <v>464</v>
      </c>
      <c r="E14" s="18">
        <f>+'WP MEG-5.1 2021 AMA'!G21</f>
        <v>16106493</v>
      </c>
      <c r="G14" s="18">
        <v>0</v>
      </c>
      <c r="H14" s="3"/>
      <c r="I14" s="18">
        <f>+E14-G14</f>
        <v>16106493</v>
      </c>
    </row>
    <row r="15" spans="1:9" ht="16" thickTop="1" x14ac:dyDescent="0.35"/>
    <row r="16" spans="1:9" ht="16" thickBot="1" x14ac:dyDescent="0.4">
      <c r="A16" s="92">
        <v>2</v>
      </c>
      <c r="B16" t="s">
        <v>217</v>
      </c>
      <c r="C16" s="114" t="s">
        <v>465</v>
      </c>
      <c r="E16" s="18">
        <f>+'WP MEG-5.1 2021 AMA'!G40</f>
        <v>4129425</v>
      </c>
      <c r="G16" s="18">
        <v>0</v>
      </c>
      <c r="H16" s="3"/>
      <c r="I16" s="18">
        <f>+E16-G16</f>
        <v>4129425</v>
      </c>
    </row>
    <row r="17" ht="16" thickTop="1" x14ac:dyDescent="0.35"/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2" workbookViewId="0">
      <selection activeCell="G3" sqref="G3"/>
    </sheetView>
  </sheetViews>
  <sheetFormatPr defaultRowHeight="15.5" x14ac:dyDescent="0.35"/>
  <cols>
    <col min="1" max="1" width="6.25" bestFit="1" customWidth="1"/>
    <col min="2" max="2" width="35.75" customWidth="1"/>
    <col min="3" max="3" width="14.5" customWidth="1"/>
    <col min="4" max="4" width="5.83203125" customWidth="1"/>
    <col min="5" max="5" width="16.33203125" customWidth="1"/>
    <col min="6" max="6" width="2.08203125" customWidth="1"/>
    <col min="7" max="7" width="16.58203125" bestFit="1" customWidth="1"/>
    <col min="8" max="9" width="12" bestFit="1" customWidth="1"/>
  </cols>
  <sheetData>
    <row r="1" spans="1:7" x14ac:dyDescent="0.35">
      <c r="G1" s="29"/>
    </row>
    <row r="2" spans="1:7" x14ac:dyDescent="0.35">
      <c r="A2" s="4"/>
      <c r="G2" t="s">
        <v>119</v>
      </c>
    </row>
    <row r="3" spans="1:7" x14ac:dyDescent="0.35">
      <c r="A3" s="4"/>
      <c r="G3" s="29" t="s">
        <v>500</v>
      </c>
    </row>
    <row r="4" spans="1:7" x14ac:dyDescent="0.35">
      <c r="A4" s="4"/>
      <c r="G4" s="29" t="s">
        <v>106</v>
      </c>
    </row>
    <row r="5" spans="1:7" x14ac:dyDescent="0.35">
      <c r="A5" s="168" t="s">
        <v>146</v>
      </c>
      <c r="B5" s="168"/>
      <c r="C5" s="168"/>
      <c r="D5" s="168"/>
      <c r="E5" s="168"/>
      <c r="F5" s="168"/>
      <c r="G5" s="168"/>
    </row>
    <row r="6" spans="1:7" x14ac:dyDescent="0.35">
      <c r="A6" s="169" t="s">
        <v>478</v>
      </c>
      <c r="B6" s="169"/>
      <c r="C6" s="169"/>
      <c r="D6" s="169"/>
      <c r="E6" s="169"/>
      <c r="F6" s="169"/>
      <c r="G6" s="169"/>
    </row>
    <row r="7" spans="1:7" x14ac:dyDescent="0.35">
      <c r="A7" s="169" t="s">
        <v>121</v>
      </c>
      <c r="B7" s="169"/>
      <c r="C7" s="169"/>
      <c r="D7" s="169"/>
      <c r="E7" s="169"/>
      <c r="F7" s="169"/>
      <c r="G7" s="169"/>
    </row>
    <row r="8" spans="1:7" x14ac:dyDescent="0.35">
      <c r="A8" s="4"/>
    </row>
    <row r="9" spans="1:7" x14ac:dyDescent="0.35">
      <c r="A9" s="4"/>
    </row>
    <row r="10" spans="1:7" x14ac:dyDescent="0.35">
      <c r="A10" s="1"/>
      <c r="B10" s="1"/>
      <c r="D10" s="92"/>
      <c r="E10" s="1"/>
      <c r="G10" s="1" t="s">
        <v>27</v>
      </c>
    </row>
    <row r="11" spans="1:7" x14ac:dyDescent="0.35">
      <c r="A11" s="1" t="s">
        <v>7</v>
      </c>
      <c r="B11" s="1"/>
      <c r="C11" s="1" t="s">
        <v>83</v>
      </c>
      <c r="D11" s="92"/>
      <c r="E11" s="1"/>
      <c r="G11" s="1" t="s">
        <v>214</v>
      </c>
    </row>
    <row r="12" spans="1:7" ht="18.5" x14ac:dyDescent="0.35">
      <c r="A12" s="15" t="s">
        <v>10</v>
      </c>
      <c r="B12" s="15" t="s">
        <v>11</v>
      </c>
      <c r="C12" s="66" t="s">
        <v>423</v>
      </c>
      <c r="D12" s="91" t="s">
        <v>459</v>
      </c>
      <c r="E12" s="15" t="s">
        <v>141</v>
      </c>
      <c r="F12" s="72"/>
      <c r="G12" s="57" t="s">
        <v>215</v>
      </c>
    </row>
    <row r="13" spans="1:7" x14ac:dyDescent="0.35">
      <c r="A13" s="1"/>
    </row>
    <row r="14" spans="1:7" x14ac:dyDescent="0.35">
      <c r="A14" s="41">
        <v>1</v>
      </c>
      <c r="B14" s="79" t="s">
        <v>2</v>
      </c>
      <c r="D14" t="s">
        <v>466</v>
      </c>
    </row>
    <row r="15" spans="1:7" x14ac:dyDescent="0.35">
      <c r="A15" s="41">
        <f>+A14+1</f>
        <v>2</v>
      </c>
      <c r="B15" t="s">
        <v>13</v>
      </c>
      <c r="C15" s="3">
        <v>953426107</v>
      </c>
      <c r="D15" s="121" t="s">
        <v>413</v>
      </c>
      <c r="E15" s="3">
        <v>969695975</v>
      </c>
      <c r="G15" s="23">
        <f>+E15-C15</f>
        <v>16269868</v>
      </c>
    </row>
    <row r="16" spans="1:7" x14ac:dyDescent="0.35">
      <c r="A16" s="41">
        <f t="shared" ref="A16:A36" si="0">+A15+1</f>
        <v>3</v>
      </c>
      <c r="B16" t="s">
        <v>31</v>
      </c>
      <c r="C16" s="2">
        <v>-415494328</v>
      </c>
      <c r="D16" s="122" t="s">
        <v>413</v>
      </c>
      <c r="E16" s="2">
        <v>-423226412</v>
      </c>
      <c r="G16" s="2">
        <f>+E16-C16</f>
        <v>-7732084</v>
      </c>
    </row>
    <row r="17" spans="1:8" x14ac:dyDescent="0.35">
      <c r="A17" s="41">
        <f t="shared" si="0"/>
        <v>4</v>
      </c>
      <c r="B17" t="s">
        <v>122</v>
      </c>
      <c r="C17" s="2">
        <f>-3032534</f>
        <v>-3032534</v>
      </c>
      <c r="D17" s="122" t="s">
        <v>425</v>
      </c>
      <c r="E17" s="2">
        <v>-3117367</v>
      </c>
      <c r="G17" s="2">
        <f>+E17-C17</f>
        <v>-84833</v>
      </c>
    </row>
    <row r="18" spans="1:8" x14ac:dyDescent="0.35">
      <c r="A18" s="41">
        <f t="shared" si="0"/>
        <v>5</v>
      </c>
      <c r="B18" t="s">
        <v>14</v>
      </c>
      <c r="C18" s="19">
        <v>-77525315</v>
      </c>
      <c r="D18" s="123" t="s">
        <v>425</v>
      </c>
      <c r="E18" s="19">
        <v>-77345343</v>
      </c>
      <c r="F18" s="20"/>
      <c r="G18" s="19">
        <f>+E18-C18</f>
        <v>179972</v>
      </c>
    </row>
    <row r="19" spans="1:8" x14ac:dyDescent="0.35">
      <c r="A19" s="41">
        <f t="shared" si="0"/>
        <v>6</v>
      </c>
      <c r="B19" t="s">
        <v>134</v>
      </c>
      <c r="C19" s="16">
        <v>13038376</v>
      </c>
      <c r="D19" s="124" t="s">
        <v>426</v>
      </c>
      <c r="E19" s="16">
        <v>20511946</v>
      </c>
      <c r="G19" s="16">
        <f>+E19-C19</f>
        <v>7473570</v>
      </c>
    </row>
    <row r="20" spans="1:8" x14ac:dyDescent="0.35">
      <c r="A20" s="41"/>
      <c r="D20" s="106"/>
    </row>
    <row r="21" spans="1:8" x14ac:dyDescent="0.35">
      <c r="A21" s="41">
        <v>7</v>
      </c>
      <c r="B21" t="s">
        <v>15</v>
      </c>
      <c r="C21" s="70">
        <f>SUM(C15:C20)</f>
        <v>470412306</v>
      </c>
      <c r="D21" s="125"/>
      <c r="E21" s="70">
        <f>SUM(E15:E20)</f>
        <v>486518799</v>
      </c>
      <c r="F21" s="20"/>
      <c r="G21" s="70">
        <f>SUM(G15:G20)</f>
        <v>16106493</v>
      </c>
      <c r="H21" s="23"/>
    </row>
    <row r="22" spans="1:8" x14ac:dyDescent="0.35">
      <c r="A22" s="41"/>
      <c r="D22" s="106"/>
    </row>
    <row r="23" spans="1:8" x14ac:dyDescent="0.35">
      <c r="A23" s="41">
        <v>8</v>
      </c>
      <c r="B23" s="79" t="s">
        <v>451</v>
      </c>
      <c r="D23" s="106"/>
    </row>
    <row r="24" spans="1:8" x14ac:dyDescent="0.35">
      <c r="A24" s="41">
        <f t="shared" si="0"/>
        <v>9</v>
      </c>
      <c r="B24" t="s">
        <v>28</v>
      </c>
      <c r="C24" s="3">
        <v>123703360</v>
      </c>
      <c r="D24" s="121" t="s">
        <v>444</v>
      </c>
      <c r="E24" s="3">
        <v>139792102</v>
      </c>
      <c r="G24" s="3">
        <f>+E24-C24</f>
        <v>16088742</v>
      </c>
    </row>
    <row r="25" spans="1:8" x14ac:dyDescent="0.35">
      <c r="A25" s="41"/>
      <c r="C25" s="3"/>
      <c r="D25" s="106"/>
      <c r="E25" s="3"/>
      <c r="G25" s="3"/>
    </row>
    <row r="26" spans="1:8" x14ac:dyDescent="0.35">
      <c r="A26" s="41">
        <v>10</v>
      </c>
      <c r="B26" s="79" t="s">
        <v>140</v>
      </c>
      <c r="D26" s="106"/>
      <c r="E26" s="162"/>
      <c r="F26" s="161"/>
      <c r="G26" s="161"/>
    </row>
    <row r="27" spans="1:8" x14ac:dyDescent="0.35">
      <c r="A27" s="41">
        <f t="shared" si="0"/>
        <v>11</v>
      </c>
      <c r="B27" t="s">
        <v>82</v>
      </c>
      <c r="C27" s="2">
        <v>16612950</v>
      </c>
      <c r="D27" s="121" t="s">
        <v>444</v>
      </c>
      <c r="E27" s="163"/>
      <c r="F27" s="163"/>
      <c r="G27" s="163"/>
    </row>
    <row r="28" spans="1:8" x14ac:dyDescent="0.35">
      <c r="A28" s="41">
        <f t="shared" si="0"/>
        <v>12</v>
      </c>
      <c r="B28" t="s">
        <v>135</v>
      </c>
      <c r="C28" s="2">
        <v>325851</v>
      </c>
      <c r="D28" s="121" t="s">
        <v>444</v>
      </c>
      <c r="E28" s="163"/>
      <c r="F28" s="163"/>
      <c r="G28" s="163"/>
    </row>
    <row r="29" spans="1:8" x14ac:dyDescent="0.35">
      <c r="A29" s="41">
        <f t="shared" si="0"/>
        <v>13</v>
      </c>
      <c r="B29" t="s">
        <v>136</v>
      </c>
      <c r="C29" s="2">
        <v>21412263</v>
      </c>
      <c r="D29" s="121" t="s">
        <v>444</v>
      </c>
      <c r="E29" s="163"/>
      <c r="F29" s="163"/>
      <c r="G29" s="163"/>
    </row>
    <row r="30" spans="1:8" x14ac:dyDescent="0.35">
      <c r="A30" s="41">
        <f t="shared" si="0"/>
        <v>14</v>
      </c>
      <c r="B30" t="s">
        <v>1</v>
      </c>
      <c r="C30" s="2">
        <v>5188856</v>
      </c>
      <c r="D30" s="121" t="s">
        <v>444</v>
      </c>
      <c r="E30" s="163"/>
      <c r="F30" s="163"/>
      <c r="G30" s="163"/>
    </row>
    <row r="31" spans="1:8" x14ac:dyDescent="0.35">
      <c r="A31" s="41">
        <f t="shared" si="0"/>
        <v>15</v>
      </c>
      <c r="B31" t="s">
        <v>137</v>
      </c>
      <c r="C31" s="2">
        <v>242783</v>
      </c>
      <c r="D31" s="121" t="s">
        <v>444</v>
      </c>
      <c r="E31" s="163"/>
      <c r="F31" s="161"/>
      <c r="G31" s="163"/>
    </row>
    <row r="32" spans="1:8" x14ac:dyDescent="0.35">
      <c r="A32" s="41">
        <f t="shared" si="0"/>
        <v>16</v>
      </c>
      <c r="B32" t="s">
        <v>138</v>
      </c>
      <c r="C32" s="2">
        <v>19496</v>
      </c>
      <c r="D32" s="121" t="s">
        <v>444</v>
      </c>
      <c r="E32" s="163"/>
      <c r="F32" s="161"/>
      <c r="G32" s="163"/>
    </row>
    <row r="33" spans="1:8" x14ac:dyDescent="0.35">
      <c r="A33" s="41">
        <f t="shared" si="0"/>
        <v>17</v>
      </c>
      <c r="B33" t="s">
        <v>139</v>
      </c>
      <c r="C33" s="97">
        <v>17671148</v>
      </c>
      <c r="D33" s="121" t="s">
        <v>444</v>
      </c>
      <c r="E33" s="163"/>
      <c r="F33" s="161"/>
      <c r="G33" s="163"/>
    </row>
    <row r="34" spans="1:8" x14ac:dyDescent="0.35">
      <c r="A34" s="41">
        <f t="shared" si="0"/>
        <v>18</v>
      </c>
      <c r="B34" t="s">
        <v>32</v>
      </c>
      <c r="C34" s="97">
        <v>29209960</v>
      </c>
      <c r="D34" s="121" t="s">
        <v>444</v>
      </c>
      <c r="E34" s="163"/>
      <c r="F34" s="161"/>
      <c r="G34" s="163"/>
      <c r="H34" s="21"/>
    </row>
    <row r="35" spans="1:8" x14ac:dyDescent="0.35">
      <c r="A35" s="41">
        <f t="shared" si="0"/>
        <v>19</v>
      </c>
      <c r="B35" t="s">
        <v>17</v>
      </c>
      <c r="C35" s="19">
        <v>7292218</v>
      </c>
      <c r="D35" s="121" t="s">
        <v>444</v>
      </c>
      <c r="E35" s="164"/>
      <c r="F35" s="161"/>
      <c r="G35" s="164"/>
    </row>
    <row r="36" spans="1:8" x14ac:dyDescent="0.35">
      <c r="A36" s="41">
        <f t="shared" si="0"/>
        <v>20</v>
      </c>
      <c r="B36" t="s">
        <v>81</v>
      </c>
      <c r="C36" s="98">
        <v>1220940</v>
      </c>
      <c r="D36" s="121" t="s">
        <v>444</v>
      </c>
      <c r="E36" s="165"/>
      <c r="F36" s="161"/>
      <c r="G36" s="165"/>
    </row>
    <row r="37" spans="1:8" x14ac:dyDescent="0.35">
      <c r="A37" s="41"/>
      <c r="C37" s="23"/>
      <c r="D37" s="23"/>
      <c r="E37" s="166"/>
      <c r="F37" s="161"/>
      <c r="G37" s="161"/>
    </row>
    <row r="38" spans="1:8" x14ac:dyDescent="0.35">
      <c r="A38" s="41">
        <v>21</v>
      </c>
      <c r="B38" t="s">
        <v>36</v>
      </c>
      <c r="C38" s="24">
        <f>SUM(C27:C37)</f>
        <v>99196465</v>
      </c>
      <c r="D38" s="24"/>
      <c r="E38" s="167"/>
      <c r="F38" s="161"/>
      <c r="G38" s="167"/>
      <c r="H38" s="159"/>
    </row>
    <row r="39" spans="1:8" x14ac:dyDescent="0.35">
      <c r="A39" s="41"/>
      <c r="E39" s="158"/>
      <c r="F39" s="158"/>
      <c r="G39" s="158"/>
      <c r="H39" s="158"/>
    </row>
    <row r="40" spans="1:8" ht="16" thickBot="1" x14ac:dyDescent="0.4">
      <c r="A40" s="41">
        <v>22</v>
      </c>
      <c r="B40" t="s">
        <v>16</v>
      </c>
      <c r="C40" s="17">
        <f>+C24-C38</f>
        <v>24506895</v>
      </c>
      <c r="D40" s="17"/>
      <c r="E40" s="17">
        <v>28636320</v>
      </c>
      <c r="F40" s="158"/>
      <c r="G40" s="160">
        <v>4129425</v>
      </c>
      <c r="H40" s="160"/>
    </row>
    <row r="41" spans="1:8" ht="16" thickTop="1" x14ac:dyDescent="0.35">
      <c r="A41" s="1"/>
    </row>
    <row r="43" spans="1:8" x14ac:dyDescent="0.35">
      <c r="A43" s="30" t="s">
        <v>35</v>
      </c>
      <c r="B43" t="s">
        <v>492</v>
      </c>
    </row>
    <row r="44" spans="1:8" x14ac:dyDescent="0.35">
      <c r="A44" t="s">
        <v>132</v>
      </c>
      <c r="B44" t="s">
        <v>490</v>
      </c>
    </row>
    <row r="45" spans="1:8" x14ac:dyDescent="0.35">
      <c r="A45" t="s">
        <v>203</v>
      </c>
      <c r="B45" t="s">
        <v>493</v>
      </c>
    </row>
    <row r="46" spans="1:8" x14ac:dyDescent="0.35">
      <c r="A46" t="s">
        <v>424</v>
      </c>
      <c r="B46" t="s">
        <v>494</v>
      </c>
    </row>
    <row r="47" spans="1:8" x14ac:dyDescent="0.35">
      <c r="A47" t="s">
        <v>427</v>
      </c>
      <c r="B47" t="s">
        <v>491</v>
      </c>
    </row>
  </sheetData>
  <mergeCells count="3">
    <mergeCell ref="A5:G5"/>
    <mergeCell ref="A6:G6"/>
    <mergeCell ref="A7:G7"/>
  </mergeCells>
  <printOptions horizontalCentered="1"/>
  <pageMargins left="0.7" right="0.7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C1" workbookViewId="0">
      <selection activeCell="B14" sqref="B14"/>
    </sheetView>
  </sheetViews>
  <sheetFormatPr defaultRowHeight="15.5" x14ac:dyDescent="0.35"/>
  <cols>
    <col min="1" max="1" width="6.25" bestFit="1" customWidth="1"/>
    <col min="2" max="2" width="34.83203125" customWidth="1"/>
    <col min="3" max="3" width="11.25" bestFit="1" customWidth="1"/>
    <col min="4" max="4" width="15.75" customWidth="1"/>
    <col min="5" max="5" width="12.83203125" customWidth="1"/>
    <col min="6" max="6" width="1.58203125" customWidth="1"/>
    <col min="7" max="7" width="12.83203125" customWidth="1"/>
    <col min="8" max="8" width="1.25" customWidth="1"/>
    <col min="9" max="9" width="14.7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111</v>
      </c>
    </row>
    <row r="3" spans="1:9" x14ac:dyDescent="0.35">
      <c r="A3" s="4"/>
      <c r="I3" s="113" t="s">
        <v>458</v>
      </c>
    </row>
    <row r="4" spans="1:9" x14ac:dyDescent="0.35">
      <c r="A4" s="4"/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145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4"/>
    </row>
    <row r="9" spans="1:9" x14ac:dyDescent="0.35">
      <c r="A9" s="4"/>
      <c r="D9" s="77"/>
    </row>
    <row r="10" spans="1:9" x14ac:dyDescent="0.35">
      <c r="A10" s="77"/>
      <c r="B10" s="77"/>
      <c r="C10" s="77"/>
      <c r="D10" s="77"/>
      <c r="H10" s="77"/>
      <c r="I10" s="77" t="s">
        <v>27</v>
      </c>
    </row>
    <row r="11" spans="1:9" x14ac:dyDescent="0.35">
      <c r="A11" s="77" t="s">
        <v>7</v>
      </c>
      <c r="B11" s="77"/>
      <c r="C11" s="77"/>
      <c r="D11" s="77"/>
      <c r="E11" s="77" t="s">
        <v>34</v>
      </c>
      <c r="G11" s="77" t="s">
        <v>63</v>
      </c>
      <c r="H11" s="77"/>
      <c r="I11" s="77" t="s">
        <v>95</v>
      </c>
    </row>
    <row r="12" spans="1:9" x14ac:dyDescent="0.35">
      <c r="A12" s="76" t="s">
        <v>10</v>
      </c>
      <c r="B12" s="76" t="s">
        <v>11</v>
      </c>
      <c r="C12" s="76"/>
      <c r="D12" s="76" t="s">
        <v>37</v>
      </c>
      <c r="E12" s="76" t="s">
        <v>27</v>
      </c>
      <c r="F12" s="72"/>
      <c r="G12" s="76" t="s">
        <v>27</v>
      </c>
      <c r="H12" s="57"/>
      <c r="I12" s="57" t="s">
        <v>96</v>
      </c>
    </row>
    <row r="13" spans="1:9" x14ac:dyDescent="0.35">
      <c r="A13" s="77"/>
    </row>
    <row r="14" spans="1:9" x14ac:dyDescent="0.35">
      <c r="A14" s="41">
        <v>1</v>
      </c>
      <c r="B14" t="s">
        <v>173</v>
      </c>
      <c r="C14" s="3"/>
      <c r="D14" s="41" t="s">
        <v>463</v>
      </c>
      <c r="E14" s="3">
        <f>+'WP MEG-6.1'!G47</f>
        <v>2307748.8189502452</v>
      </c>
      <c r="G14" s="3">
        <v>0</v>
      </c>
      <c r="H14" s="3"/>
      <c r="I14" s="3">
        <f>+E14-G14</f>
        <v>2307748.8189502452</v>
      </c>
    </row>
    <row r="15" spans="1:9" x14ac:dyDescent="0.35">
      <c r="A15" s="41"/>
      <c r="C15" s="3"/>
      <c r="E15" s="3"/>
      <c r="G15" s="3"/>
      <c r="H15" s="3"/>
      <c r="I15" s="3"/>
    </row>
    <row r="16" spans="1:9" x14ac:dyDescent="0.35">
      <c r="A16" s="41">
        <v>2</v>
      </c>
      <c r="B16" t="s">
        <v>397</v>
      </c>
      <c r="C16" s="3"/>
      <c r="D16" s="41" t="s">
        <v>460</v>
      </c>
      <c r="E16" s="2">
        <f>+'WP MEG-10.1 2021 Customer Growt'!I73</f>
        <v>-582701.74048000004</v>
      </c>
      <c r="F16" s="2"/>
      <c r="G16" s="2">
        <v>0</v>
      </c>
      <c r="H16" s="2"/>
      <c r="I16" s="2">
        <f>+E16-G16</f>
        <v>-582701.74048000004</v>
      </c>
    </row>
    <row r="17" spans="1:9" x14ac:dyDescent="0.35">
      <c r="A17" s="41"/>
    </row>
    <row r="18" spans="1:9" x14ac:dyDescent="0.35">
      <c r="A18" s="41">
        <v>3</v>
      </c>
      <c r="B18" t="s">
        <v>175</v>
      </c>
      <c r="D18" s="41" t="s">
        <v>462</v>
      </c>
      <c r="E18" s="16">
        <f>+'WP MEG-6.1'!G51</f>
        <v>321121</v>
      </c>
      <c r="G18" s="16">
        <v>0</v>
      </c>
      <c r="H18" s="2"/>
      <c r="I18" s="16">
        <f>+E18-G18</f>
        <v>321121</v>
      </c>
    </row>
    <row r="19" spans="1:9" x14ac:dyDescent="0.35">
      <c r="A19" s="41"/>
    </row>
    <row r="20" spans="1:9" x14ac:dyDescent="0.35">
      <c r="A20" s="41">
        <v>4</v>
      </c>
      <c r="B20" t="s">
        <v>176</v>
      </c>
      <c r="E20" s="31">
        <f>SUM(E14:E19)</f>
        <v>2046168.078470245</v>
      </c>
      <c r="F20" s="20"/>
      <c r="G20" s="31">
        <f>SUM(G14:G19)</f>
        <v>0</v>
      </c>
      <c r="H20" s="20"/>
      <c r="I20" s="31">
        <f>SUM(I14:I19)</f>
        <v>2046168.078470245</v>
      </c>
    </row>
    <row r="21" spans="1:9" x14ac:dyDescent="0.35">
      <c r="A21" s="41"/>
    </row>
    <row r="22" spans="1:9" x14ac:dyDescent="0.35">
      <c r="A22" s="41">
        <v>5</v>
      </c>
      <c r="B22" t="s">
        <v>82</v>
      </c>
      <c r="C22" s="3"/>
      <c r="E22" s="2">
        <f>+E20*0.002</f>
        <v>4092.3361569404901</v>
      </c>
      <c r="I22" s="2">
        <f>+E22-G22</f>
        <v>4092.3361569404901</v>
      </c>
    </row>
    <row r="23" spans="1:9" x14ac:dyDescent="0.35">
      <c r="A23" s="41"/>
      <c r="C23" s="3"/>
      <c r="E23" s="2"/>
      <c r="I23" s="2"/>
    </row>
    <row r="24" spans="1:9" x14ac:dyDescent="0.35">
      <c r="A24" s="41">
        <v>6</v>
      </c>
      <c r="B24" t="s">
        <v>398</v>
      </c>
      <c r="C24" s="3"/>
      <c r="E24" s="2">
        <f>+E20*0.00371</f>
        <v>7591.2835711246098</v>
      </c>
      <c r="I24" s="2">
        <f>+E24-G24</f>
        <v>7591.2835711246098</v>
      </c>
    </row>
    <row r="25" spans="1:9" x14ac:dyDescent="0.35">
      <c r="A25" s="41"/>
      <c r="E25" s="2"/>
    </row>
    <row r="26" spans="1:9" x14ac:dyDescent="0.35">
      <c r="A26" s="41">
        <v>7</v>
      </c>
      <c r="B26" t="s">
        <v>205</v>
      </c>
      <c r="E26" s="16">
        <f>+E20*0.21</f>
        <v>429695.29647875141</v>
      </c>
      <c r="G26" s="16">
        <f>+G20*0.21</f>
        <v>0</v>
      </c>
      <c r="I26" s="16">
        <f>+E26-G26</f>
        <v>429695.29647875141</v>
      </c>
    </row>
    <row r="27" spans="1:9" x14ac:dyDescent="0.35">
      <c r="A27" s="41"/>
    </row>
    <row r="28" spans="1:9" x14ac:dyDescent="0.35">
      <c r="A28" s="41">
        <v>8</v>
      </c>
      <c r="B28" t="s">
        <v>36</v>
      </c>
      <c r="E28" s="27">
        <f>SUM(E22:E27)</f>
        <v>441378.9162068165</v>
      </c>
      <c r="G28" s="27">
        <f>SUM(G22:G27)</f>
        <v>0</v>
      </c>
      <c r="I28" s="27">
        <f>SUM(I22:I27)</f>
        <v>441378.9162068165</v>
      </c>
    </row>
    <row r="30" spans="1:9" ht="16" thickBot="1" x14ac:dyDescent="0.4">
      <c r="A30" s="41">
        <v>9</v>
      </c>
      <c r="B30" t="s">
        <v>84</v>
      </c>
      <c r="E30" s="18">
        <f>+E20-E28</f>
        <v>1604789.1622634286</v>
      </c>
      <c r="G30" s="18">
        <f>+G20-G28</f>
        <v>0</v>
      </c>
      <c r="I30" s="18">
        <f>+I20-I28</f>
        <v>1604789.1622634286</v>
      </c>
    </row>
    <row r="31" spans="1:9" ht="16" thickTop="1" x14ac:dyDescent="0.35"/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opLeftCell="D1" workbookViewId="0">
      <selection activeCell="B53" sqref="B53:B55"/>
    </sheetView>
  </sheetViews>
  <sheetFormatPr defaultRowHeight="15.5" x14ac:dyDescent="0.35"/>
  <cols>
    <col min="1" max="1" width="6.08203125" customWidth="1"/>
    <col min="2" max="2" width="69" customWidth="1"/>
    <col min="3" max="3" width="12.25" customWidth="1"/>
    <col min="4" max="4" width="11.33203125" customWidth="1"/>
    <col min="5" max="5" width="13.33203125" bestFit="1" customWidth="1"/>
    <col min="6" max="6" width="13.33203125" customWidth="1"/>
    <col min="7" max="7" width="16.58203125" bestFit="1" customWidth="1"/>
  </cols>
  <sheetData>
    <row r="1" spans="1:11" x14ac:dyDescent="0.35">
      <c r="G1" s="29" t="s">
        <v>119</v>
      </c>
    </row>
    <row r="2" spans="1:11" x14ac:dyDescent="0.35">
      <c r="G2" s="29" t="s">
        <v>445</v>
      </c>
    </row>
    <row r="3" spans="1:11" x14ac:dyDescent="0.35">
      <c r="G3" s="29" t="s">
        <v>106</v>
      </c>
    </row>
    <row r="4" spans="1:11" x14ac:dyDescent="0.35">
      <c r="A4" s="174" t="s">
        <v>146</v>
      </c>
      <c r="B4" s="174"/>
      <c r="C4" s="174"/>
      <c r="D4" s="174"/>
      <c r="E4" s="174"/>
      <c r="F4" s="174"/>
      <c r="G4" s="174"/>
    </row>
    <row r="5" spans="1:11" x14ac:dyDescent="0.35">
      <c r="A5" s="175" t="s">
        <v>479</v>
      </c>
      <c r="B5" s="175"/>
      <c r="C5" s="175"/>
      <c r="D5" s="175"/>
      <c r="E5" s="175"/>
      <c r="F5" s="175"/>
      <c r="G5" s="175"/>
    </row>
    <row r="6" spans="1:11" x14ac:dyDescent="0.35">
      <c r="A6" s="169" t="s">
        <v>121</v>
      </c>
      <c r="B6" s="169"/>
      <c r="C6" s="169"/>
      <c r="D6" s="169"/>
      <c r="E6" s="169"/>
      <c r="F6" s="169"/>
      <c r="G6" s="169"/>
      <c r="H6" s="110"/>
      <c r="I6" s="110"/>
      <c r="J6" s="110"/>
      <c r="K6" s="110"/>
    </row>
    <row r="7" spans="1:11" x14ac:dyDescent="0.35">
      <c r="A7" s="103"/>
      <c r="B7" s="103"/>
      <c r="C7" s="103"/>
      <c r="D7" s="103"/>
      <c r="E7" s="103"/>
      <c r="F7" s="103"/>
      <c r="G7" s="103"/>
      <c r="H7" s="110"/>
      <c r="I7" s="110"/>
      <c r="J7" s="110"/>
      <c r="K7" s="110"/>
    </row>
    <row r="8" spans="1:11" x14ac:dyDescent="0.35">
      <c r="A8" s="107" t="s">
        <v>7</v>
      </c>
      <c r="B8" s="107"/>
      <c r="C8" s="107" t="s">
        <v>148</v>
      </c>
      <c r="D8" s="107"/>
      <c r="E8" s="107" t="s">
        <v>149</v>
      </c>
      <c r="F8" s="107"/>
      <c r="G8" s="107">
        <v>2021</v>
      </c>
    </row>
    <row r="9" spans="1:11" x14ac:dyDescent="0.35">
      <c r="A9" s="108" t="s">
        <v>10</v>
      </c>
      <c r="B9" s="108" t="s">
        <v>11</v>
      </c>
      <c r="C9" s="108" t="s">
        <v>150</v>
      </c>
      <c r="D9" s="108"/>
      <c r="E9" s="108" t="s">
        <v>151</v>
      </c>
      <c r="F9" s="108"/>
      <c r="G9" s="108" t="s">
        <v>152</v>
      </c>
    </row>
    <row r="10" spans="1:11" x14ac:dyDescent="0.35">
      <c r="A10" s="41">
        <v>1</v>
      </c>
      <c r="B10" s="109" t="s">
        <v>153</v>
      </c>
      <c r="C10" s="4"/>
      <c r="D10" s="4"/>
      <c r="E10" s="4"/>
      <c r="F10" s="4"/>
      <c r="G10" s="4"/>
    </row>
    <row r="11" spans="1:11" x14ac:dyDescent="0.35">
      <c r="A11" s="41">
        <f>+A10+1</f>
        <v>2</v>
      </c>
      <c r="B11" t="s">
        <v>154</v>
      </c>
      <c r="C11" s="2">
        <v>83318617</v>
      </c>
      <c r="D11" s="2"/>
      <c r="E11" s="81">
        <f>0.31274-0.31073</f>
        <v>2.0100000000000118E-3</v>
      </c>
      <c r="F11" s="81"/>
      <c r="G11" s="23">
        <f>+C11*E11</f>
        <v>167470.42017000099</v>
      </c>
    </row>
    <row r="12" spans="1:11" x14ac:dyDescent="0.35">
      <c r="A12" s="41">
        <f t="shared" ref="A12:A55" si="0">+A11+1</f>
        <v>3</v>
      </c>
      <c r="B12" t="s">
        <v>406</v>
      </c>
      <c r="C12" s="2">
        <f>127494069-123664639</f>
        <v>3829430</v>
      </c>
      <c r="D12" s="2"/>
      <c r="E12" s="81">
        <v>0.31274000000000002</v>
      </c>
      <c r="F12" s="81"/>
      <c r="G12" s="24">
        <f>+C12*E12</f>
        <v>1197615.9382</v>
      </c>
    </row>
    <row r="13" spans="1:11" x14ac:dyDescent="0.35">
      <c r="A13" s="41">
        <f t="shared" si="0"/>
        <v>4</v>
      </c>
      <c r="B13" t="s">
        <v>407</v>
      </c>
      <c r="C13" s="2"/>
      <c r="D13" s="2"/>
      <c r="E13" s="81"/>
      <c r="F13" s="81"/>
      <c r="G13" s="23">
        <f>+G11+G12</f>
        <v>1365086.358370001</v>
      </c>
    </row>
    <row r="14" spans="1:11" x14ac:dyDescent="0.35">
      <c r="A14" s="41"/>
      <c r="C14" s="2"/>
      <c r="D14" s="2"/>
      <c r="E14" s="81"/>
      <c r="F14" s="81"/>
      <c r="G14" s="23"/>
    </row>
    <row r="15" spans="1:11" x14ac:dyDescent="0.35">
      <c r="A15" s="41">
        <v>5</v>
      </c>
      <c r="B15" s="80" t="s">
        <v>155</v>
      </c>
      <c r="C15" s="2"/>
      <c r="D15" s="2"/>
      <c r="E15" s="81"/>
      <c r="F15" s="81"/>
      <c r="G15" s="23"/>
    </row>
    <row r="16" spans="1:11" x14ac:dyDescent="0.35">
      <c r="A16" s="41">
        <f t="shared" si="0"/>
        <v>6</v>
      </c>
      <c r="B16" t="s">
        <v>154</v>
      </c>
      <c r="C16" s="2">
        <f>+(56215389+37582)</f>
        <v>56252971</v>
      </c>
      <c r="D16" s="2"/>
      <c r="E16" s="81">
        <f>(0.26283-0.2618)</f>
        <v>1.0300000000000309E-3</v>
      </c>
      <c r="F16" s="81"/>
      <c r="G16" s="23">
        <f>+C16*E16</f>
        <v>57940.560130001737</v>
      </c>
    </row>
    <row r="17" spans="1:7" x14ac:dyDescent="0.35">
      <c r="A17" s="41">
        <f t="shared" si="0"/>
        <v>7</v>
      </c>
      <c r="B17" t="s">
        <v>406</v>
      </c>
      <c r="C17" s="2">
        <f>88458784-85568841</f>
        <v>2889943</v>
      </c>
      <c r="D17" s="2"/>
      <c r="E17" s="81">
        <v>0.26283000000000001</v>
      </c>
      <c r="F17" s="81"/>
      <c r="G17" s="24">
        <f>+C17*E17</f>
        <v>759563.71869000001</v>
      </c>
    </row>
    <row r="18" spans="1:7" x14ac:dyDescent="0.35">
      <c r="A18" s="41">
        <f t="shared" si="0"/>
        <v>8</v>
      </c>
      <c r="B18" t="s">
        <v>407</v>
      </c>
      <c r="C18" s="2"/>
      <c r="D18" s="2"/>
      <c r="E18" s="81"/>
      <c r="F18" s="81"/>
      <c r="G18" s="23">
        <f>SUM(G16:G17)</f>
        <v>817504.27882000175</v>
      </c>
    </row>
    <row r="19" spans="1:7" x14ac:dyDescent="0.35">
      <c r="A19" s="41"/>
      <c r="C19" s="2"/>
      <c r="D19" s="2"/>
      <c r="E19" s="81"/>
      <c r="F19" s="81"/>
      <c r="G19" s="23"/>
    </row>
    <row r="20" spans="1:7" x14ac:dyDescent="0.35">
      <c r="A20" s="41">
        <v>9</v>
      </c>
      <c r="B20" s="80" t="s">
        <v>156</v>
      </c>
      <c r="C20" s="2"/>
      <c r="D20" s="2"/>
      <c r="E20" s="81"/>
      <c r="F20" s="81"/>
      <c r="G20" s="23"/>
    </row>
    <row r="21" spans="1:7" x14ac:dyDescent="0.35">
      <c r="A21" s="41">
        <f t="shared" si="0"/>
        <v>10</v>
      </c>
      <c r="B21" t="s">
        <v>157</v>
      </c>
      <c r="C21" s="2">
        <v>971389</v>
      </c>
      <c r="D21" s="2"/>
      <c r="E21" s="81">
        <f>0.20271-0.20176</f>
        <v>9.5000000000000639E-4</v>
      </c>
      <c r="F21" s="81"/>
      <c r="G21" s="3">
        <f>+C21*E21</f>
        <v>922.81955000000619</v>
      </c>
    </row>
    <row r="22" spans="1:7" x14ac:dyDescent="0.35">
      <c r="A22" s="41">
        <f t="shared" si="0"/>
        <v>11</v>
      </c>
      <c r="B22" t="s">
        <v>158</v>
      </c>
      <c r="C22" s="2">
        <v>3209755</v>
      </c>
      <c r="D22" s="2"/>
      <c r="E22" s="81">
        <f>0.16594-0.16481</f>
        <v>1.1299999999999921E-3</v>
      </c>
      <c r="F22" s="81"/>
      <c r="G22" s="3">
        <f t="shared" ref="G22:G23" si="1">+C22*E22</f>
        <v>3627.0231499999745</v>
      </c>
    </row>
    <row r="23" spans="1:7" x14ac:dyDescent="0.35">
      <c r="A23" s="41">
        <f t="shared" si="0"/>
        <v>12</v>
      </c>
      <c r="B23" t="s">
        <v>159</v>
      </c>
      <c r="C23" s="2">
        <v>2005849</v>
      </c>
      <c r="D23" s="2"/>
      <c r="E23" s="81">
        <f>0.16038-0.15923</f>
        <v>1.1499999999999844E-3</v>
      </c>
      <c r="F23" s="81"/>
      <c r="G23" s="27">
        <f t="shared" si="1"/>
        <v>2306.7263499999685</v>
      </c>
    </row>
    <row r="24" spans="1:7" x14ac:dyDescent="0.35">
      <c r="A24" s="41">
        <f t="shared" si="0"/>
        <v>13</v>
      </c>
      <c r="B24" t="s">
        <v>160</v>
      </c>
      <c r="E24" s="81"/>
      <c r="F24" s="81"/>
      <c r="G24" s="23">
        <f>SUM(G21:G23)</f>
        <v>6856.5690499999491</v>
      </c>
    </row>
    <row r="25" spans="1:7" x14ac:dyDescent="0.35">
      <c r="A25" s="41"/>
      <c r="E25" s="81"/>
      <c r="F25" s="81"/>
      <c r="G25" s="23"/>
    </row>
    <row r="26" spans="1:7" x14ac:dyDescent="0.35">
      <c r="A26" s="41">
        <v>14</v>
      </c>
      <c r="B26" s="80" t="s">
        <v>161</v>
      </c>
      <c r="E26" s="81"/>
      <c r="F26" s="81"/>
      <c r="G26" s="23"/>
    </row>
    <row r="27" spans="1:7" x14ac:dyDescent="0.35">
      <c r="A27" s="41">
        <f t="shared" si="0"/>
        <v>15</v>
      </c>
      <c r="B27" t="s">
        <v>162</v>
      </c>
      <c r="C27" s="2">
        <f>5555828.9+196091</f>
        <v>5751919.9000000004</v>
      </c>
      <c r="D27" s="2"/>
      <c r="E27" s="81">
        <f>0.16163-0.16113</f>
        <v>5.0000000000000044E-4</v>
      </c>
      <c r="F27" s="81"/>
      <c r="G27" s="3">
        <f>+C27*E27</f>
        <v>2875.9599500000027</v>
      </c>
    </row>
    <row r="28" spans="1:7" x14ac:dyDescent="0.35">
      <c r="A28" s="41">
        <f t="shared" si="0"/>
        <v>16</v>
      </c>
      <c r="B28" t="s">
        <v>163</v>
      </c>
      <c r="C28" s="2">
        <f>2590800.26+191798</f>
        <v>2782598.26</v>
      </c>
      <c r="D28" s="2"/>
      <c r="E28" s="81">
        <f>0.12539-0.12471</f>
        <v>6.8000000000000005E-4</v>
      </c>
      <c r="F28" s="81"/>
      <c r="G28" s="3">
        <f t="shared" ref="G28:G29" si="2">+C28*E28</f>
        <v>1892.1668167999999</v>
      </c>
    </row>
    <row r="29" spans="1:7" x14ac:dyDescent="0.35">
      <c r="A29" s="41">
        <f t="shared" si="0"/>
        <v>17</v>
      </c>
      <c r="B29" t="s">
        <v>164</v>
      </c>
      <c r="C29" s="2">
        <f>641897.81+0</f>
        <v>641897.81000000006</v>
      </c>
      <c r="D29" s="2"/>
      <c r="E29" s="81">
        <f>0.3574-0.3464</f>
        <v>1.100000000000001E-2</v>
      </c>
      <c r="F29" s="81"/>
      <c r="G29" s="27">
        <f t="shared" si="2"/>
        <v>7060.875910000007</v>
      </c>
    </row>
    <row r="30" spans="1:7" x14ac:dyDescent="0.35">
      <c r="A30" s="41">
        <f t="shared" si="0"/>
        <v>18</v>
      </c>
      <c r="B30" t="s">
        <v>160</v>
      </c>
      <c r="C30" s="2"/>
      <c r="D30" s="2"/>
      <c r="E30" s="81"/>
      <c r="F30" s="81"/>
      <c r="G30" s="23">
        <f>SUM(G27:G29)</f>
        <v>11829.00267680001</v>
      </c>
    </row>
    <row r="31" spans="1:7" x14ac:dyDescent="0.35">
      <c r="A31" s="41"/>
      <c r="E31" s="81"/>
      <c r="F31" s="81"/>
      <c r="G31" s="23"/>
    </row>
    <row r="32" spans="1:7" x14ac:dyDescent="0.35">
      <c r="A32" s="41">
        <v>19</v>
      </c>
      <c r="B32" s="80" t="s">
        <v>165</v>
      </c>
      <c r="C32" s="2"/>
      <c r="D32" s="2"/>
      <c r="E32" s="81"/>
      <c r="F32" s="81"/>
      <c r="G32" s="23"/>
    </row>
    <row r="33" spans="1:7" x14ac:dyDescent="0.35">
      <c r="A33" s="41">
        <f t="shared" si="0"/>
        <v>20</v>
      </c>
      <c r="B33" t="s">
        <v>166</v>
      </c>
      <c r="C33" s="84">
        <v>595980.92369477905</v>
      </c>
      <c r="D33" s="84"/>
      <c r="E33" s="81">
        <f>0.09041-0.08964</f>
        <v>7.7000000000000679E-4</v>
      </c>
      <c r="F33" s="81"/>
      <c r="G33" s="3">
        <f t="shared" ref="G33:G34" si="3">+C33*E33</f>
        <v>458.90531124498392</v>
      </c>
    </row>
    <row r="34" spans="1:7" x14ac:dyDescent="0.35">
      <c r="A34" s="41">
        <f t="shared" si="0"/>
        <v>21</v>
      </c>
      <c r="B34" t="s">
        <v>167</v>
      </c>
      <c r="C34" s="84">
        <v>695939.29712460062</v>
      </c>
      <c r="D34" s="84"/>
      <c r="E34" s="81">
        <f>0.02923-0.02817</f>
        <v>1.0599999999999984E-3</v>
      </c>
      <c r="F34" s="81"/>
      <c r="G34" s="27">
        <f t="shared" si="3"/>
        <v>737.69565495207553</v>
      </c>
    </row>
    <row r="35" spans="1:7" x14ac:dyDescent="0.35">
      <c r="A35" s="41">
        <f t="shared" si="0"/>
        <v>22</v>
      </c>
      <c r="B35" t="s">
        <v>160</v>
      </c>
      <c r="E35" s="81"/>
      <c r="F35" s="81"/>
      <c r="G35" s="115">
        <f>SUM(G33:G34)</f>
        <v>1196.6009661970595</v>
      </c>
    </row>
    <row r="36" spans="1:7" ht="16" thickBot="1" x14ac:dyDescent="0.4">
      <c r="A36" s="41">
        <f t="shared" si="0"/>
        <v>23</v>
      </c>
      <c r="B36" t="s">
        <v>168</v>
      </c>
      <c r="E36" s="81"/>
      <c r="F36" s="81"/>
      <c r="G36" s="18">
        <f>+G13+G18+G24+G30+G35</f>
        <v>2202472.8098829999</v>
      </c>
    </row>
    <row r="37" spans="1:7" ht="16" thickTop="1" x14ac:dyDescent="0.35">
      <c r="A37" s="41"/>
      <c r="E37" s="81"/>
      <c r="F37" s="81"/>
      <c r="G37" s="23"/>
    </row>
    <row r="38" spans="1:7" x14ac:dyDescent="0.35">
      <c r="A38" s="41">
        <v>24</v>
      </c>
      <c r="B38" s="80" t="s">
        <v>169</v>
      </c>
      <c r="E38" s="81"/>
      <c r="F38" s="81"/>
      <c r="G38" s="23"/>
    </row>
    <row r="39" spans="1:7" x14ac:dyDescent="0.35">
      <c r="A39" s="41">
        <f t="shared" si="0"/>
        <v>25</v>
      </c>
      <c r="B39" t="s">
        <v>170</v>
      </c>
      <c r="C39" s="84">
        <v>51245082.818500578</v>
      </c>
      <c r="D39" s="84"/>
      <c r="E39" s="81">
        <f>0.06-0.05989</f>
        <v>1.0999999999999899E-4</v>
      </c>
      <c r="F39" s="81"/>
      <c r="G39" s="3">
        <f t="shared" ref="G39:G42" si="4">+C39*E39</f>
        <v>5636.9591100350117</v>
      </c>
    </row>
    <row r="40" spans="1:7" x14ac:dyDescent="0.35">
      <c r="A40" s="41">
        <f t="shared" si="0"/>
        <v>26</v>
      </c>
      <c r="B40" t="s">
        <v>171</v>
      </c>
      <c r="C40" s="84">
        <v>37502844.550586194</v>
      </c>
      <c r="D40" s="84"/>
      <c r="E40" s="81">
        <f>0.02331-0.02303</f>
        <v>2.8000000000000247E-4</v>
      </c>
      <c r="F40" s="81"/>
      <c r="G40" s="3">
        <f t="shared" si="4"/>
        <v>10500.796474164226</v>
      </c>
    </row>
    <row r="41" spans="1:7" x14ac:dyDescent="0.35">
      <c r="A41" s="41">
        <f t="shared" si="0"/>
        <v>27</v>
      </c>
      <c r="B41" t="s">
        <v>171</v>
      </c>
      <c r="C41" s="84">
        <v>19858486.761710793</v>
      </c>
      <c r="D41" s="84"/>
      <c r="E41" s="81">
        <f>0.01505-0.01473</f>
        <v>3.199999999999991E-4</v>
      </c>
      <c r="F41" s="81"/>
      <c r="G41" s="3">
        <f t="shared" si="4"/>
        <v>6354.7157637474356</v>
      </c>
    </row>
    <row r="42" spans="1:7" x14ac:dyDescent="0.35">
      <c r="A42" s="41">
        <f t="shared" si="0"/>
        <v>28</v>
      </c>
      <c r="B42" t="s">
        <v>172</v>
      </c>
      <c r="C42" s="84">
        <v>236524393.48370931</v>
      </c>
      <c r="D42" s="84"/>
      <c r="E42" s="81">
        <f>0.00833-0.00798</f>
        <v>3.5000000000000135E-4</v>
      </c>
      <c r="F42" s="81"/>
      <c r="G42" s="27">
        <f t="shared" si="4"/>
        <v>82783.537719298576</v>
      </c>
    </row>
    <row r="43" spans="1:7" x14ac:dyDescent="0.35">
      <c r="A43" s="41">
        <f t="shared" si="0"/>
        <v>29</v>
      </c>
      <c r="B43" t="s">
        <v>160</v>
      </c>
      <c r="E43" s="81"/>
      <c r="F43" s="81"/>
      <c r="G43" s="23">
        <f>SUM(G39:G42)</f>
        <v>105276.00906724525</v>
      </c>
    </row>
    <row r="44" spans="1:7" x14ac:dyDescent="0.35">
      <c r="A44" s="41"/>
      <c r="E44" s="81"/>
      <c r="F44" s="81"/>
      <c r="G44" s="23"/>
    </row>
    <row r="45" spans="1:7" ht="16" thickBot="1" x14ac:dyDescent="0.4">
      <c r="A45" s="41">
        <v>30</v>
      </c>
      <c r="B45" t="s">
        <v>452</v>
      </c>
      <c r="E45" s="81"/>
      <c r="F45" s="81"/>
      <c r="G45" s="18">
        <f>+G43</f>
        <v>105276.00906724525</v>
      </c>
    </row>
    <row r="46" spans="1:7" ht="16" thickTop="1" x14ac:dyDescent="0.35">
      <c r="A46" s="41"/>
      <c r="G46" s="23"/>
    </row>
    <row r="47" spans="1:7" ht="16" thickBot="1" x14ac:dyDescent="0.4">
      <c r="A47" s="41">
        <v>31</v>
      </c>
      <c r="B47" t="s">
        <v>174</v>
      </c>
      <c r="G47" s="17">
        <f>+G36+G45</f>
        <v>2307748.8189502452</v>
      </c>
    </row>
    <row r="48" spans="1:7" ht="16" thickTop="1" x14ac:dyDescent="0.35">
      <c r="A48" s="41"/>
    </row>
    <row r="49" spans="1:7" x14ac:dyDescent="0.35">
      <c r="A49" s="41">
        <v>32</v>
      </c>
      <c r="B49" s="48" t="s">
        <v>178</v>
      </c>
    </row>
    <row r="50" spans="1:7" ht="18.5" x14ac:dyDescent="0.35">
      <c r="A50" s="41">
        <f t="shared" si="0"/>
        <v>33</v>
      </c>
      <c r="B50" t="s">
        <v>461</v>
      </c>
      <c r="G50" s="3">
        <v>-321121</v>
      </c>
    </row>
    <row r="51" spans="1:7" ht="16" thickBot="1" x14ac:dyDescent="0.4">
      <c r="A51" s="41">
        <f t="shared" si="0"/>
        <v>34</v>
      </c>
      <c r="B51" t="s">
        <v>177</v>
      </c>
      <c r="G51" s="17">
        <f>-G50</f>
        <v>321121</v>
      </c>
    </row>
    <row r="52" spans="1:7" ht="16" thickTop="1" x14ac:dyDescent="0.35">
      <c r="A52" s="41"/>
    </row>
    <row r="53" spans="1:7" x14ac:dyDescent="0.35">
      <c r="A53" s="41">
        <v>35</v>
      </c>
      <c r="B53" t="s">
        <v>498</v>
      </c>
    </row>
    <row r="54" spans="1:7" x14ac:dyDescent="0.35">
      <c r="A54" s="41">
        <f t="shared" si="0"/>
        <v>36</v>
      </c>
      <c r="B54" t="s">
        <v>499</v>
      </c>
    </row>
    <row r="55" spans="1:7" x14ac:dyDescent="0.35">
      <c r="A55" s="41">
        <f t="shared" si="0"/>
        <v>37</v>
      </c>
      <c r="B55" t="s">
        <v>489</v>
      </c>
    </row>
  </sheetData>
  <mergeCells count="3">
    <mergeCell ref="A4:G4"/>
    <mergeCell ref="A5:G5"/>
    <mergeCell ref="A6:G6"/>
  </mergeCells>
  <printOptions horizontalCentered="1"/>
  <pageMargins left="0.7" right="0.7" top="0.75" bottom="0.75" header="0.3" footer="0.3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C28" sqref="C28"/>
    </sheetView>
  </sheetViews>
  <sheetFormatPr defaultRowHeight="15.5" x14ac:dyDescent="0.35"/>
  <cols>
    <col min="1" max="1" width="6.25" bestFit="1" customWidth="1"/>
    <col min="2" max="2" width="29.33203125" customWidth="1"/>
    <col min="3" max="3" width="16.75" customWidth="1"/>
    <col min="4" max="4" width="7.5" bestFit="1" customWidth="1"/>
    <col min="5" max="5" width="12.83203125" customWidth="1"/>
    <col min="6" max="6" width="1.58203125" customWidth="1"/>
    <col min="7" max="7" width="12.83203125" customWidth="1"/>
    <col min="8" max="8" width="1.25" customWidth="1"/>
    <col min="9" max="9" width="14.7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110</v>
      </c>
    </row>
    <row r="3" spans="1:9" x14ac:dyDescent="0.35">
      <c r="A3" s="4"/>
      <c r="I3" s="113" t="s">
        <v>458</v>
      </c>
    </row>
    <row r="4" spans="1:9" x14ac:dyDescent="0.35">
      <c r="A4" s="4"/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218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4"/>
    </row>
    <row r="9" spans="1:9" x14ac:dyDescent="0.35">
      <c r="A9" s="4"/>
      <c r="D9" s="77"/>
    </row>
    <row r="10" spans="1:9" x14ac:dyDescent="0.35">
      <c r="A10" s="77"/>
      <c r="B10" s="77"/>
      <c r="C10" s="77"/>
      <c r="D10" s="77"/>
      <c r="E10" s="77" t="s">
        <v>34</v>
      </c>
      <c r="G10" s="77" t="s">
        <v>63</v>
      </c>
      <c r="H10" s="77"/>
      <c r="I10" s="77" t="s">
        <v>27</v>
      </c>
    </row>
    <row r="11" spans="1:9" x14ac:dyDescent="0.35">
      <c r="A11" s="77" t="s">
        <v>7</v>
      </c>
      <c r="B11" s="77"/>
      <c r="C11" s="77"/>
      <c r="D11" s="77"/>
      <c r="E11" s="77" t="s">
        <v>33</v>
      </c>
      <c r="G11" s="77" t="s">
        <v>33</v>
      </c>
      <c r="H11" s="77"/>
      <c r="I11" s="77" t="s">
        <v>95</v>
      </c>
    </row>
    <row r="12" spans="1:9" x14ac:dyDescent="0.35">
      <c r="A12" s="76" t="s">
        <v>10</v>
      </c>
      <c r="B12" s="76" t="s">
        <v>11</v>
      </c>
      <c r="C12" s="76" t="s">
        <v>37</v>
      </c>
      <c r="D12" s="76"/>
      <c r="E12" s="76" t="s">
        <v>27</v>
      </c>
      <c r="F12" s="72"/>
      <c r="G12" s="76" t="s">
        <v>27</v>
      </c>
      <c r="H12" s="57"/>
      <c r="I12" s="57" t="s">
        <v>96</v>
      </c>
    </row>
    <row r="13" spans="1:9" x14ac:dyDescent="0.35">
      <c r="A13" s="77"/>
    </row>
    <row r="14" spans="1:9" x14ac:dyDescent="0.35">
      <c r="A14" s="41">
        <v>1</v>
      </c>
      <c r="B14" t="s">
        <v>204</v>
      </c>
      <c r="C14" s="41" t="s">
        <v>467</v>
      </c>
      <c r="E14" s="89">
        <f>+'WP MEG-7.1'!I34</f>
        <v>92863.428120000011</v>
      </c>
      <c r="G14" s="3">
        <v>0</v>
      </c>
      <c r="H14" s="3"/>
      <c r="I14" s="3">
        <f>+E14-G14</f>
        <v>92863.428120000011</v>
      </c>
    </row>
    <row r="16" spans="1:9" x14ac:dyDescent="0.35">
      <c r="A16" s="102">
        <v>2</v>
      </c>
      <c r="B16" t="s">
        <v>391</v>
      </c>
      <c r="C16" s="41" t="s">
        <v>468</v>
      </c>
      <c r="E16" s="2">
        <f>+'WP MEG-7.1'!I36</f>
        <v>7104.0522511800009</v>
      </c>
      <c r="G16" s="2">
        <v>0</v>
      </c>
      <c r="I16" s="2">
        <f>+E16-G16</f>
        <v>7104.0522511800009</v>
      </c>
    </row>
    <row r="17" spans="1:9" x14ac:dyDescent="0.35">
      <c r="A17" s="102"/>
    </row>
    <row r="18" spans="1:9" x14ac:dyDescent="0.35">
      <c r="A18" s="102">
        <v>3</v>
      </c>
      <c r="B18" t="s">
        <v>205</v>
      </c>
      <c r="E18" s="16">
        <f>-(E14+E16)*0.21</f>
        <v>-20993.170877947803</v>
      </c>
      <c r="G18" s="16">
        <f>-G14*0.21</f>
        <v>0</v>
      </c>
      <c r="I18" s="16">
        <f>+E18-G18</f>
        <v>-20993.170877947803</v>
      </c>
    </row>
    <row r="19" spans="1:9" x14ac:dyDescent="0.35">
      <c r="A19" s="102"/>
    </row>
    <row r="20" spans="1:9" ht="16" thickBot="1" x14ac:dyDescent="0.4">
      <c r="A20" s="102">
        <v>4</v>
      </c>
      <c r="B20" t="s">
        <v>206</v>
      </c>
      <c r="E20" s="18">
        <f>SUM(E14:E19)</f>
        <v>78974.309493232213</v>
      </c>
      <c r="G20" s="18">
        <f>SUM(G14:G19)</f>
        <v>0</v>
      </c>
      <c r="I20" s="18">
        <f>SUM(I14:I19)</f>
        <v>78974.309493232213</v>
      </c>
    </row>
    <row r="21" spans="1:9" ht="16" thickTop="1" x14ac:dyDescent="0.35">
      <c r="A21" s="102"/>
    </row>
    <row r="22" spans="1:9" ht="16" thickBot="1" x14ac:dyDescent="0.4">
      <c r="A22" s="102">
        <v>5</v>
      </c>
      <c r="B22" t="s">
        <v>207</v>
      </c>
      <c r="E22" s="17">
        <f>-E20</f>
        <v>-78974.309493232213</v>
      </c>
      <c r="G22" s="17">
        <f>-G20</f>
        <v>0</v>
      </c>
      <c r="I22" s="17">
        <f>-I20</f>
        <v>-78974.309493232213</v>
      </c>
    </row>
    <row r="23" spans="1:9" ht="16" thickTop="1" x14ac:dyDescent="0.35"/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1"/>
  <sheetViews>
    <sheetView topLeftCell="C1" workbookViewId="0">
      <selection activeCell="B40" sqref="B40:B41"/>
    </sheetView>
  </sheetViews>
  <sheetFormatPr defaultRowHeight="15.5" x14ac:dyDescent="0.35"/>
  <cols>
    <col min="1" max="1" width="6.08203125" customWidth="1"/>
    <col min="2" max="2" width="35.58203125" customWidth="1"/>
    <col min="3" max="3" width="7.08203125" bestFit="1" customWidth="1"/>
    <col min="4" max="4" width="11.08203125" bestFit="1" customWidth="1"/>
    <col min="5" max="5" width="10" customWidth="1"/>
    <col min="6" max="6" width="11.75" customWidth="1"/>
    <col min="7" max="7" width="11.08203125" bestFit="1" customWidth="1"/>
    <col min="8" max="8" width="7.75" bestFit="1" customWidth="1"/>
    <col min="9" max="9" width="16.58203125" bestFit="1" customWidth="1"/>
  </cols>
  <sheetData>
    <row r="2" spans="1:9" x14ac:dyDescent="0.35">
      <c r="I2" s="29" t="s">
        <v>119</v>
      </c>
    </row>
    <row r="3" spans="1:9" x14ac:dyDescent="0.35">
      <c r="I3" s="29" t="s">
        <v>429</v>
      </c>
    </row>
    <row r="4" spans="1:9" x14ac:dyDescent="0.35"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480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103"/>
      <c r="B8" s="103"/>
      <c r="C8" s="103"/>
      <c r="D8" s="103"/>
      <c r="E8" s="103"/>
      <c r="F8" s="103"/>
      <c r="G8" s="103"/>
      <c r="H8" s="103"/>
      <c r="I8" s="103"/>
    </row>
    <row r="9" spans="1:9" x14ac:dyDescent="0.35">
      <c r="A9" s="107" t="s">
        <v>7</v>
      </c>
      <c r="B9" s="107"/>
      <c r="C9" s="107" t="s">
        <v>179</v>
      </c>
      <c r="D9" s="107" t="s">
        <v>415</v>
      </c>
      <c r="E9" s="107" t="s">
        <v>416</v>
      </c>
      <c r="F9" s="107" t="s">
        <v>417</v>
      </c>
      <c r="G9" s="107" t="s">
        <v>160</v>
      </c>
      <c r="H9" s="107" t="s">
        <v>181</v>
      </c>
      <c r="I9" s="107" t="s">
        <v>182</v>
      </c>
    </row>
    <row r="10" spans="1:9" ht="17" x14ac:dyDescent="0.35">
      <c r="A10" s="108" t="s">
        <v>10</v>
      </c>
      <c r="B10" s="108" t="s">
        <v>11</v>
      </c>
      <c r="C10" s="108" t="s">
        <v>10</v>
      </c>
      <c r="D10" s="108">
        <v>2021</v>
      </c>
      <c r="E10" s="108">
        <v>2021</v>
      </c>
      <c r="F10" s="108">
        <v>2021</v>
      </c>
      <c r="G10" s="108" t="s">
        <v>180</v>
      </c>
      <c r="H10" s="108" t="s">
        <v>453</v>
      </c>
      <c r="I10" s="108" t="s">
        <v>27</v>
      </c>
    </row>
    <row r="11" spans="1:9" x14ac:dyDescent="0.35">
      <c r="A11" s="90"/>
      <c r="C11" s="90"/>
    </row>
    <row r="12" spans="1:9" x14ac:dyDescent="0.35">
      <c r="A12" s="41">
        <v>1</v>
      </c>
      <c r="B12" s="80" t="s">
        <v>183</v>
      </c>
      <c r="C12" s="90"/>
    </row>
    <row r="13" spans="1:9" x14ac:dyDescent="0.35">
      <c r="A13" s="41">
        <f>+A12+1</f>
        <v>2</v>
      </c>
      <c r="B13" s="93" t="s">
        <v>184</v>
      </c>
      <c r="C13" s="94">
        <v>28700</v>
      </c>
      <c r="D13" s="3">
        <v>0</v>
      </c>
      <c r="E13" s="3">
        <v>0</v>
      </c>
      <c r="F13" s="3">
        <f t="shared" ref="F13:F32" si="0">+D13*E13</f>
        <v>0</v>
      </c>
      <c r="G13" s="3">
        <f>SUM(F13)</f>
        <v>0</v>
      </c>
      <c r="H13" s="95">
        <v>0.03</v>
      </c>
      <c r="I13" s="83">
        <f t="shared" ref="I13:I32" si="1">+G13*H13</f>
        <v>0</v>
      </c>
    </row>
    <row r="14" spans="1:9" x14ac:dyDescent="0.35">
      <c r="A14" s="41">
        <f t="shared" ref="A14:A31" si="2">+A13+1</f>
        <v>3</v>
      </c>
      <c r="B14" s="93" t="s">
        <v>185</v>
      </c>
      <c r="C14" s="94">
        <v>28710</v>
      </c>
      <c r="D14" s="2">
        <v>895.21</v>
      </c>
      <c r="E14" s="2" t="s">
        <v>418</v>
      </c>
      <c r="F14" s="2">
        <v>180.86</v>
      </c>
      <c r="G14" s="2">
        <f t="shared" ref="G14:G31" si="3">SUM(D14:F14)</f>
        <v>1076.0700000000002</v>
      </c>
      <c r="H14" s="95">
        <f>+H13</f>
        <v>0.03</v>
      </c>
      <c r="I14" s="2">
        <f>+G14*H14</f>
        <v>32.282100000000007</v>
      </c>
    </row>
    <row r="15" spans="1:9" x14ac:dyDescent="0.35">
      <c r="A15" s="41">
        <f t="shared" si="2"/>
        <v>4</v>
      </c>
      <c r="B15" s="93" t="s">
        <v>186</v>
      </c>
      <c r="C15" s="94">
        <v>28720</v>
      </c>
      <c r="D15" s="2">
        <v>5891.29</v>
      </c>
      <c r="E15" s="2">
        <v>3550.86</v>
      </c>
      <c r="F15" s="2">
        <v>3239.27</v>
      </c>
      <c r="G15" s="2">
        <f t="shared" si="3"/>
        <v>12681.42</v>
      </c>
      <c r="H15" s="95">
        <f t="shared" ref="H15:H32" si="4">+H14</f>
        <v>0.03</v>
      </c>
      <c r="I15" s="2">
        <f t="shared" si="1"/>
        <v>380.44259999999997</v>
      </c>
    </row>
    <row r="16" spans="1:9" x14ac:dyDescent="0.35">
      <c r="A16" s="41">
        <f t="shared" si="2"/>
        <v>5</v>
      </c>
      <c r="B16" s="93" t="s">
        <v>187</v>
      </c>
      <c r="C16" s="94">
        <v>28740</v>
      </c>
      <c r="D16" s="2">
        <v>161614.51999999999</v>
      </c>
      <c r="E16" s="2">
        <v>109254.29</v>
      </c>
      <c r="F16" s="2">
        <v>139210.10999999999</v>
      </c>
      <c r="G16" s="2">
        <f t="shared" si="3"/>
        <v>410078.92</v>
      </c>
      <c r="H16" s="95">
        <f t="shared" si="4"/>
        <v>0.03</v>
      </c>
      <c r="I16" s="2">
        <f t="shared" si="1"/>
        <v>12302.3676</v>
      </c>
    </row>
    <row r="17" spans="1:9" x14ac:dyDescent="0.35">
      <c r="A17" s="41">
        <f t="shared" si="2"/>
        <v>6</v>
      </c>
      <c r="B17" s="93" t="s">
        <v>188</v>
      </c>
      <c r="C17" s="94">
        <v>28750</v>
      </c>
      <c r="D17" s="2">
        <v>40154.25</v>
      </c>
      <c r="E17" s="2">
        <v>34994.47</v>
      </c>
      <c r="F17" s="2">
        <v>30448.62</v>
      </c>
      <c r="G17" s="2">
        <f t="shared" si="3"/>
        <v>105597.34</v>
      </c>
      <c r="H17" s="95">
        <f t="shared" si="4"/>
        <v>0.03</v>
      </c>
      <c r="I17" s="2">
        <f t="shared" si="1"/>
        <v>3167.9201999999996</v>
      </c>
    </row>
    <row r="18" spans="1:9" x14ac:dyDescent="0.35">
      <c r="A18" s="41">
        <f t="shared" si="2"/>
        <v>7</v>
      </c>
      <c r="B18" s="93" t="s">
        <v>189</v>
      </c>
      <c r="C18" s="94">
        <v>28760</v>
      </c>
      <c r="D18" s="2">
        <v>23656.53</v>
      </c>
      <c r="E18" s="2">
        <v>21364.34</v>
      </c>
      <c r="F18" s="2">
        <v>22890.17</v>
      </c>
      <c r="G18" s="2">
        <f t="shared" si="3"/>
        <v>67911.039999999994</v>
      </c>
      <c r="H18" s="95">
        <f t="shared" si="4"/>
        <v>0.03</v>
      </c>
      <c r="I18" s="2">
        <f t="shared" si="1"/>
        <v>2037.3311999999996</v>
      </c>
    </row>
    <row r="19" spans="1:9" x14ac:dyDescent="0.35">
      <c r="A19" s="41">
        <f t="shared" si="2"/>
        <v>8</v>
      </c>
      <c r="B19" s="93" t="s">
        <v>190</v>
      </c>
      <c r="C19" s="94">
        <v>28780</v>
      </c>
      <c r="D19" s="2">
        <v>70272.039999999994</v>
      </c>
      <c r="E19" s="2">
        <v>54330.92</v>
      </c>
      <c r="F19" s="2">
        <v>56658.42</v>
      </c>
      <c r="G19" s="2">
        <f t="shared" si="3"/>
        <v>181261.38</v>
      </c>
      <c r="H19" s="95">
        <f t="shared" si="4"/>
        <v>0.03</v>
      </c>
      <c r="I19" s="2">
        <f t="shared" si="1"/>
        <v>5437.8414000000002</v>
      </c>
    </row>
    <row r="20" spans="1:9" x14ac:dyDescent="0.35">
      <c r="A20" s="41">
        <f t="shared" si="2"/>
        <v>9</v>
      </c>
      <c r="B20" s="93" t="s">
        <v>191</v>
      </c>
      <c r="C20" s="94">
        <v>28790</v>
      </c>
      <c r="D20" s="2">
        <v>39256.5</v>
      </c>
      <c r="E20" s="2">
        <v>31115.19</v>
      </c>
      <c r="F20" s="2">
        <v>26918.29</v>
      </c>
      <c r="G20" s="2">
        <f t="shared" si="3"/>
        <v>97289.98000000001</v>
      </c>
      <c r="H20" s="95">
        <f t="shared" si="4"/>
        <v>0.03</v>
      </c>
      <c r="I20" s="2">
        <f t="shared" si="1"/>
        <v>2918.6994000000004</v>
      </c>
    </row>
    <row r="21" spans="1:9" x14ac:dyDescent="0.35">
      <c r="A21" s="41">
        <f t="shared" si="2"/>
        <v>10</v>
      </c>
      <c r="B21" s="93" t="s">
        <v>192</v>
      </c>
      <c r="C21" s="94">
        <v>28800</v>
      </c>
      <c r="D21" s="2">
        <v>411584.6</v>
      </c>
      <c r="E21" s="2">
        <v>250372.18</v>
      </c>
      <c r="F21" s="2">
        <v>235744.36</v>
      </c>
      <c r="G21" s="2">
        <f t="shared" si="3"/>
        <v>897701.14</v>
      </c>
      <c r="H21" s="95">
        <f t="shared" si="4"/>
        <v>0.03</v>
      </c>
      <c r="I21" s="2">
        <f t="shared" si="1"/>
        <v>26931.034199999998</v>
      </c>
    </row>
    <row r="22" spans="1:9" x14ac:dyDescent="0.35">
      <c r="A22" s="41">
        <f t="shared" si="2"/>
        <v>11</v>
      </c>
      <c r="B22" s="93" t="s">
        <v>193</v>
      </c>
      <c r="C22" s="94">
        <v>28870</v>
      </c>
      <c r="D22" s="2">
        <v>28993.05</v>
      </c>
      <c r="E22" s="2">
        <v>32699.19</v>
      </c>
      <c r="F22" s="2">
        <v>29772.79</v>
      </c>
      <c r="G22" s="2">
        <f t="shared" si="3"/>
        <v>91465.03</v>
      </c>
      <c r="H22" s="95">
        <f t="shared" si="4"/>
        <v>0.03</v>
      </c>
      <c r="I22" s="2">
        <f t="shared" si="1"/>
        <v>2743.9508999999998</v>
      </c>
    </row>
    <row r="23" spans="1:9" x14ac:dyDescent="0.35">
      <c r="A23" s="41">
        <f t="shared" si="2"/>
        <v>12</v>
      </c>
      <c r="B23" s="93" t="s">
        <v>194</v>
      </c>
      <c r="C23" s="94">
        <v>28880</v>
      </c>
      <c r="D23" s="2">
        <v>3900.1</v>
      </c>
      <c r="E23" s="2">
        <v>4145.53</v>
      </c>
      <c r="F23" s="2">
        <v>5995.51</v>
      </c>
      <c r="G23" s="2">
        <f t="shared" si="3"/>
        <v>14041.14</v>
      </c>
      <c r="H23" s="95">
        <f t="shared" si="4"/>
        <v>0.03</v>
      </c>
      <c r="I23" s="2">
        <f t="shared" si="1"/>
        <v>421.23419999999999</v>
      </c>
    </row>
    <row r="24" spans="1:9" x14ac:dyDescent="0.35">
      <c r="A24" s="41">
        <f t="shared" si="2"/>
        <v>13</v>
      </c>
      <c r="B24" s="93" t="s">
        <v>195</v>
      </c>
      <c r="C24" s="94">
        <v>28890</v>
      </c>
      <c r="D24" s="2">
        <v>21506.36</v>
      </c>
      <c r="E24" s="2">
        <v>12272.34</v>
      </c>
      <c r="F24" s="2">
        <v>15581.93</v>
      </c>
      <c r="G24" s="2">
        <f t="shared" si="3"/>
        <v>49360.63</v>
      </c>
      <c r="H24" s="95">
        <f t="shared" si="4"/>
        <v>0.03</v>
      </c>
      <c r="I24" s="2">
        <f t="shared" si="1"/>
        <v>1480.8188999999998</v>
      </c>
    </row>
    <row r="25" spans="1:9" x14ac:dyDescent="0.35">
      <c r="A25" s="41">
        <f t="shared" si="2"/>
        <v>14</v>
      </c>
      <c r="B25" t="s">
        <v>195</v>
      </c>
      <c r="C25" s="94">
        <v>28900</v>
      </c>
      <c r="D25" s="2">
        <v>10756.16</v>
      </c>
      <c r="E25" s="2">
        <v>7889.57</v>
      </c>
      <c r="F25" s="2">
        <v>6820.28</v>
      </c>
      <c r="G25" s="2">
        <f t="shared" si="3"/>
        <v>25466.01</v>
      </c>
      <c r="H25" s="95">
        <f t="shared" si="4"/>
        <v>0.03</v>
      </c>
      <c r="I25" s="2">
        <f t="shared" si="1"/>
        <v>763.98029999999994</v>
      </c>
    </row>
    <row r="26" spans="1:9" x14ac:dyDescent="0.35">
      <c r="A26" s="41">
        <f t="shared" si="2"/>
        <v>15</v>
      </c>
      <c r="B26" s="93" t="s">
        <v>196</v>
      </c>
      <c r="C26" s="94">
        <v>28920</v>
      </c>
      <c r="D26" s="2">
        <v>72867.38</v>
      </c>
      <c r="E26" s="2">
        <v>39108.879999999997</v>
      </c>
      <c r="F26" s="2">
        <v>54670.92</v>
      </c>
      <c r="G26" s="2">
        <f t="shared" si="3"/>
        <v>166647.18</v>
      </c>
      <c r="H26" s="95">
        <f t="shared" si="4"/>
        <v>0.03</v>
      </c>
      <c r="I26" s="2">
        <f t="shared" si="1"/>
        <v>4999.4153999999999</v>
      </c>
    </row>
    <row r="27" spans="1:9" x14ac:dyDescent="0.35">
      <c r="A27" s="41">
        <f t="shared" si="2"/>
        <v>16</v>
      </c>
      <c r="B27" s="93" t="s">
        <v>197</v>
      </c>
      <c r="C27" s="94">
        <v>28930</v>
      </c>
      <c r="D27" s="2">
        <v>53885.19</v>
      </c>
      <c r="E27" s="2">
        <v>51049.47</v>
      </c>
      <c r="F27" s="2">
        <v>47707.28</v>
      </c>
      <c r="G27" s="2">
        <f t="shared" si="3"/>
        <v>152641.94</v>
      </c>
      <c r="H27" s="95">
        <f t="shared" si="4"/>
        <v>0.03</v>
      </c>
      <c r="I27" s="2">
        <f t="shared" si="1"/>
        <v>4579.2582000000002</v>
      </c>
    </row>
    <row r="28" spans="1:9" x14ac:dyDescent="0.35">
      <c r="A28" s="41">
        <f t="shared" si="2"/>
        <v>17</v>
      </c>
      <c r="B28" s="93" t="s">
        <v>198</v>
      </c>
      <c r="C28" s="94">
        <v>28940</v>
      </c>
      <c r="D28" s="2">
        <v>173523.68</v>
      </c>
      <c r="E28" s="2">
        <v>92154.77</v>
      </c>
      <c r="F28" s="2">
        <v>74113.42</v>
      </c>
      <c r="G28" s="2">
        <f t="shared" si="3"/>
        <v>339791.87</v>
      </c>
      <c r="H28" s="95">
        <f t="shared" si="4"/>
        <v>0.03</v>
      </c>
      <c r="I28" s="2">
        <f t="shared" si="1"/>
        <v>10193.756099999999</v>
      </c>
    </row>
    <row r="29" spans="1:9" x14ac:dyDescent="0.35">
      <c r="A29" s="41">
        <f t="shared" si="2"/>
        <v>18</v>
      </c>
      <c r="B29" s="93" t="s">
        <v>199</v>
      </c>
      <c r="C29" s="94">
        <v>29020</v>
      </c>
      <c r="D29" s="2">
        <v>40939.410000000003</v>
      </c>
      <c r="E29" s="2">
        <v>23876.74</v>
      </c>
      <c r="F29" s="2">
        <v>26160.06</v>
      </c>
      <c r="G29" s="2">
        <f t="shared" si="3"/>
        <v>90976.21</v>
      </c>
      <c r="H29" s="95">
        <f t="shared" si="4"/>
        <v>0.03</v>
      </c>
      <c r="I29" s="2">
        <f t="shared" si="1"/>
        <v>2729.2863000000002</v>
      </c>
    </row>
    <row r="30" spans="1:9" x14ac:dyDescent="0.35">
      <c r="A30" s="41">
        <f t="shared" si="2"/>
        <v>19</v>
      </c>
      <c r="B30" s="93" t="s">
        <v>200</v>
      </c>
      <c r="C30" s="94">
        <v>29030</v>
      </c>
      <c r="D30" s="2">
        <v>4293.45</v>
      </c>
      <c r="E30" s="2">
        <v>2808.33</v>
      </c>
      <c r="F30" s="2">
        <v>3026.43</v>
      </c>
      <c r="G30" s="2">
        <f t="shared" si="3"/>
        <v>10128.209999999999</v>
      </c>
      <c r="H30" s="95">
        <f t="shared" si="4"/>
        <v>0.03</v>
      </c>
      <c r="I30" s="2">
        <f>+G30*H30</f>
        <v>303.84629999999999</v>
      </c>
    </row>
    <row r="31" spans="1:9" x14ac:dyDescent="0.35">
      <c r="A31" s="41">
        <f t="shared" si="2"/>
        <v>20</v>
      </c>
      <c r="B31" s="93" t="s">
        <v>201</v>
      </c>
      <c r="C31" s="94">
        <v>29200</v>
      </c>
      <c r="D31" s="2">
        <v>538.16999999999996</v>
      </c>
      <c r="E31" s="2">
        <v>229.3</v>
      </c>
      <c r="F31" s="2" t="s">
        <v>418</v>
      </c>
      <c r="G31" s="2">
        <f t="shared" si="3"/>
        <v>767.47</v>
      </c>
      <c r="H31" s="95">
        <f t="shared" si="4"/>
        <v>0.03</v>
      </c>
      <c r="I31" s="2">
        <f t="shared" si="1"/>
        <v>23.024100000000001</v>
      </c>
    </row>
    <row r="32" spans="1:9" x14ac:dyDescent="0.35">
      <c r="A32" s="41">
        <v>21</v>
      </c>
      <c r="B32" s="93" t="s">
        <v>202</v>
      </c>
      <c r="C32" s="94">
        <v>29350</v>
      </c>
      <c r="D32" s="16">
        <v>1659.68</v>
      </c>
      <c r="E32" s="16">
        <f t="shared" ref="E32" si="5">+E31</f>
        <v>229.3</v>
      </c>
      <c r="F32" s="16">
        <f t="shared" si="0"/>
        <v>380564.62400000001</v>
      </c>
      <c r="G32" s="16">
        <f>SUM(F32)</f>
        <v>380564.62400000001</v>
      </c>
      <c r="H32" s="95">
        <f t="shared" si="4"/>
        <v>0.03</v>
      </c>
      <c r="I32" s="16">
        <f t="shared" si="1"/>
        <v>11416.93872</v>
      </c>
    </row>
    <row r="33" spans="1:9" x14ac:dyDescent="0.35">
      <c r="A33" s="71"/>
      <c r="I33" s="21"/>
    </row>
    <row r="34" spans="1:9" x14ac:dyDescent="0.35">
      <c r="A34" s="41">
        <v>22</v>
      </c>
      <c r="B34" t="s">
        <v>389</v>
      </c>
      <c r="C34" s="90"/>
      <c r="D34" s="23">
        <f>SUM(D13:D33)</f>
        <v>1166187.5699999996</v>
      </c>
      <c r="E34" s="23">
        <f>SUM(E13:E33)</f>
        <v>771445.66999999993</v>
      </c>
      <c r="F34" s="21">
        <f>SUM(F13:F33)</f>
        <v>1159703.3440000003</v>
      </c>
      <c r="G34" s="23">
        <f>SUM(D34:F34)</f>
        <v>3097336.5839999998</v>
      </c>
      <c r="I34" s="117">
        <f>SUM(I13:I32)</f>
        <v>92863.428120000011</v>
      </c>
    </row>
    <row r="35" spans="1:9" x14ac:dyDescent="0.35">
      <c r="A35" s="71"/>
      <c r="I35" s="21"/>
    </row>
    <row r="36" spans="1:9" x14ac:dyDescent="0.35">
      <c r="A36" s="41">
        <v>23</v>
      </c>
      <c r="B36" t="s">
        <v>388</v>
      </c>
      <c r="I36" s="16">
        <f>+I34*0.0765</f>
        <v>7104.0522511800009</v>
      </c>
    </row>
    <row r="37" spans="1:9" x14ac:dyDescent="0.35">
      <c r="A37" s="41"/>
      <c r="I37" s="21"/>
    </row>
    <row r="38" spans="1:9" ht="16" thickBot="1" x14ac:dyDescent="0.4">
      <c r="A38" s="41">
        <v>24</v>
      </c>
      <c r="B38" t="s">
        <v>390</v>
      </c>
      <c r="I38" s="118">
        <f>+I34+I36</f>
        <v>99967.48037118002</v>
      </c>
    </row>
    <row r="39" spans="1:9" ht="16" thickTop="1" x14ac:dyDescent="0.35">
      <c r="I39" s="21"/>
    </row>
    <row r="40" spans="1:9" x14ac:dyDescent="0.35">
      <c r="B40" t="s">
        <v>497</v>
      </c>
    </row>
    <row r="41" spans="1:9" x14ac:dyDescent="0.35">
      <c r="B41" t="s">
        <v>484</v>
      </c>
    </row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A6" sqref="A6:I6"/>
    </sheetView>
  </sheetViews>
  <sheetFormatPr defaultRowHeight="15.5" x14ac:dyDescent="0.35"/>
  <cols>
    <col min="1" max="1" width="6.25" bestFit="1" customWidth="1"/>
    <col min="2" max="2" width="34.5" customWidth="1"/>
    <col min="3" max="3" width="3.5" customWidth="1"/>
    <col min="4" max="4" width="14" customWidth="1"/>
    <col min="5" max="5" width="12.83203125" customWidth="1"/>
    <col min="6" max="6" width="1.58203125" customWidth="1"/>
    <col min="7" max="7" width="12.83203125" customWidth="1"/>
    <col min="8" max="8" width="1.25" customWidth="1"/>
    <col min="9" max="9" width="17.75" customWidth="1"/>
  </cols>
  <sheetData>
    <row r="1" spans="1:9" x14ac:dyDescent="0.35">
      <c r="I1" s="29" t="s">
        <v>119</v>
      </c>
    </row>
    <row r="2" spans="1:9" x14ac:dyDescent="0.35">
      <c r="A2" s="4"/>
      <c r="I2" s="29" t="s">
        <v>142</v>
      </c>
    </row>
    <row r="3" spans="1:9" x14ac:dyDescent="0.35">
      <c r="A3" s="4"/>
      <c r="I3" s="113" t="s">
        <v>458</v>
      </c>
    </row>
    <row r="4" spans="1:9" x14ac:dyDescent="0.35">
      <c r="A4" s="4"/>
      <c r="I4" s="29" t="s">
        <v>106</v>
      </c>
    </row>
    <row r="5" spans="1:9" x14ac:dyDescent="0.35">
      <c r="A5" s="168" t="s">
        <v>146</v>
      </c>
      <c r="B5" s="168"/>
      <c r="C5" s="168"/>
      <c r="D5" s="168"/>
      <c r="E5" s="168"/>
      <c r="F5" s="168"/>
      <c r="G5" s="168"/>
      <c r="H5" s="168"/>
      <c r="I5" s="168"/>
    </row>
    <row r="6" spans="1:9" x14ac:dyDescent="0.35">
      <c r="A6" s="169" t="s">
        <v>219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35">
      <c r="A7" s="169" t="s">
        <v>121</v>
      </c>
      <c r="B7" s="169"/>
      <c r="C7" s="169"/>
      <c r="D7" s="169"/>
      <c r="E7" s="169"/>
      <c r="F7" s="169"/>
      <c r="G7" s="169"/>
      <c r="H7" s="169"/>
      <c r="I7" s="169"/>
    </row>
    <row r="8" spans="1:9" x14ac:dyDescent="0.35">
      <c r="A8" s="4"/>
    </row>
    <row r="9" spans="1:9" x14ac:dyDescent="0.35">
      <c r="A9" s="4"/>
      <c r="D9" s="77"/>
    </row>
    <row r="10" spans="1:9" x14ac:dyDescent="0.35">
      <c r="A10" s="77"/>
      <c r="B10" s="77"/>
      <c r="C10" s="77"/>
      <c r="D10" s="77"/>
      <c r="E10" s="77" t="s">
        <v>34</v>
      </c>
      <c r="G10" s="77" t="s">
        <v>63</v>
      </c>
      <c r="H10" s="77"/>
      <c r="I10" s="77" t="s">
        <v>27</v>
      </c>
    </row>
    <row r="11" spans="1:9" x14ac:dyDescent="0.35">
      <c r="A11" s="77" t="s">
        <v>7</v>
      </c>
      <c r="B11" s="77"/>
      <c r="C11" s="77"/>
      <c r="D11" s="77"/>
      <c r="E11" s="77" t="s">
        <v>33</v>
      </c>
      <c r="G11" s="77" t="s">
        <v>33</v>
      </c>
      <c r="H11" s="77"/>
      <c r="I11" s="77" t="s">
        <v>95</v>
      </c>
    </row>
    <row r="12" spans="1:9" x14ac:dyDescent="0.35">
      <c r="A12" s="76" t="s">
        <v>10</v>
      </c>
      <c r="B12" s="76" t="s">
        <v>11</v>
      </c>
      <c r="C12" s="76"/>
      <c r="D12" s="76" t="s">
        <v>37</v>
      </c>
      <c r="E12" s="76" t="s">
        <v>27</v>
      </c>
      <c r="F12" s="72"/>
      <c r="G12" s="76" t="s">
        <v>27</v>
      </c>
      <c r="H12" s="57"/>
      <c r="I12" s="57" t="s">
        <v>96</v>
      </c>
    </row>
    <row r="13" spans="1:9" x14ac:dyDescent="0.35">
      <c r="A13" s="77"/>
    </row>
    <row r="14" spans="1:9" x14ac:dyDescent="0.35">
      <c r="A14" s="41">
        <v>1</v>
      </c>
      <c r="B14" t="s">
        <v>419</v>
      </c>
      <c r="C14" s="3"/>
      <c r="D14" s="41" t="s">
        <v>469</v>
      </c>
      <c r="E14" s="89">
        <v>420875</v>
      </c>
      <c r="G14" s="3">
        <v>0</v>
      </c>
      <c r="H14" s="3"/>
      <c r="I14" s="3">
        <f>+E14-G14</f>
        <v>420875</v>
      </c>
    </row>
    <row r="15" spans="1:9" x14ac:dyDescent="0.35">
      <c r="D15" s="126"/>
    </row>
    <row r="16" spans="1:9" x14ac:dyDescent="0.35">
      <c r="A16" s="41">
        <v>2</v>
      </c>
      <c r="B16" t="s">
        <v>420</v>
      </c>
      <c r="D16" s="41" t="s">
        <v>469</v>
      </c>
      <c r="E16" s="96">
        <v>1376376</v>
      </c>
      <c r="G16" s="16"/>
      <c r="I16" s="16">
        <f>+E16-G16</f>
        <v>1376376</v>
      </c>
    </row>
    <row r="18" spans="1:9" x14ac:dyDescent="0.35">
      <c r="A18" s="41">
        <v>3</v>
      </c>
      <c r="B18" t="s">
        <v>224</v>
      </c>
      <c r="E18" s="23">
        <f>SUM(E14:E17)</f>
        <v>1797251</v>
      </c>
      <c r="G18" s="23">
        <f>SUM(G14:G17)</f>
        <v>0</v>
      </c>
      <c r="I18" s="23">
        <f>SUM(I14:I17)</f>
        <v>1797251</v>
      </c>
    </row>
    <row r="19" spans="1:9" x14ac:dyDescent="0.35">
      <c r="A19" s="41"/>
    </row>
    <row r="20" spans="1:9" x14ac:dyDescent="0.35">
      <c r="A20" s="41">
        <v>4</v>
      </c>
      <c r="B20" t="s">
        <v>225</v>
      </c>
      <c r="E20" s="3">
        <f>-E18</f>
        <v>-1797251</v>
      </c>
      <c r="G20" s="3">
        <f>-G18</f>
        <v>0</v>
      </c>
      <c r="I20" s="3">
        <f>-I18</f>
        <v>-1797251</v>
      </c>
    </row>
    <row r="21" spans="1:9" x14ac:dyDescent="0.35">
      <c r="A21" s="41"/>
    </row>
    <row r="22" spans="1:9" x14ac:dyDescent="0.35">
      <c r="A22" s="41">
        <v>5</v>
      </c>
      <c r="B22" t="s">
        <v>100</v>
      </c>
      <c r="E22" s="16">
        <f>-E20*0.21</f>
        <v>377422.70999999996</v>
      </c>
      <c r="G22" s="16">
        <f>-G20*0.21</f>
        <v>0</v>
      </c>
      <c r="I22" s="16">
        <f>-I20*0.21</f>
        <v>377422.70999999996</v>
      </c>
    </row>
    <row r="23" spans="1:9" x14ac:dyDescent="0.35">
      <c r="A23" s="41"/>
    </row>
    <row r="24" spans="1:9" x14ac:dyDescent="0.35">
      <c r="A24" s="41">
        <v>6</v>
      </c>
      <c r="B24" t="s">
        <v>222</v>
      </c>
      <c r="E24" s="3">
        <f>+E20+E22</f>
        <v>-1419828.29</v>
      </c>
      <c r="G24" s="3">
        <f>+G20+G22</f>
        <v>0</v>
      </c>
      <c r="I24" s="3">
        <f>+I20+I22</f>
        <v>-1419828.29</v>
      </c>
    </row>
    <row r="25" spans="1:9" x14ac:dyDescent="0.35">
      <c r="A25" s="41"/>
    </row>
    <row r="26" spans="1:9" ht="16" thickBot="1" x14ac:dyDescent="0.4">
      <c r="A26" s="41">
        <v>7</v>
      </c>
      <c r="B26" t="s">
        <v>223</v>
      </c>
      <c r="E26" s="17">
        <f>-E24</f>
        <v>1419828.29</v>
      </c>
      <c r="G26" s="17">
        <f>-G24</f>
        <v>0</v>
      </c>
      <c r="I26" s="17">
        <f>-I24</f>
        <v>1419828.29</v>
      </c>
    </row>
    <row r="27" spans="1:9" ht="16" thickTop="1" x14ac:dyDescent="0.35"/>
    <row r="29" spans="1:9" x14ac:dyDescent="0.35">
      <c r="A29" s="41"/>
      <c r="B29" t="s">
        <v>495</v>
      </c>
    </row>
    <row r="30" spans="1:9" x14ac:dyDescent="0.35">
      <c r="A30" s="41"/>
    </row>
  </sheetData>
  <mergeCells count="3">
    <mergeCell ref="A5:I5"/>
    <mergeCell ref="A6:I6"/>
    <mergeCell ref="A7:I7"/>
  </mergeCells>
  <printOptions horizontalCentered="1"/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2022-04-29T07:00:00+00:00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5FB41E-2D0E-4E7F-9E18-C97A02193962}"/>
</file>

<file path=customXml/itemProps2.xml><?xml version="1.0" encoding="utf-8"?>
<ds:datastoreItem xmlns:ds="http://schemas.openxmlformats.org/officeDocument/2006/customXml" ds:itemID="{DD3CB6CE-3237-48C0-BE29-43FFD90C3E21}"/>
</file>

<file path=customXml/itemProps3.xml><?xml version="1.0" encoding="utf-8"?>
<ds:datastoreItem xmlns:ds="http://schemas.openxmlformats.org/officeDocument/2006/customXml" ds:itemID="{DAC879F0-C983-49B9-BAE1-7F3FD158932D}"/>
</file>

<file path=customXml/itemProps4.xml><?xml version="1.0" encoding="utf-8"?>
<ds:datastoreItem xmlns:ds="http://schemas.openxmlformats.org/officeDocument/2006/customXml" ds:itemID="{4E363467-06D3-4A84-B1DC-9F266E218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MEG-3 Summary</vt:lpstr>
      <vt:lpstr>MEG-4 Results of Operations</vt:lpstr>
      <vt:lpstr>MEG-5 2021 AMA</vt:lpstr>
      <vt:lpstr>WP MEG-5.1 2021 AMA</vt:lpstr>
      <vt:lpstr>MEG-6 Restate 2021 Revenue</vt:lpstr>
      <vt:lpstr>WP MEG-6.1</vt:lpstr>
      <vt:lpstr>MEG-7 Restate 2021 Payroll</vt:lpstr>
      <vt:lpstr>WP MEG-7.1</vt:lpstr>
      <vt:lpstr>MEG-8 Executive Incentives</vt:lpstr>
      <vt:lpstr>MEG-9 BOD Expenses</vt:lpstr>
      <vt:lpstr>MEG-10 2021 EOP Revenue Adjust</vt:lpstr>
      <vt:lpstr>WP MEG-10.1 2021 Customer Growt</vt:lpstr>
      <vt:lpstr>MEG-11 2021 EOP Rate Base</vt:lpstr>
      <vt:lpstr>WP MEG-11.1 2021 EOP Rate Base</vt:lpstr>
      <vt:lpstr>MEG-12 2021 Deprec Exp</vt:lpstr>
      <vt:lpstr>WP MEG-12.1 2021 EOP Depr</vt:lpstr>
      <vt:lpstr>MEG-13 Interest Coord. Adj</vt:lpstr>
      <vt:lpstr>MEG-14 Cost of Capital</vt:lpstr>
      <vt:lpstr>'MEG-11 2021 EOP Rate Base'!Print_Area</vt:lpstr>
      <vt:lpstr>'MEG-12 2021 Deprec Exp'!Print_Area</vt:lpstr>
      <vt:lpstr>'MEG-13 Interest Coord. Adj'!Print_Area</vt:lpstr>
      <vt:lpstr>'MEG-14 Cost of Capital'!Print_Area</vt:lpstr>
      <vt:lpstr>'MEG-3 Summary'!Print_Area</vt:lpstr>
      <vt:lpstr>'MEG-4 Results of Operations'!Print_Area</vt:lpstr>
      <vt:lpstr>'MEG-5 2021 AMA'!Print_Area</vt:lpstr>
      <vt:lpstr>'WP MEG-10.1 2021 Customer Growt'!Print_Area</vt:lpstr>
      <vt:lpstr>'WP MEG-11.1 2021 EOP Rate Base'!Print_Area</vt:lpstr>
      <vt:lpstr>'WP MEG-12.1 2021 EOP Depr'!Print_Area</vt:lpstr>
      <vt:lpstr>'WP MEG-5.1 2021 AMA'!Print_Area</vt:lpstr>
      <vt:lpstr>'WP MEG-6.1'!Print_Area</vt:lpstr>
      <vt:lpstr>'WP MEG-7.1'!Print_Area</vt:lpstr>
      <vt:lpstr>'WP MEG-12.1 2021 EOP Depr'!Print_Titles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Hartman, Brice C (ATG)</cp:lastModifiedBy>
  <cp:lastPrinted>2022-04-28T23:16:40Z</cp:lastPrinted>
  <dcterms:created xsi:type="dcterms:W3CDTF">2020-09-14T22:04:43Z</dcterms:created>
  <dcterms:modified xsi:type="dcterms:W3CDTF">2022-04-29T16:01:04Z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0x0101006E56B4D1795A2E4DB2F0B01679ED314A003E4F6BCA26D4124898A947854461FAE8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