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66925"/>
  <xr:revisionPtr revIDLastSave="0" documentId="13_ncr:1_{F633062B-F971-4DD7-9A0D-FBD9C0F67BFD}" xr6:coauthVersionLast="47" xr6:coauthVersionMax="47" xr10:uidLastSave="{00000000-0000-0000-0000-000000000000}"/>
  <bookViews>
    <workbookView xWindow="-14625" yWindow="-16320" windowWidth="29040" windowHeight="15840" xr2:uid="{00000000-000D-0000-FFFF-FFFF00000000}"/>
  </bookViews>
  <sheets>
    <sheet name="Capital Structure" sheetId="8" r:id="rId1"/>
    <sheet name="Weighted Ratio" sheetId="6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45352.8837268519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1">'Weighted Ratio'!$A:$D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6" l="1"/>
  <c r="W3" i="6" s="1"/>
  <c r="F3" i="6"/>
  <c r="X3" i="6" s="1"/>
  <c r="G3" i="6"/>
  <c r="H3" i="6"/>
  <c r="I3" i="6"/>
  <c r="AA3" i="6" s="1"/>
  <c r="J3" i="6"/>
  <c r="K3" i="6"/>
  <c r="L3" i="6"/>
  <c r="AD3" i="6" s="1"/>
  <c r="M3" i="6"/>
  <c r="N3" i="6"/>
  <c r="AC3" i="6" s="1"/>
  <c r="O3" i="6"/>
  <c r="P3" i="6"/>
  <c r="Q3" i="6"/>
  <c r="R3" i="6"/>
  <c r="S3" i="6"/>
  <c r="T3" i="6"/>
  <c r="U3" i="6"/>
  <c r="V3" i="6"/>
  <c r="Y3" i="6" s="1"/>
  <c r="AB3" i="6"/>
  <c r="AE3" i="6"/>
  <c r="AF3" i="6"/>
  <c r="E4" i="6"/>
  <c r="F4" i="6"/>
  <c r="X4" i="6" s="1"/>
  <c r="G4" i="6"/>
  <c r="Y4" i="6" s="1"/>
  <c r="AK4" i="6" s="1"/>
  <c r="H4" i="6"/>
  <c r="I4" i="6"/>
  <c r="J4" i="6"/>
  <c r="AB4" i="6" s="1"/>
  <c r="K4" i="6"/>
  <c r="AC4" i="6" s="1"/>
  <c r="L4" i="6"/>
  <c r="M4" i="6"/>
  <c r="N4" i="6"/>
  <c r="O4" i="6"/>
  <c r="AD4" i="6" s="1"/>
  <c r="P4" i="6"/>
  <c r="Q4" i="6"/>
  <c r="R4" i="6"/>
  <c r="AG4" i="6" s="1"/>
  <c r="S4" i="6"/>
  <c r="AH4" i="6" s="1"/>
  <c r="T4" i="6"/>
  <c r="U4" i="6"/>
  <c r="V4" i="6"/>
  <c r="W4" i="6"/>
  <c r="AE4" i="6"/>
  <c r="E5" i="6"/>
  <c r="W5" i="6" s="1"/>
  <c r="F5" i="6"/>
  <c r="X5" i="6" s="1"/>
  <c r="G5" i="6"/>
  <c r="H5" i="6"/>
  <c r="I5" i="6"/>
  <c r="AA5" i="6" s="1"/>
  <c r="E7" i="8" s="1"/>
  <c r="J5" i="6"/>
  <c r="AB5" i="6" s="1"/>
  <c r="F7" i="8" s="1"/>
  <c r="K5" i="6"/>
  <c r="L5" i="6"/>
  <c r="M5" i="6"/>
  <c r="AE5" i="6" s="1"/>
  <c r="N5" i="6"/>
  <c r="AC5" i="6" s="1"/>
  <c r="O5" i="6"/>
  <c r="P5" i="6"/>
  <c r="Q5" i="6"/>
  <c r="AF5" i="6" s="1"/>
  <c r="R5" i="6"/>
  <c r="AG5" i="6" s="1"/>
  <c r="S5" i="6"/>
  <c r="T5" i="6"/>
  <c r="U5" i="6"/>
  <c r="V5" i="6"/>
  <c r="AH5" i="6" s="1"/>
  <c r="AD5" i="6"/>
  <c r="E6" i="6"/>
  <c r="W6" i="6" s="1"/>
  <c r="F6" i="6"/>
  <c r="G6" i="6"/>
  <c r="H6" i="6"/>
  <c r="Z6" i="6" s="1"/>
  <c r="D8" i="8" s="1"/>
  <c r="G8" i="8" s="1"/>
  <c r="I6" i="6"/>
  <c r="AA6" i="6" s="1"/>
  <c r="E8" i="8" s="1"/>
  <c r="J6" i="6"/>
  <c r="K6" i="6"/>
  <c r="L6" i="6"/>
  <c r="AD6" i="6" s="1"/>
  <c r="M6" i="6"/>
  <c r="AB6" i="6" s="1"/>
  <c r="F8" i="8" s="1"/>
  <c r="N6" i="6"/>
  <c r="O6" i="6"/>
  <c r="P6" i="6"/>
  <c r="Q6" i="6"/>
  <c r="AF6" i="6" s="1"/>
  <c r="R6" i="6"/>
  <c r="S6" i="6"/>
  <c r="AH6" i="6" s="1"/>
  <c r="T6" i="6"/>
  <c r="U6" i="6"/>
  <c r="AG6" i="6" s="1"/>
  <c r="V6" i="6"/>
  <c r="AC6" i="6"/>
  <c r="E7" i="6"/>
  <c r="F7" i="6"/>
  <c r="G7" i="6"/>
  <c r="Y7" i="6" s="1"/>
  <c r="H7" i="6"/>
  <c r="Z7" i="6" s="1"/>
  <c r="D9" i="8" s="1"/>
  <c r="I7" i="6"/>
  <c r="J7" i="6"/>
  <c r="K7" i="6"/>
  <c r="AC7" i="6" s="1"/>
  <c r="L7" i="6"/>
  <c r="AA7" i="6" s="1"/>
  <c r="E9" i="8" s="1"/>
  <c r="M7" i="6"/>
  <c r="N7" i="6"/>
  <c r="O7" i="6"/>
  <c r="P7" i="6"/>
  <c r="AE7" i="6" s="1"/>
  <c r="Q7" i="6"/>
  <c r="R7" i="6"/>
  <c r="AG7" i="6" s="1"/>
  <c r="S7" i="6"/>
  <c r="AH7" i="6" s="1"/>
  <c r="T7" i="6"/>
  <c r="AF7" i="6" s="1"/>
  <c r="U7" i="6"/>
  <c r="V7" i="6"/>
  <c r="AB7" i="6"/>
  <c r="F9" i="8" s="1"/>
  <c r="W11" i="6"/>
  <c r="X11" i="6"/>
  <c r="AJ11" i="6" s="1"/>
  <c r="Y11" i="6"/>
  <c r="Z11" i="6"/>
  <c r="AA11" i="6"/>
  <c r="AB11" i="6"/>
  <c r="AC11" i="6"/>
  <c r="AI11" i="6" s="1"/>
  <c r="AD11" i="6"/>
  <c r="AE11" i="6"/>
  <c r="AF11" i="6"/>
  <c r="AG11" i="6"/>
  <c r="AH11" i="6"/>
  <c r="AK11" i="6"/>
  <c r="W12" i="6"/>
  <c r="AI12" i="6" s="1"/>
  <c r="X12" i="6"/>
  <c r="Y12" i="6"/>
  <c r="AK12" i="6" s="1"/>
  <c r="Z12" i="6"/>
  <c r="AA12" i="6"/>
  <c r="AB12" i="6"/>
  <c r="AC12" i="6"/>
  <c r="AD12" i="6"/>
  <c r="AJ12" i="6" s="1"/>
  <c r="AE12" i="6"/>
  <c r="AF12" i="6"/>
  <c r="AG12" i="6"/>
  <c r="AH12" i="6"/>
  <c r="W13" i="6"/>
  <c r="AI13" i="6" s="1"/>
  <c r="X13" i="6"/>
  <c r="AJ13" i="6" s="1"/>
  <c r="Y13" i="6"/>
  <c r="Z13" i="6"/>
  <c r="AA13" i="6"/>
  <c r="AB13" i="6"/>
  <c r="AC13" i="6"/>
  <c r="AD13" i="6"/>
  <c r="AE13" i="6"/>
  <c r="AK13" i="6" s="1"/>
  <c r="AF13" i="6"/>
  <c r="AG13" i="6"/>
  <c r="AH13" i="6"/>
  <c r="W14" i="6"/>
  <c r="X14" i="6"/>
  <c r="AJ14" i="6" s="1"/>
  <c r="Y14" i="6"/>
  <c r="AK14" i="6" s="1"/>
  <c r="Z14" i="6"/>
  <c r="AA14" i="6"/>
  <c r="AB14" i="6"/>
  <c r="AC14" i="6"/>
  <c r="AD14" i="6"/>
  <c r="AE14" i="6"/>
  <c r="AF14" i="6"/>
  <c r="AI14" i="6" s="1"/>
  <c r="AG14" i="6"/>
  <c r="AH14" i="6"/>
  <c r="W15" i="6"/>
  <c r="AI15" i="6" s="1"/>
  <c r="X15" i="6"/>
  <c r="Y15" i="6"/>
  <c r="AK15" i="6" s="1"/>
  <c r="Z15" i="6"/>
  <c r="AA15" i="6"/>
  <c r="AB15" i="6"/>
  <c r="AC15" i="6"/>
  <c r="AD15" i="6"/>
  <c r="AE15" i="6"/>
  <c r="AF15" i="6"/>
  <c r="AG15" i="6"/>
  <c r="AC22" i="8" s="1"/>
  <c r="AE22" i="8" s="1"/>
  <c r="AH15" i="6"/>
  <c r="W16" i="6"/>
  <c r="X16" i="6"/>
  <c r="AJ16" i="6" s="1"/>
  <c r="Y16" i="6"/>
  <c r="Z16" i="6"/>
  <c r="D23" i="8" s="1"/>
  <c r="G23" i="8" s="1"/>
  <c r="AA16" i="6"/>
  <c r="AB16" i="6"/>
  <c r="AC16" i="6"/>
  <c r="AD16" i="6"/>
  <c r="AE16" i="6"/>
  <c r="AF16" i="6"/>
  <c r="AG16" i="6"/>
  <c r="AH16" i="6"/>
  <c r="AD23" i="8" s="1"/>
  <c r="W17" i="6"/>
  <c r="X17" i="6"/>
  <c r="Y17" i="6"/>
  <c r="AK17" i="6" s="1"/>
  <c r="Z17" i="6"/>
  <c r="AA17" i="6"/>
  <c r="AJ17" i="6" s="1"/>
  <c r="AB17" i="6"/>
  <c r="AC17" i="6"/>
  <c r="AD17" i="6"/>
  <c r="AE17" i="6"/>
  <c r="AF17" i="6"/>
  <c r="AG17" i="6"/>
  <c r="AH17" i="6"/>
  <c r="AI17" i="6"/>
  <c r="W18" i="6"/>
  <c r="AI18" i="6" s="1"/>
  <c r="X18" i="6"/>
  <c r="Y18" i="6"/>
  <c r="Z18" i="6"/>
  <c r="AA18" i="6"/>
  <c r="AB18" i="6"/>
  <c r="AK18" i="6" s="1"/>
  <c r="AC18" i="6"/>
  <c r="AD18" i="6"/>
  <c r="AE18" i="6"/>
  <c r="AF18" i="6"/>
  <c r="AG18" i="6"/>
  <c r="AH18" i="6"/>
  <c r="AJ18" i="6"/>
  <c r="W19" i="6"/>
  <c r="X19" i="6"/>
  <c r="AJ19" i="6" s="1"/>
  <c r="Y19" i="6"/>
  <c r="Z19" i="6"/>
  <c r="AA19" i="6"/>
  <c r="AB19" i="6"/>
  <c r="AC19" i="6"/>
  <c r="AI19" i="6" s="1"/>
  <c r="AD19" i="6"/>
  <c r="AE19" i="6"/>
  <c r="AF19" i="6"/>
  <c r="AG19" i="6"/>
  <c r="AH19" i="6"/>
  <c r="AK19" i="6"/>
  <c r="W20" i="6"/>
  <c r="AI20" i="6" s="1"/>
  <c r="X20" i="6"/>
  <c r="Y20" i="6"/>
  <c r="AK20" i="6" s="1"/>
  <c r="Z20" i="6"/>
  <c r="AA20" i="6"/>
  <c r="AB20" i="6"/>
  <c r="AC20" i="6"/>
  <c r="AD20" i="6"/>
  <c r="AJ20" i="6" s="1"/>
  <c r="AE20" i="6"/>
  <c r="AF20" i="6"/>
  <c r="AG20" i="6"/>
  <c r="AH20" i="6"/>
  <c r="W21" i="6"/>
  <c r="AI21" i="6" s="1"/>
  <c r="X21" i="6"/>
  <c r="AJ21" i="6" s="1"/>
  <c r="Y21" i="6"/>
  <c r="Z21" i="6"/>
  <c r="AA21" i="6"/>
  <c r="AB21" i="6"/>
  <c r="AC21" i="6"/>
  <c r="AD21" i="6"/>
  <c r="AE21" i="6"/>
  <c r="AK21" i="6" s="1"/>
  <c r="AF21" i="6"/>
  <c r="AG21" i="6"/>
  <c r="AH21" i="6"/>
  <c r="W22" i="6"/>
  <c r="X22" i="6"/>
  <c r="AJ22" i="6" s="1"/>
  <c r="Y22" i="6"/>
  <c r="AK22" i="6" s="1"/>
  <c r="Z22" i="6"/>
  <c r="AA22" i="6"/>
  <c r="AB22" i="6"/>
  <c r="AC22" i="6"/>
  <c r="AD22" i="6"/>
  <c r="AE22" i="6"/>
  <c r="AF22" i="6"/>
  <c r="AB27" i="8" s="1"/>
  <c r="AE27" i="8" s="1"/>
  <c r="AG22" i="6"/>
  <c r="AH22" i="6"/>
  <c r="W23" i="6"/>
  <c r="AI23" i="6" s="1"/>
  <c r="X23" i="6"/>
  <c r="Y23" i="6"/>
  <c r="AK23" i="6" s="1"/>
  <c r="Z23" i="6"/>
  <c r="AA23" i="6"/>
  <c r="AB23" i="6"/>
  <c r="AC23" i="6"/>
  <c r="AD23" i="6"/>
  <c r="AE23" i="6"/>
  <c r="AF23" i="6"/>
  <c r="AG23" i="6"/>
  <c r="AC28" i="8" s="1"/>
  <c r="AE28" i="8" s="1"/>
  <c r="AH23" i="6"/>
  <c r="W24" i="6"/>
  <c r="X24" i="6"/>
  <c r="AJ24" i="6" s="1"/>
  <c r="Y24" i="6"/>
  <c r="Z24" i="6"/>
  <c r="AI24" i="6" s="1"/>
  <c r="AA24" i="6"/>
  <c r="AB24" i="6"/>
  <c r="AC24" i="6"/>
  <c r="AD24" i="6"/>
  <c r="AE24" i="6"/>
  <c r="AF24" i="6"/>
  <c r="AG24" i="6"/>
  <c r="AH24" i="6"/>
  <c r="AD29" i="8" s="1"/>
  <c r="W25" i="6"/>
  <c r="X25" i="6"/>
  <c r="Y25" i="6"/>
  <c r="AK25" i="6" s="1"/>
  <c r="Z25" i="6"/>
  <c r="AA25" i="6"/>
  <c r="AJ25" i="6" s="1"/>
  <c r="AB25" i="6"/>
  <c r="AC25" i="6"/>
  <c r="AD25" i="6"/>
  <c r="AE25" i="6"/>
  <c r="AF25" i="6"/>
  <c r="AG25" i="6"/>
  <c r="AH25" i="6"/>
  <c r="AI25" i="6"/>
  <c r="W26" i="6"/>
  <c r="AI26" i="6" s="1"/>
  <c r="X26" i="6"/>
  <c r="Y26" i="6"/>
  <c r="Z26" i="6"/>
  <c r="AA26" i="6"/>
  <c r="AB26" i="6"/>
  <c r="AK26" i="6" s="1"/>
  <c r="AC26" i="6"/>
  <c r="AD26" i="6"/>
  <c r="AE26" i="6"/>
  <c r="AF26" i="6"/>
  <c r="AG26" i="6"/>
  <c r="AH26" i="6"/>
  <c r="AJ26" i="6"/>
  <c r="W27" i="6"/>
  <c r="X27" i="6"/>
  <c r="AJ27" i="6" s="1"/>
  <c r="Y27" i="6"/>
  <c r="Z27" i="6"/>
  <c r="AA27" i="6"/>
  <c r="AB27" i="6"/>
  <c r="AC27" i="6"/>
  <c r="AI27" i="6" s="1"/>
  <c r="AD27" i="6"/>
  <c r="AE27" i="6"/>
  <c r="AF27" i="6"/>
  <c r="AG27" i="6"/>
  <c r="AH27" i="6"/>
  <c r="AK27" i="6"/>
  <c r="W28" i="6"/>
  <c r="AI28" i="6" s="1"/>
  <c r="X28" i="6"/>
  <c r="Y28" i="6"/>
  <c r="AK28" i="6" s="1"/>
  <c r="Z28" i="6"/>
  <c r="AA28" i="6"/>
  <c r="AB28" i="6"/>
  <c r="AC28" i="6"/>
  <c r="AD28" i="6"/>
  <c r="AJ28" i="6" s="1"/>
  <c r="AE28" i="6"/>
  <c r="AF28" i="6"/>
  <c r="AG28" i="6"/>
  <c r="AH28" i="6"/>
  <c r="W29" i="6"/>
  <c r="AI29" i="6" s="1"/>
  <c r="X29" i="6"/>
  <c r="AJ29" i="6" s="1"/>
  <c r="Y29" i="6"/>
  <c r="Z29" i="6"/>
  <c r="AA29" i="6"/>
  <c r="AB29" i="6"/>
  <c r="AC29" i="6"/>
  <c r="AD29" i="6"/>
  <c r="AE29" i="6"/>
  <c r="AK29" i="6" s="1"/>
  <c r="AF29" i="6"/>
  <c r="AG29" i="6"/>
  <c r="AH29" i="6"/>
  <c r="B5" i="8"/>
  <c r="J5" i="8" s="1"/>
  <c r="R5" i="8" s="1"/>
  <c r="Z5" i="8" s="1"/>
  <c r="C5" i="8"/>
  <c r="K5" i="8" s="1"/>
  <c r="B6" i="8"/>
  <c r="J6" i="8" s="1"/>
  <c r="R6" i="8" s="1"/>
  <c r="Z6" i="8" s="1"/>
  <c r="C6" i="8"/>
  <c r="K6" i="8" s="1"/>
  <c r="J7" i="8"/>
  <c r="R7" i="8" s="1"/>
  <c r="Z7" i="8" s="1"/>
  <c r="K7" i="8"/>
  <c r="L7" i="8" s="1"/>
  <c r="B8" i="8"/>
  <c r="C8" i="8"/>
  <c r="J8" i="8"/>
  <c r="R8" i="8" s="1"/>
  <c r="Z8" i="8" s="1"/>
  <c r="K8" i="8"/>
  <c r="L8" i="8" s="1"/>
  <c r="B9" i="8"/>
  <c r="C9" i="8"/>
  <c r="J9" i="8"/>
  <c r="R9" i="8" s="1"/>
  <c r="Z9" i="8" s="1"/>
  <c r="K9" i="8"/>
  <c r="L9" i="8" s="1"/>
  <c r="D19" i="8"/>
  <c r="E19" i="8"/>
  <c r="F19" i="8"/>
  <c r="G19" i="8"/>
  <c r="J19" i="8"/>
  <c r="N19" i="8" s="1"/>
  <c r="K19" i="8"/>
  <c r="M19" i="8"/>
  <c r="R19" i="8"/>
  <c r="Z19" i="8" s="1"/>
  <c r="S19" i="8"/>
  <c r="AA19" i="8" s="1"/>
  <c r="V19" i="8"/>
  <c r="AB19" i="8"/>
  <c r="AE19" i="8" s="1"/>
  <c r="AC19" i="8"/>
  <c r="AD19" i="8"/>
  <c r="D20" i="8"/>
  <c r="G20" i="8" s="1"/>
  <c r="E20" i="8"/>
  <c r="F20" i="8"/>
  <c r="J20" i="8"/>
  <c r="R20" i="8" s="1"/>
  <c r="K20" i="8"/>
  <c r="S20" i="8" s="1"/>
  <c r="AA20" i="8" s="1"/>
  <c r="AB20" i="8"/>
  <c r="AC20" i="8"/>
  <c r="AD20" i="8"/>
  <c r="AE20" i="8"/>
  <c r="D21" i="8"/>
  <c r="E21" i="8"/>
  <c r="F21" i="8"/>
  <c r="G21" i="8"/>
  <c r="J21" i="8"/>
  <c r="K21" i="8"/>
  <c r="L21" i="8"/>
  <c r="O21" i="8" s="1"/>
  <c r="M21" i="8"/>
  <c r="N21" i="8"/>
  <c r="R21" i="8"/>
  <c r="T21" i="8" s="1"/>
  <c r="S21" i="8"/>
  <c r="AA21" i="8" s="1"/>
  <c r="AC21" i="8"/>
  <c r="AD21" i="8"/>
  <c r="D22" i="8"/>
  <c r="G22" i="8" s="1"/>
  <c r="E22" i="8"/>
  <c r="F22" i="8"/>
  <c r="J22" i="8"/>
  <c r="L22" i="8" s="1"/>
  <c r="K22" i="8"/>
  <c r="S22" i="8" s="1"/>
  <c r="AA22" i="8" s="1"/>
  <c r="AB22" i="8"/>
  <c r="AD22" i="8"/>
  <c r="E23" i="8"/>
  <c r="F23" i="8"/>
  <c r="J23" i="8"/>
  <c r="N23" i="8" s="1"/>
  <c r="K23" i="8"/>
  <c r="L23" i="8"/>
  <c r="M23" i="8"/>
  <c r="R23" i="8"/>
  <c r="Z23" i="8" s="1"/>
  <c r="S23" i="8"/>
  <c r="AA23" i="8" s="1"/>
  <c r="V23" i="8"/>
  <c r="AB23" i="8"/>
  <c r="AE23" i="8" s="1"/>
  <c r="AC23" i="8"/>
  <c r="D24" i="8"/>
  <c r="F24" i="8"/>
  <c r="J24" i="8"/>
  <c r="R24" i="8" s="1"/>
  <c r="K24" i="8"/>
  <c r="S24" i="8" s="1"/>
  <c r="AA24" i="8" s="1"/>
  <c r="N24" i="8"/>
  <c r="AB24" i="8"/>
  <c r="AC24" i="8"/>
  <c r="AD24" i="8"/>
  <c r="AE24" i="8"/>
  <c r="D25" i="8"/>
  <c r="E25" i="8"/>
  <c r="J25" i="8"/>
  <c r="K25" i="8"/>
  <c r="L25" i="8"/>
  <c r="O25" i="8" s="1"/>
  <c r="M25" i="8"/>
  <c r="N25" i="8"/>
  <c r="R25" i="8"/>
  <c r="T25" i="8" s="1"/>
  <c r="S25" i="8"/>
  <c r="AA25" i="8" s="1"/>
  <c r="AB25" i="8"/>
  <c r="AE25" i="8" s="1"/>
  <c r="AC25" i="8"/>
  <c r="AD25" i="8"/>
  <c r="D26" i="8"/>
  <c r="G26" i="8" s="1"/>
  <c r="E26" i="8"/>
  <c r="F26" i="8"/>
  <c r="J26" i="8"/>
  <c r="L26" i="8" s="1"/>
  <c r="K26" i="8"/>
  <c r="S26" i="8" s="1"/>
  <c r="AA26" i="8" s="1"/>
  <c r="AB26" i="8"/>
  <c r="AC26" i="8"/>
  <c r="AD26" i="8"/>
  <c r="AE26" i="8"/>
  <c r="D27" i="8"/>
  <c r="E27" i="8"/>
  <c r="F27" i="8"/>
  <c r="G27" i="8"/>
  <c r="J27" i="8"/>
  <c r="N27" i="8" s="1"/>
  <c r="K27" i="8"/>
  <c r="L27" i="8"/>
  <c r="M27" i="8"/>
  <c r="R27" i="8"/>
  <c r="Z27" i="8" s="1"/>
  <c r="S27" i="8"/>
  <c r="AA27" i="8" s="1"/>
  <c r="V27" i="8"/>
  <c r="AC27" i="8"/>
  <c r="AD27" i="8"/>
  <c r="D28" i="8"/>
  <c r="G28" i="8" s="1"/>
  <c r="E28" i="8"/>
  <c r="F28" i="8"/>
  <c r="J28" i="8"/>
  <c r="R28" i="8" s="1"/>
  <c r="K28" i="8"/>
  <c r="S28" i="8" s="1"/>
  <c r="AA28" i="8" s="1"/>
  <c r="N28" i="8"/>
  <c r="AB28" i="8"/>
  <c r="AD28" i="8"/>
  <c r="E29" i="8"/>
  <c r="F29" i="8"/>
  <c r="J29" i="8"/>
  <c r="K29" i="8"/>
  <c r="L29" i="8"/>
  <c r="O29" i="8" s="1"/>
  <c r="M29" i="8"/>
  <c r="N29" i="8"/>
  <c r="R29" i="8"/>
  <c r="T29" i="8" s="1"/>
  <c r="S29" i="8"/>
  <c r="AA29" i="8" s="1"/>
  <c r="AB29" i="8"/>
  <c r="AE29" i="8" s="1"/>
  <c r="AC29" i="8"/>
  <c r="D30" i="8"/>
  <c r="E30" i="8"/>
  <c r="J30" i="8"/>
  <c r="L30" i="8" s="1"/>
  <c r="K30" i="8"/>
  <c r="S30" i="8" s="1"/>
  <c r="AA30" i="8" s="1"/>
  <c r="AB30" i="8"/>
  <c r="AC30" i="8"/>
  <c r="AD30" i="8"/>
  <c r="AE30" i="8"/>
  <c r="D31" i="8"/>
  <c r="E31" i="8"/>
  <c r="F31" i="8"/>
  <c r="G31" i="8"/>
  <c r="J31" i="8"/>
  <c r="N31" i="8" s="1"/>
  <c r="K31" i="8"/>
  <c r="M31" i="8"/>
  <c r="R31" i="8"/>
  <c r="Z31" i="8" s="1"/>
  <c r="S31" i="8"/>
  <c r="AA31" i="8" s="1"/>
  <c r="V31" i="8"/>
  <c r="AB31" i="8"/>
  <c r="AE31" i="8" s="1"/>
  <c r="AC31" i="8"/>
  <c r="AD31" i="8"/>
  <c r="D32" i="8"/>
  <c r="G32" i="8" s="1"/>
  <c r="E32" i="8"/>
  <c r="F32" i="8"/>
  <c r="J32" i="8"/>
  <c r="R32" i="8" s="1"/>
  <c r="K32" i="8"/>
  <c r="S32" i="8" s="1"/>
  <c r="AA32" i="8" s="1"/>
  <c r="N32" i="8"/>
  <c r="AB32" i="8"/>
  <c r="AC32" i="8"/>
  <c r="AD32" i="8"/>
  <c r="AE32" i="8"/>
  <c r="D33" i="8"/>
  <c r="E33" i="8"/>
  <c r="F33" i="8"/>
  <c r="G33" i="8"/>
  <c r="J33" i="8"/>
  <c r="K33" i="8"/>
  <c r="L33" i="8"/>
  <c r="M33" i="8"/>
  <c r="R33" i="8"/>
  <c r="T33" i="8" s="1"/>
  <c r="S33" i="8"/>
  <c r="AA33" i="8" s="1"/>
  <c r="AB33" i="8"/>
  <c r="AE33" i="8" s="1"/>
  <c r="AC33" i="8"/>
  <c r="AD33" i="8"/>
  <c r="J36" i="8"/>
  <c r="R36" i="8"/>
  <c r="Z36" i="8" s="1"/>
  <c r="J37" i="8"/>
  <c r="R37" i="8"/>
  <c r="Z37" i="8"/>
  <c r="M5" i="8" l="1"/>
  <c r="L5" i="8"/>
  <c r="N5" i="8"/>
  <c r="S5" i="8"/>
  <c r="O27" i="8"/>
  <c r="AI6" i="6"/>
  <c r="T32" i="8"/>
  <c r="U32" i="8"/>
  <c r="V32" i="8"/>
  <c r="Z32" i="8"/>
  <c r="T28" i="8"/>
  <c r="W28" i="8" s="1"/>
  <c r="V28" i="8"/>
  <c r="Z28" i="8"/>
  <c r="U28" i="8"/>
  <c r="T20" i="8"/>
  <c r="V20" i="8"/>
  <c r="U20" i="8"/>
  <c r="Z20" i="8"/>
  <c r="O7" i="8"/>
  <c r="G9" i="8"/>
  <c r="AJ5" i="6"/>
  <c r="U24" i="8"/>
  <c r="T24" i="8"/>
  <c r="V24" i="8"/>
  <c r="Z24" i="8"/>
  <c r="O9" i="8"/>
  <c r="O23" i="8"/>
  <c r="AK7" i="6"/>
  <c r="W21" i="8"/>
  <c r="G24" i="8"/>
  <c r="L6" i="8"/>
  <c r="N6" i="8"/>
  <c r="M6" i="8"/>
  <c r="S6" i="8"/>
  <c r="E24" i="8"/>
  <c r="X7" i="6"/>
  <c r="Y6" i="6"/>
  <c r="Z5" i="6"/>
  <c r="D7" i="8" s="1"/>
  <c r="G7" i="8" s="1"/>
  <c r="AA4" i="6"/>
  <c r="AJ4" i="6" s="1"/>
  <c r="L31" i="8"/>
  <c r="O31" i="8" s="1"/>
  <c r="AB21" i="8"/>
  <c r="AE21" i="8" s="1"/>
  <c r="N20" i="8"/>
  <c r="L19" i="8"/>
  <c r="O19" i="8" s="1"/>
  <c r="F6" i="8"/>
  <c r="F5" i="8"/>
  <c r="AK24" i="6"/>
  <c r="AJ23" i="6"/>
  <c r="AI22" i="6"/>
  <c r="AK16" i="6"/>
  <c r="AJ15" i="6"/>
  <c r="W7" i="6"/>
  <c r="AI7" i="6" s="1"/>
  <c r="X6" i="6"/>
  <c r="AJ6" i="6" s="1"/>
  <c r="Y5" i="6"/>
  <c r="AK5" i="6" s="1"/>
  <c r="Z4" i="6"/>
  <c r="D6" i="8" s="1"/>
  <c r="F25" i="8"/>
  <c r="G25" i="8" s="1"/>
  <c r="M32" i="8"/>
  <c r="U31" i="8"/>
  <c r="M28" i="8"/>
  <c r="U27" i="8"/>
  <c r="M24" i="8"/>
  <c r="U23" i="8"/>
  <c r="M20" i="8"/>
  <c r="U19" i="8"/>
  <c r="S9" i="8"/>
  <c r="S8" i="8"/>
  <c r="S7" i="8"/>
  <c r="E5" i="8"/>
  <c r="AD7" i="6"/>
  <c r="AE6" i="6"/>
  <c r="AH3" i="6"/>
  <c r="AK3" i="6" s="1"/>
  <c r="Z3" i="6"/>
  <c r="AI3" i="6" s="1"/>
  <c r="Z33" i="8"/>
  <c r="N33" i="8"/>
  <c r="O33" i="8" s="1"/>
  <c r="L32" i="8"/>
  <c r="O32" i="8" s="1"/>
  <c r="T31" i="8"/>
  <c r="R30" i="8"/>
  <c r="F30" i="8"/>
  <c r="G30" i="8" s="1"/>
  <c r="Z29" i="8"/>
  <c r="D29" i="8"/>
  <c r="G29" i="8" s="1"/>
  <c r="L28" i="8"/>
  <c r="O28" i="8" s="1"/>
  <c r="T27" i="8"/>
  <c r="W27" i="8" s="1"/>
  <c r="R26" i="8"/>
  <c r="Z25" i="8"/>
  <c r="L24" i="8"/>
  <c r="O24" i="8" s="1"/>
  <c r="T23" i="8"/>
  <c r="W23" i="8" s="1"/>
  <c r="R22" i="8"/>
  <c r="Z21" i="8"/>
  <c r="L20" i="8"/>
  <c r="O20" i="8" s="1"/>
  <c r="T19" i="8"/>
  <c r="D5" i="8"/>
  <c r="AI16" i="6"/>
  <c r="AF4" i="6"/>
  <c r="AG3" i="6"/>
  <c r="AJ3" i="6" s="1"/>
  <c r="V25" i="8"/>
  <c r="N22" i="8"/>
  <c r="V21" i="8"/>
  <c r="N9" i="8"/>
  <c r="N8" i="8"/>
  <c r="N7" i="8"/>
  <c r="N30" i="8"/>
  <c r="V29" i="8"/>
  <c r="N26" i="8"/>
  <c r="U33" i="8"/>
  <c r="W33" i="8" s="1"/>
  <c r="M30" i="8"/>
  <c r="O30" i="8" s="1"/>
  <c r="U29" i="8"/>
  <c r="W29" i="8" s="1"/>
  <c r="M26" i="8"/>
  <c r="O26" i="8" s="1"/>
  <c r="U25" i="8"/>
  <c r="W25" i="8" s="1"/>
  <c r="M22" i="8"/>
  <c r="O22" i="8" s="1"/>
  <c r="U21" i="8"/>
  <c r="M9" i="8"/>
  <c r="M8" i="8"/>
  <c r="O8" i="8" s="1"/>
  <c r="M7" i="8"/>
  <c r="V33" i="8"/>
  <c r="V9" i="8" l="1"/>
  <c r="AA9" i="8"/>
  <c r="T9" i="8"/>
  <c r="U9" i="8"/>
  <c r="T5" i="8"/>
  <c r="U5" i="8"/>
  <c r="V5" i="8"/>
  <c r="AA5" i="8"/>
  <c r="V8" i="8"/>
  <c r="AA8" i="8"/>
  <c r="T8" i="8"/>
  <c r="W8" i="8" s="1"/>
  <c r="U8" i="8"/>
  <c r="V22" i="8"/>
  <c r="Z22" i="8"/>
  <c r="T22" i="8"/>
  <c r="W22" i="8" s="1"/>
  <c r="U22" i="8"/>
  <c r="N12" i="8"/>
  <c r="N13" i="8"/>
  <c r="N14" i="8"/>
  <c r="O6" i="8"/>
  <c r="W24" i="8"/>
  <c r="L12" i="8"/>
  <c r="L13" i="8"/>
  <c r="L14" i="8"/>
  <c r="O5" i="8"/>
  <c r="V30" i="8"/>
  <c r="Z30" i="8"/>
  <c r="U30" i="8"/>
  <c r="T30" i="8"/>
  <c r="W30" i="8" s="1"/>
  <c r="F12" i="8"/>
  <c r="F13" i="8"/>
  <c r="F14" i="8"/>
  <c r="AK6" i="6"/>
  <c r="AI5" i="6"/>
  <c r="W20" i="8"/>
  <c r="M12" i="8"/>
  <c r="M13" i="8"/>
  <c r="M14" i="8"/>
  <c r="D12" i="8"/>
  <c r="D13" i="8"/>
  <c r="D14" i="8"/>
  <c r="G5" i="8"/>
  <c r="W31" i="8"/>
  <c r="E13" i="8"/>
  <c r="AJ7" i="6"/>
  <c r="AI4" i="6"/>
  <c r="T6" i="8"/>
  <c r="U6" i="8"/>
  <c r="V6" i="8"/>
  <c r="AA6" i="8"/>
  <c r="V26" i="8"/>
  <c r="Z26" i="8"/>
  <c r="T26" i="8"/>
  <c r="W26" i="8" s="1"/>
  <c r="U26" i="8"/>
  <c r="E6" i="8"/>
  <c r="G6" i="8" s="1"/>
  <c r="W32" i="8"/>
  <c r="W19" i="8"/>
  <c r="V7" i="8"/>
  <c r="AA7" i="8"/>
  <c r="T7" i="8"/>
  <c r="U7" i="8"/>
  <c r="V12" i="8" l="1"/>
  <c r="V13" i="8"/>
  <c r="V14" i="8"/>
  <c r="W7" i="8"/>
  <c r="E14" i="8"/>
  <c r="U12" i="8"/>
  <c r="U13" i="8"/>
  <c r="U14" i="8"/>
  <c r="AB7" i="8"/>
  <c r="AC7" i="8"/>
  <c r="AD7" i="8"/>
  <c r="T12" i="8"/>
  <c r="T13" i="8"/>
  <c r="T14" i="8"/>
  <c r="W5" i="8"/>
  <c r="AD6" i="8"/>
  <c r="AB6" i="8"/>
  <c r="AC6" i="8"/>
  <c r="E12" i="8"/>
  <c r="W9" i="8"/>
  <c r="G14" i="8"/>
  <c r="G12" i="8"/>
  <c r="G13" i="8"/>
  <c r="AB8" i="8"/>
  <c r="AE8" i="8" s="1"/>
  <c r="AC8" i="8"/>
  <c r="AD8" i="8"/>
  <c r="AB9" i="8"/>
  <c r="AC9" i="8"/>
  <c r="AD9" i="8"/>
  <c r="W6" i="8"/>
  <c r="O12" i="8"/>
  <c r="O13" i="8"/>
  <c r="O14" i="8"/>
  <c r="AD5" i="8"/>
  <c r="AB5" i="8"/>
  <c r="AC5" i="8"/>
  <c r="W13" i="8" l="1"/>
  <c r="W12" i="8"/>
  <c r="W14" i="8"/>
  <c r="AC12" i="8"/>
  <c r="AC13" i="8"/>
  <c r="AC14" i="8"/>
  <c r="AE5" i="8"/>
  <c r="AB12" i="8"/>
  <c r="AB13" i="8"/>
  <c r="AB14" i="8"/>
  <c r="AE9" i="8"/>
  <c r="AD12" i="8"/>
  <c r="AD13" i="8"/>
  <c r="AD14" i="8"/>
  <c r="AE6" i="8"/>
  <c r="AE7" i="8"/>
  <c r="AE12" i="8" l="1"/>
  <c r="AE13" i="8"/>
  <c r="AE14" i="8"/>
</calcChain>
</file>

<file path=xl/sharedStrings.xml><?xml version="1.0" encoding="utf-8"?>
<sst xmlns="http://schemas.openxmlformats.org/spreadsheetml/2006/main" count="188" uniqueCount="74">
  <si>
    <t>CAPITAL STRUCTURE ANALYSIS</t>
  </si>
  <si>
    <t>COMMON EQUITY RATIO [1]</t>
  </si>
  <si>
    <t>LONG-TERM DEBT RATIO [1]</t>
  </si>
  <si>
    <t>PREFERRED EQUITY RATIO [1]</t>
  </si>
  <si>
    <t>SHORT-TERM DEBT RATIO [1]</t>
  </si>
  <si>
    <t>Proxy Group Company</t>
  </si>
  <si>
    <t>Ticker</t>
  </si>
  <si>
    <t>Northwest Natural Gas Company</t>
  </si>
  <si>
    <t>NWN</t>
  </si>
  <si>
    <t>Proxy Group</t>
  </si>
  <si>
    <t>MEAN</t>
  </si>
  <si>
    <t>LOW</t>
  </si>
  <si>
    <t>HIGH</t>
  </si>
  <si>
    <t>COMMON EQUITY RATIO - UTILITY OPERATING COMPANIES</t>
  </si>
  <si>
    <t>LONG-TERM DEBT RATIO - UTILITY OPERATING COMPANIES</t>
  </si>
  <si>
    <t>PREFERRED EQUITY RATIO - UTILITY OPERATING COMPANIES</t>
  </si>
  <si>
    <t>SHORT-TERM DEBT RATIO - UTILITY OPERATING COMPANIES</t>
  </si>
  <si>
    <t>Company Name</t>
  </si>
  <si>
    <t>Atmos Energy Corporation</t>
  </si>
  <si>
    <t>ATO</t>
  </si>
  <si>
    <t>Northern Indiana Public Service Company LLC</t>
  </si>
  <si>
    <t>NI</t>
  </si>
  <si>
    <t>Columbia Gas of Kentucky, Inc.</t>
  </si>
  <si>
    <t>Columbia Gas of Maryland, Inc.</t>
  </si>
  <si>
    <t>Columbia Gas of Ohio, Inc.</t>
  </si>
  <si>
    <t>Columbia Gas of Pennsylvania, Inc.</t>
  </si>
  <si>
    <t>Columbia Gas of Virginia, Inc.</t>
  </si>
  <si>
    <t>Kansas Gas Service Company, Inc.</t>
  </si>
  <si>
    <t>OGS</t>
  </si>
  <si>
    <t>Oklahoma Natural Gas Company</t>
  </si>
  <si>
    <t>Texas Gas Service Company, Inc.</t>
  </si>
  <si>
    <t>Spire Alabama Inc.</t>
  </si>
  <si>
    <t>SR</t>
  </si>
  <si>
    <t>Spire Gulf Inc.</t>
  </si>
  <si>
    <t>Spire Mississippi Inc.</t>
  </si>
  <si>
    <t>Spire Missouri Inc.</t>
  </si>
  <si>
    <t>Notes:</t>
  </si>
  <si>
    <t>[1] Ratios are weighted by actual common capital, preferred equity, long-term debt and short-term debt of Operating Subsidiaries.</t>
  </si>
  <si>
    <t>Preferred Stock Issued 
($000)</t>
  </si>
  <si>
    <t>Total Proprietary Capital_x000D_
($000)</t>
  </si>
  <si>
    <t>Long-term Debt
($000)</t>
  </si>
  <si>
    <t>Current Portion of Long-term Debt ($000)</t>
  </si>
  <si>
    <t>Short-term Debt / Notes Payable ($000)</t>
  </si>
  <si>
    <t>Short-term Notes Payable to Associated Companies ($000)</t>
  </si>
  <si>
    <t>Preferred Equity Ratio</t>
  </si>
  <si>
    <t>Common Equity Ratio</t>
  </si>
  <si>
    <t>Long-Term Debt Ratio</t>
  </si>
  <si>
    <t>Short-Term Debt Ratio</t>
  </si>
  <si>
    <t>Check</t>
  </si>
  <si>
    <t>NiSource Inc.</t>
  </si>
  <si>
    <t>One Gas Inc.</t>
  </si>
  <si>
    <t>Spire Inc.</t>
  </si>
  <si>
    <t>State</t>
  </si>
  <si>
    <t>Opco Name</t>
  </si>
  <si>
    <t>Total Preferred Stock Capital
($000)</t>
  </si>
  <si>
    <t>Total Proprietary Capital
($000)</t>
  </si>
  <si>
    <t>Total Long-term Debt_x000D_
($000)</t>
  </si>
  <si>
    <t>Current Portion of Long-term Debt</t>
  </si>
  <si>
    <t>CO, KS, KY, LA, MS, TN, TX, VA</t>
  </si>
  <si>
    <t>Pennsylvania</t>
  </si>
  <si>
    <t>Texas</t>
  </si>
  <si>
    <t>Indiana</t>
  </si>
  <si>
    <t>Virginia</t>
  </si>
  <si>
    <t>Kentucky</t>
  </si>
  <si>
    <t>Maryland</t>
  </si>
  <si>
    <t>Ohio</t>
  </si>
  <si>
    <t>Oregon/Washington</t>
  </si>
  <si>
    <t>Kansas</t>
  </si>
  <si>
    <t>Oklahoma</t>
  </si>
  <si>
    <t>Alabama</t>
  </si>
  <si>
    <t>Mississippi</t>
  </si>
  <si>
    <t>Missouri</t>
  </si>
  <si>
    <t>3-yr Avg.</t>
  </si>
  <si>
    <t>[2] Natural Gas, Electric and Water operating subsidiaries where data was unable to be obtained for 2022, 2021 and 2020 were removed from the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</si>
</sst>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mm\ d\,\ 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0" tint="-0.249977111117893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2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4" fillId="0" borderId="0"/>
    <xf numFmtId="0" fontId="2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  <xf numFmtId="0" fontId="6" fillId="0" borderId="0"/>
    <xf numFmtId="0" fontId="11" fillId="0" borderId="0"/>
    <xf numFmtId="0" fontId="1" fillId="0" borderId="0"/>
    <xf numFmtId="0" fontId="12" fillId="0" borderId="0"/>
    <xf numFmtId="0" fontId="13" fillId="0" borderId="0"/>
    <xf numFmtId="0" fontId="6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3" fillId="0" borderId="0" applyNumberFormat="0" applyBorder="0" applyProtection="0">
      <alignment vertical="center"/>
    </xf>
  </cellStyleXfs>
  <cellXfs count="127">
    <xf numFmtId="0" fontId="0" fillId="0" borderId="0" xfId="0"/>
    <xf numFmtId="0" fontId="5" fillId="0" borderId="0" xfId="0" applyFont="1" applyAlignment="1">
      <alignment horizontal="center" wrapText="1"/>
    </xf>
    <xf numFmtId="0" fontId="7" fillId="0" borderId="0" xfId="4" applyFont="1" applyAlignment="1">
      <alignment horizontal="left" wrapText="1"/>
    </xf>
    <xf numFmtId="0" fontId="7" fillId="0" borderId="4" xfId="4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4" fillId="0" borderId="0" xfId="6" applyAlignment="1">
      <alignment horizontal="center"/>
    </xf>
    <xf numFmtId="0" fontId="7" fillId="0" borderId="4" xfId="4" applyFont="1" applyBorder="1" applyAlignment="1">
      <alignment horizontal="center" wrapText="1"/>
    </xf>
    <xf numFmtId="164" fontId="6" fillId="4" borderId="0" xfId="1" applyNumberFormat="1" applyFont="1" applyFill="1" applyAlignment="1">
      <alignment horizontal="right" vertical="top"/>
    </xf>
    <xf numFmtId="0" fontId="7" fillId="4" borderId="0" xfId="4" applyFont="1" applyFill="1" applyAlignment="1">
      <alignment horizontal="center" wrapText="1"/>
    </xf>
    <xf numFmtId="0" fontId="7" fillId="6" borderId="0" xfId="4" applyFont="1" applyFill="1" applyAlignment="1">
      <alignment horizontal="center" wrapText="1"/>
    </xf>
    <xf numFmtId="164" fontId="6" fillId="6" borderId="0" xfId="1" applyNumberFormat="1" applyFont="1" applyFill="1" applyAlignment="1">
      <alignment horizontal="right" vertical="top"/>
    </xf>
    <xf numFmtId="164" fontId="6" fillId="2" borderId="0" xfId="1" applyNumberFormat="1" applyFont="1" applyFill="1" applyAlignment="1">
      <alignment horizontal="right" vertical="top"/>
    </xf>
    <xf numFmtId="0" fontId="7" fillId="2" borderId="0" xfId="4" applyFont="1" applyFill="1" applyAlignment="1">
      <alignment horizontal="center" wrapText="1"/>
    </xf>
    <xf numFmtId="0" fontId="1" fillId="0" borderId="0" xfId="11" applyFont="1"/>
    <xf numFmtId="0" fontId="1" fillId="0" borderId="0" xfId="1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5" borderId="0" xfId="4" applyFont="1" applyFill="1" applyAlignment="1">
      <alignment horizontal="center" wrapText="1"/>
    </xf>
    <xf numFmtId="0" fontId="7" fillId="7" borderId="0" xfId="4" applyFont="1" applyFill="1" applyAlignment="1">
      <alignment horizontal="center" wrapText="1"/>
    </xf>
    <xf numFmtId="0" fontId="7" fillId="3" borderId="0" xfId="4" applyFont="1" applyFill="1" applyAlignment="1">
      <alignment horizontal="center" wrapText="1"/>
    </xf>
    <xf numFmtId="0" fontId="1" fillId="0" borderId="0" xfId="3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6" fillId="0" borderId="0" xfId="13" applyFont="1"/>
    <xf numFmtId="0" fontId="1" fillId="0" borderId="0" xfId="6" applyFont="1" applyAlignment="1">
      <alignment horizontal="center"/>
    </xf>
    <xf numFmtId="0" fontId="1" fillId="0" borderId="4" xfId="0" applyFont="1" applyBorder="1" applyAlignment="1">
      <alignment horizontal="left" wrapText="1"/>
    </xf>
    <xf numFmtId="10" fontId="6" fillId="0" borderId="0" xfId="10" applyNumberFormat="1" applyFont="1" applyFill="1" applyBorder="1" applyAlignment="1">
      <alignment horizontal="center"/>
    </xf>
    <xf numFmtId="10" fontId="6" fillId="0" borderId="4" xfId="10" applyNumberFormat="1" applyFont="1" applyFill="1" applyBorder="1" applyAlignment="1">
      <alignment horizontal="center"/>
    </xf>
    <xf numFmtId="0" fontId="6" fillId="0" borderId="0" xfId="16"/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Alignment="1">
      <alignment horizontal="left" vertical="center"/>
    </xf>
    <xf numFmtId="164" fontId="6" fillId="4" borderId="0" xfId="1" applyNumberFormat="1" applyFont="1" applyFill="1" applyAlignment="1">
      <alignment horizontal="right" vertical="center"/>
    </xf>
    <xf numFmtId="164" fontId="6" fillId="2" borderId="0" xfId="1" applyNumberFormat="1" applyFont="1" applyFill="1" applyAlignment="1">
      <alignment horizontal="right" vertical="center"/>
    </xf>
    <xf numFmtId="164" fontId="6" fillId="6" borderId="0" xfId="1" applyNumberFormat="1" applyFont="1" applyFill="1" applyAlignment="1">
      <alignment horizontal="right" vertical="center"/>
    </xf>
    <xf numFmtId="10" fontId="6" fillId="5" borderId="0" xfId="2" applyNumberFormat="1" applyFont="1" applyFill="1" applyAlignment="1">
      <alignment vertical="center"/>
    </xf>
    <xf numFmtId="10" fontId="6" fillId="2" borderId="0" xfId="2" applyNumberFormat="1" applyFont="1" applyFill="1" applyAlignment="1">
      <alignment vertical="center"/>
    </xf>
    <xf numFmtId="10" fontId="6" fillId="7" borderId="0" xfId="2" applyNumberFormat="1" applyFont="1" applyFill="1" applyAlignment="1">
      <alignment vertical="center"/>
    </xf>
    <xf numFmtId="10" fontId="6" fillId="3" borderId="0" xfId="2" applyNumberFormat="1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7" fillId="8" borderId="0" xfId="4" applyFont="1" applyFill="1" applyAlignment="1">
      <alignment horizontal="center" wrapText="1"/>
    </xf>
    <xf numFmtId="164" fontId="6" fillId="8" borderId="0" xfId="1" applyNumberFormat="1" applyFont="1" applyFill="1" applyAlignment="1">
      <alignment horizontal="right" vertical="top"/>
    </xf>
    <xf numFmtId="164" fontId="6" fillId="8" borderId="0" xfId="1" applyNumberFormat="1" applyFont="1" applyFill="1" applyAlignment="1">
      <alignment horizontal="right" vertical="center"/>
    </xf>
    <xf numFmtId="10" fontId="6" fillId="8" borderId="0" xfId="2" applyNumberFormat="1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4" xfId="3" applyFont="1" applyBorder="1" applyAlignment="1">
      <alignment horizontal="center"/>
    </xf>
    <xf numFmtId="0" fontId="7" fillId="6" borderId="0" xfId="4" applyFont="1" applyFill="1" applyAlignment="1">
      <alignment horizontal="center" wrapText="1"/>
    </xf>
    <xf numFmtId="0" fontId="7" fillId="8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7" fillId="4" borderId="0" xfId="4" applyFont="1" applyFill="1" applyBorder="1" applyAlignment="1">
      <alignment horizontal="center" wrapText="1"/>
    </xf>
    <xf numFmtId="0" fontId="6" fillId="0" borderId="0" xfId="16" applyFill="1"/>
    <xf numFmtId="0" fontId="16" fillId="0" borderId="0" xfId="20" applyAlignment="1">
      <alignment vertical="center" wrapText="1"/>
    </xf>
    <xf numFmtId="0" fontId="1" fillId="0" borderId="0" xfId="0" applyFont="1" applyAlignment="1">
      <alignment horizontal="left" wrapText="1"/>
    </xf>
    <xf numFmtId="0" fontId="7" fillId="2" borderId="0" xfId="4" applyFont="1" applyFill="1" applyAlignment="1">
      <alignment horizontal="center" wrapText="1"/>
    </xf>
    <xf numFmtId="0" fontId="7" fillId="8" borderId="0" xfId="4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13" applyFont="1" applyFill="1"/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9" applyFill="1" applyAlignment="1">
      <alignment horizontal="center"/>
    </xf>
    <xf numFmtId="0" fontId="1" fillId="0" borderId="0" xfId="11" applyFont="1" applyFill="1"/>
    <xf numFmtId="0" fontId="1" fillId="0" borderId="0" xfId="11" applyFont="1" applyFill="1" applyAlignment="1">
      <alignment horizontal="center"/>
    </xf>
    <xf numFmtId="0" fontId="1" fillId="0" borderId="1" xfId="11" applyFont="1" applyFill="1" applyBorder="1"/>
    <xf numFmtId="0" fontId="1" fillId="0" borderId="1" xfId="11" applyFont="1" applyFill="1" applyBorder="1" applyAlignment="1">
      <alignment horizontal="center"/>
    </xf>
    <xf numFmtId="10" fontId="1" fillId="0" borderId="1" xfId="17" applyNumberFormat="1" applyFont="1" applyFill="1" applyBorder="1" applyAlignment="1">
      <alignment horizontal="center"/>
    </xf>
    <xf numFmtId="10" fontId="1" fillId="0" borderId="0" xfId="17" applyNumberFormat="1" applyFont="1" applyFill="1" applyAlignment="1">
      <alignment horizontal="center"/>
    </xf>
    <xf numFmtId="0" fontId="1" fillId="0" borderId="5" xfId="11" applyFont="1" applyFill="1" applyBorder="1"/>
    <xf numFmtId="0" fontId="1" fillId="0" borderId="5" xfId="11" applyFont="1" applyFill="1" applyBorder="1" applyAlignment="1">
      <alignment horizontal="center"/>
    </xf>
    <xf numFmtId="10" fontId="1" fillId="0" borderId="5" xfId="17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10" fontId="1" fillId="0" borderId="0" xfId="9" applyNumberForma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6" fillId="0" borderId="0" xfId="13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3" applyFont="1" applyBorder="1" applyAlignment="1">
      <alignment horizontal="center"/>
    </xf>
    <xf numFmtId="0" fontId="6" fillId="0" borderId="0" xfId="0" applyFont="1" applyFill="1"/>
    <xf numFmtId="0" fontId="6" fillId="0" borderId="4" xfId="8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3" applyFont="1" applyBorder="1" applyAlignment="1">
      <alignment horizontal="center"/>
    </xf>
    <xf numFmtId="10" fontId="6" fillId="0" borderId="1" xfId="10" applyNumberFormat="1" applyFont="1" applyFill="1" applyBorder="1" applyAlignment="1">
      <alignment horizontal="center"/>
    </xf>
    <xf numFmtId="0" fontId="1" fillId="0" borderId="0" xfId="3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3" applyFont="1" applyFill="1" applyAlignment="1">
      <alignment horizontal="center"/>
    </xf>
    <xf numFmtId="1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8" borderId="0" xfId="4" applyFont="1" applyFill="1" applyAlignment="1">
      <alignment horizontal="center" vertical="center" wrapText="1"/>
    </xf>
    <xf numFmtId="0" fontId="7" fillId="8" borderId="4" xfId="4" applyFont="1" applyFill="1" applyBorder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0" fontId="7" fillId="3" borderId="4" xfId="4" applyFont="1" applyFill="1" applyBorder="1" applyAlignment="1">
      <alignment horizontal="center" vertical="center" wrapText="1"/>
    </xf>
    <xf numFmtId="165" fontId="7" fillId="4" borderId="0" xfId="4" applyNumberFormat="1" applyFont="1" applyFill="1" applyAlignment="1">
      <alignment horizontal="center" vertical="center" wrapText="1"/>
    </xf>
    <xf numFmtId="0" fontId="7" fillId="2" borderId="0" xfId="4" applyFont="1" applyFill="1" applyAlignment="1">
      <alignment horizontal="center" vertical="center" wrapText="1"/>
    </xf>
    <xf numFmtId="0" fontId="7" fillId="6" borderId="0" xfId="4" applyFont="1" applyFill="1" applyAlignment="1">
      <alignment horizontal="center" vertical="center" wrapText="1"/>
    </xf>
    <xf numFmtId="0" fontId="7" fillId="4" borderId="4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5" borderId="0" xfId="4" applyFont="1" applyFill="1" applyAlignment="1">
      <alignment horizontal="center" vertical="center" wrapText="1"/>
    </xf>
    <xf numFmtId="10" fontId="7" fillId="5" borderId="4" xfId="4" applyNumberFormat="1" applyFont="1" applyFill="1" applyBorder="1" applyAlignment="1">
      <alignment horizontal="center" vertical="center" wrapText="1"/>
    </xf>
    <xf numFmtId="0" fontId="7" fillId="7" borderId="0" xfId="4" applyFont="1" applyFill="1" applyAlignment="1">
      <alignment horizontal="center" vertical="center" wrapText="1"/>
    </xf>
    <xf numFmtId="0" fontId="7" fillId="7" borderId="4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</cellXfs>
  <cellStyles count="22">
    <cellStyle name="Currency" xfId="1" builtinId="4"/>
    <cellStyle name="Hyperlink" xfId="20" builtinId="8"/>
    <cellStyle name="Normal" xfId="0" builtinId="0"/>
    <cellStyle name="Normal 10 10 3 2" xfId="13" xr:uid="{00000000-0005-0000-0000-000003000000}"/>
    <cellStyle name="Normal 10 21 3" xfId="16" xr:uid="{00000000-0005-0000-0000-000004000000}"/>
    <cellStyle name="Normal 195 2" xfId="7" xr:uid="{00000000-0005-0000-0000-000005000000}"/>
    <cellStyle name="Normal 195 2 2" xfId="19" xr:uid="{00000000-0005-0000-0000-000006000000}"/>
    <cellStyle name="Normal 2" xfId="3" xr:uid="{00000000-0005-0000-0000-000007000000}"/>
    <cellStyle name="Normal 2 10 2" xfId="11" xr:uid="{00000000-0005-0000-0000-000008000000}"/>
    <cellStyle name="Normal 250" xfId="17" xr:uid="{00000000-0005-0000-0000-000009000000}"/>
    <cellStyle name="Normal 3" xfId="5" xr:uid="{00000000-0005-0000-0000-00000A000000}"/>
    <cellStyle name="Normal 4" xfId="12" xr:uid="{00000000-0005-0000-0000-00000B000000}"/>
    <cellStyle name="Normal 5" xfId="4" xr:uid="{00000000-0005-0000-0000-00000C000000}"/>
    <cellStyle name="Normal 5 10 3" xfId="8" xr:uid="{00000000-0005-0000-0000-00000D000000}"/>
    <cellStyle name="Normal 6" xfId="6" xr:uid="{00000000-0005-0000-0000-00000E000000}"/>
    <cellStyle name="Normal 6 2 5" xfId="9" xr:uid="{00000000-0005-0000-0000-00000F000000}"/>
    <cellStyle name="Normal 7" xfId="14" xr:uid="{00000000-0005-0000-0000-000010000000}"/>
    <cellStyle name="Normal 8" xfId="15" xr:uid="{00000000-0005-0000-0000-000011000000}"/>
    <cellStyle name="Normal 9" xfId="21" xr:uid="{00000000-0005-0000-0000-000012000000}"/>
    <cellStyle name="Percent" xfId="2" builtinId="5"/>
    <cellStyle name="Percent 6 4 2" xfId="10" xr:uid="{00000000-0005-0000-0000-000014000000}"/>
    <cellStyle name="Percent 6 4 2 5" xfId="18" xr:uid="{00000000-0005-0000-0000-000015000000}"/>
  </cellStyles>
  <dxfs count="2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ABEEA"/>
      <color rgb="FFC10F92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54"/>
  <sheetViews>
    <sheetView tabSelected="1" zoomScale="90" zoomScaleNormal="90" zoomScaleSheetLayoutView="85" workbookViewId="0">
      <selection activeCell="D22" sqref="D22"/>
    </sheetView>
  </sheetViews>
  <sheetFormatPr defaultColWidth="9.1796875" defaultRowHeight="13" x14ac:dyDescent="0.3"/>
  <cols>
    <col min="1" max="1" width="1.7265625" style="1" customWidth="1"/>
    <col min="2" max="2" width="43" style="1" customWidth="1"/>
    <col min="3" max="3" width="10.54296875" style="17" customWidth="1"/>
    <col min="4" max="4" width="10.54296875" style="65" customWidth="1"/>
    <col min="5" max="5" width="10.54296875" style="17" customWidth="1"/>
    <col min="6" max="6" width="12.26953125" style="17" customWidth="1"/>
    <col min="7" max="7" width="11" style="17" customWidth="1"/>
    <col min="8" max="8" width="2.26953125" style="1" customWidth="1"/>
    <col min="9" max="9" width="2" style="1" customWidth="1"/>
    <col min="10" max="10" width="39.54296875" style="1" customWidth="1"/>
    <col min="11" max="11" width="9.54296875" style="17" customWidth="1"/>
    <col min="12" max="12" width="10.54296875" style="65" customWidth="1"/>
    <col min="13" max="13" width="10.54296875" style="17" customWidth="1"/>
    <col min="14" max="14" width="11.54296875" style="17" customWidth="1"/>
    <col min="15" max="15" width="14.81640625" style="17" customWidth="1"/>
    <col min="16" max="17" width="1.7265625" style="1" customWidth="1"/>
    <col min="18" max="18" width="40.1796875" style="1" customWidth="1"/>
    <col min="19" max="19" width="11.81640625" style="17" customWidth="1"/>
    <col min="20" max="20" width="11.81640625" style="65" customWidth="1"/>
    <col min="21" max="21" width="11.81640625" style="17" customWidth="1"/>
    <col min="22" max="22" width="11" style="17" customWidth="1"/>
    <col min="23" max="23" width="10" style="17" customWidth="1"/>
    <col min="24" max="25" width="2.7265625" style="1" customWidth="1"/>
    <col min="26" max="26" width="39.54296875" style="1" customWidth="1"/>
    <col min="27" max="27" width="11.81640625" style="17" customWidth="1"/>
    <col min="28" max="28" width="11.81640625" style="65" customWidth="1"/>
    <col min="29" max="29" width="11.81640625" style="17" customWidth="1"/>
    <col min="30" max="30" width="11" style="17" customWidth="1"/>
    <col min="31" max="31" width="10" style="17" customWidth="1"/>
    <col min="32" max="32" width="2.7265625" style="1" customWidth="1"/>
    <col min="33" max="16384" width="9.1796875" style="1"/>
  </cols>
  <sheetData>
    <row r="1" spans="1:31" x14ac:dyDescent="0.3">
      <c r="A1" s="56"/>
      <c r="B1" s="109" t="s">
        <v>0</v>
      </c>
      <c r="C1" s="109"/>
      <c r="D1" s="109"/>
      <c r="E1" s="109"/>
      <c r="F1" s="109"/>
      <c r="G1" s="109"/>
      <c r="H1" s="71"/>
      <c r="I1" s="71"/>
      <c r="J1" s="109" t="s">
        <v>0</v>
      </c>
      <c r="K1" s="109"/>
      <c r="L1" s="109"/>
      <c r="M1" s="109"/>
      <c r="N1" s="109"/>
      <c r="O1" s="109"/>
      <c r="P1" s="71"/>
      <c r="Q1" s="71"/>
      <c r="R1" s="109" t="s">
        <v>0</v>
      </c>
      <c r="S1" s="109"/>
      <c r="T1" s="109"/>
      <c r="U1" s="109"/>
      <c r="V1" s="109"/>
      <c r="W1" s="109"/>
      <c r="X1" s="56"/>
      <c r="Y1" s="56"/>
      <c r="Z1" s="109" t="s">
        <v>0</v>
      </c>
      <c r="AA1" s="109"/>
      <c r="AB1" s="109"/>
      <c r="AC1" s="109"/>
      <c r="AD1" s="109"/>
      <c r="AE1" s="109"/>
    </row>
    <row r="2" spans="1:31" x14ac:dyDescent="0.3">
      <c r="A2" s="56"/>
      <c r="B2" s="72"/>
      <c r="C2" s="72"/>
      <c r="D2" s="72"/>
      <c r="E2" s="72"/>
      <c r="F2" s="72"/>
      <c r="G2" s="72"/>
      <c r="H2" s="71"/>
      <c r="I2" s="71"/>
      <c r="J2" s="72"/>
      <c r="K2" s="72"/>
      <c r="L2" s="72"/>
      <c r="M2" s="72"/>
      <c r="N2" s="72"/>
      <c r="O2" s="72"/>
      <c r="P2" s="71"/>
      <c r="Q2" s="71"/>
      <c r="R2" s="72"/>
      <c r="S2" s="72"/>
      <c r="T2" s="72"/>
      <c r="U2" s="72"/>
      <c r="V2" s="72"/>
      <c r="W2" s="72"/>
      <c r="X2" s="56"/>
      <c r="Y2" s="56"/>
      <c r="Z2" s="72"/>
      <c r="AA2" s="72"/>
      <c r="AB2" s="72"/>
      <c r="AC2" s="72"/>
      <c r="AD2" s="72"/>
      <c r="AE2" s="72"/>
    </row>
    <row r="3" spans="1:31" x14ac:dyDescent="0.3">
      <c r="A3" s="56"/>
      <c r="B3" s="110" t="s">
        <v>1</v>
      </c>
      <c r="C3" s="110"/>
      <c r="D3" s="110"/>
      <c r="E3" s="110"/>
      <c r="F3" s="110"/>
      <c r="G3" s="109"/>
      <c r="H3" s="71"/>
      <c r="I3" s="71"/>
      <c r="J3" s="110" t="s">
        <v>2</v>
      </c>
      <c r="K3" s="110"/>
      <c r="L3" s="110"/>
      <c r="M3" s="110"/>
      <c r="N3" s="110"/>
      <c r="O3" s="109"/>
      <c r="P3" s="71"/>
      <c r="Q3" s="71"/>
      <c r="R3" s="110" t="s">
        <v>3</v>
      </c>
      <c r="S3" s="110"/>
      <c r="T3" s="110"/>
      <c r="U3" s="110"/>
      <c r="V3" s="110"/>
      <c r="W3" s="109"/>
      <c r="X3" s="56"/>
      <c r="Y3" s="56"/>
      <c r="Z3" s="110" t="s">
        <v>4</v>
      </c>
      <c r="AA3" s="110"/>
      <c r="AB3" s="110"/>
      <c r="AC3" s="110"/>
      <c r="AD3" s="110"/>
      <c r="AE3" s="109"/>
    </row>
    <row r="4" spans="1:31" x14ac:dyDescent="0.3">
      <c r="A4" s="56"/>
      <c r="B4" s="73" t="s">
        <v>5</v>
      </c>
      <c r="C4" s="74" t="s">
        <v>6</v>
      </c>
      <c r="D4" s="74">
        <v>2022</v>
      </c>
      <c r="E4" s="74">
        <v>2021</v>
      </c>
      <c r="F4" s="95">
        <v>2020</v>
      </c>
      <c r="G4" s="74" t="s">
        <v>72</v>
      </c>
      <c r="H4" s="71"/>
      <c r="I4" s="71"/>
      <c r="J4" s="73" t="s">
        <v>5</v>
      </c>
      <c r="K4" s="74" t="s">
        <v>6</v>
      </c>
      <c r="L4" s="74">
        <v>2022</v>
      </c>
      <c r="M4" s="74">
        <v>2021</v>
      </c>
      <c r="N4" s="95">
        <v>2020</v>
      </c>
      <c r="O4" s="74" t="s">
        <v>72</v>
      </c>
      <c r="P4" s="71"/>
      <c r="Q4" s="71"/>
      <c r="R4" s="73" t="s">
        <v>5</v>
      </c>
      <c r="S4" s="74" t="s">
        <v>6</v>
      </c>
      <c r="T4" s="74">
        <v>2022</v>
      </c>
      <c r="U4" s="74">
        <v>2021</v>
      </c>
      <c r="V4" s="95">
        <v>2020</v>
      </c>
      <c r="W4" s="74" t="s">
        <v>72</v>
      </c>
      <c r="X4" s="56"/>
      <c r="Y4" s="56"/>
      <c r="Z4" s="73" t="s">
        <v>5</v>
      </c>
      <c r="AA4" s="74" t="s">
        <v>6</v>
      </c>
      <c r="AB4" s="74">
        <v>2022</v>
      </c>
      <c r="AC4" s="74">
        <v>2021</v>
      </c>
      <c r="AD4" s="95">
        <v>2020</v>
      </c>
      <c r="AE4" s="74" t="s">
        <v>72</v>
      </c>
    </row>
    <row r="5" spans="1:31" s="20" customFormat="1" ht="12.5" x14ac:dyDescent="0.25">
      <c r="A5" s="75"/>
      <c r="B5" s="67" t="str">
        <f>'Weighted Ratio'!A3</f>
        <v>Atmos Energy Corporation</v>
      </c>
      <c r="C5" s="76" t="str">
        <f>'Weighted Ratio'!D3</f>
        <v>ATO</v>
      </c>
      <c r="D5" s="32">
        <f>INDEX('Weighted Ratio'!$Z$3:$Z$7,MATCH('Capital Structure'!$C5,'Weighted Ratio'!$D$3:$D$7,0))</f>
        <v>0.60014182581046494</v>
      </c>
      <c r="E5" s="32">
        <f>INDEX('Weighted Ratio'!$AA$3:$AA$7,MATCH('Capital Structure'!$C5,'Weighted Ratio'!$D$3:$D$7,0))</f>
        <v>0.59882505093752592</v>
      </c>
      <c r="F5" s="32">
        <f>INDEX('Weighted Ratio'!$AB$3:$AB$7,MATCH('Capital Structure'!$C5,'Weighted Ratio'!$D$3:$D$7,0))</f>
        <v>0.58311375099208396</v>
      </c>
      <c r="G5" s="32">
        <f t="shared" ref="G5" si="0">AVERAGE(D5:F5)</f>
        <v>0.59402687591335823</v>
      </c>
      <c r="H5" s="75"/>
      <c r="I5" s="75"/>
      <c r="J5" s="67" t="str">
        <f t="shared" ref="J5" si="1">B5</f>
        <v>Atmos Energy Corporation</v>
      </c>
      <c r="K5" s="76" t="str">
        <f t="shared" ref="K5" si="2">C5</f>
        <v>ATO</v>
      </c>
      <c r="L5" s="32">
        <f>INDEX('Weighted Ratio'!$AC$3:$AC$7,MATCH('Capital Structure'!$K5,'Weighted Ratio'!$D$3:$D$7,0))</f>
        <v>0.39985817418953506</v>
      </c>
      <c r="M5" s="32">
        <f>INDEX('Weighted Ratio'!$AD$3:$AD$7,MATCH('Capital Structure'!$K5,'Weighted Ratio'!$D$3:$D$7,0))</f>
        <v>0.40117494906247414</v>
      </c>
      <c r="N5" s="32">
        <f>INDEX('Weighted Ratio'!$AE$3:$AE$7,MATCH('Capital Structure'!$K5,'Weighted Ratio'!$D$3:$D$7,0))</f>
        <v>0.4168862490079161</v>
      </c>
      <c r="O5" s="32">
        <f t="shared" ref="O5" si="3">AVERAGE(L5:N5)</f>
        <v>0.40597312408664177</v>
      </c>
      <c r="P5" s="75"/>
      <c r="Q5" s="75"/>
      <c r="R5" s="67" t="str">
        <f t="shared" ref="R5" si="4">J5</f>
        <v>Atmos Energy Corporation</v>
      </c>
      <c r="S5" s="76" t="str">
        <f t="shared" ref="S5" si="5">K5</f>
        <v>ATO</v>
      </c>
      <c r="T5" s="32">
        <f>INDEX('Weighted Ratio'!W$3:W$7,MATCH('Capital Structure'!$S5,'Weighted Ratio'!$D$3:$D$7,0))</f>
        <v>0</v>
      </c>
      <c r="U5" s="32">
        <f>INDEX('Weighted Ratio'!X$3:X$7,MATCH('Capital Structure'!$S5,'Weighted Ratio'!$D$3:$D$7,0))</f>
        <v>0</v>
      </c>
      <c r="V5" s="32">
        <f>INDEX('Weighted Ratio'!Y$3:Y$7,MATCH('Capital Structure'!$S5,'Weighted Ratio'!$D$3:$D$7,0))</f>
        <v>0</v>
      </c>
      <c r="W5" s="32">
        <f t="shared" ref="W5" si="6">AVERAGE(T5:V5)</f>
        <v>0</v>
      </c>
      <c r="X5" s="75"/>
      <c r="Y5" s="75"/>
      <c r="Z5" s="67" t="str">
        <f t="shared" ref="Z5" si="7">R5</f>
        <v>Atmos Energy Corporation</v>
      </c>
      <c r="AA5" s="76" t="str">
        <f t="shared" ref="AA5" si="8">S5</f>
        <v>ATO</v>
      </c>
      <c r="AB5" s="32">
        <f>INDEX('Weighted Ratio'!AF$3:AF$7,MATCH('Capital Structure'!$AA5,'Weighted Ratio'!$D$3:$D$7,0))</f>
        <v>0</v>
      </c>
      <c r="AC5" s="32">
        <f>INDEX('Weighted Ratio'!AG$3:AG$7,MATCH('Capital Structure'!$AA5,'Weighted Ratio'!$D$3:$D$7,0))</f>
        <v>0</v>
      </c>
      <c r="AD5" s="32">
        <f>INDEX('Weighted Ratio'!AH$3:AH$7,MATCH('Capital Structure'!$AA5,'Weighted Ratio'!$D$3:$D$7,0))</f>
        <v>0</v>
      </c>
      <c r="AE5" s="32">
        <f t="shared" ref="AE5" si="9">AVERAGE(AB5:AD5)</f>
        <v>0</v>
      </c>
    </row>
    <row r="6" spans="1:31" s="20" customFormat="1" ht="12.5" x14ac:dyDescent="0.25">
      <c r="A6" s="75"/>
      <c r="B6" s="67" t="str">
        <f>'Weighted Ratio'!A4</f>
        <v>NiSource Inc.</v>
      </c>
      <c r="C6" s="76" t="str">
        <f>'Weighted Ratio'!D4</f>
        <v>NI</v>
      </c>
      <c r="D6" s="32">
        <f>INDEX('Weighted Ratio'!$Z$3:$Z$7,MATCH('Capital Structure'!$C6,'Weighted Ratio'!$D$3:$D$7,0))</f>
        <v>0.54174347668113221</v>
      </c>
      <c r="E6" s="32">
        <f>INDEX('Weighted Ratio'!$AA$3:$AA$7,MATCH('Capital Structure'!$C6,'Weighted Ratio'!$D$3:$D$7,0))</f>
        <v>0.54853300870334054</v>
      </c>
      <c r="F6" s="32">
        <f>INDEX('Weighted Ratio'!$AB$3:$AB$7,MATCH('Capital Structure'!$C6,'Weighted Ratio'!$D$3:$D$7,0))</f>
        <v>0.54425319759431012</v>
      </c>
      <c r="G6" s="32">
        <f t="shared" ref="G6:G9" si="10">AVERAGE(D6:F6)</f>
        <v>0.54484322765959436</v>
      </c>
      <c r="H6" s="75"/>
      <c r="I6" s="75"/>
      <c r="J6" s="67" t="str">
        <f t="shared" ref="J6:J9" si="11">B6</f>
        <v>NiSource Inc.</v>
      </c>
      <c r="K6" s="76" t="str">
        <f t="shared" ref="K6:K9" si="12">C6</f>
        <v>NI</v>
      </c>
      <c r="L6" s="32">
        <f>INDEX('Weighted Ratio'!$AC$3:$AC$7,MATCH('Capital Structure'!$K6,'Weighted Ratio'!$D$3:$D$7,0))</f>
        <v>0.45825652331886774</v>
      </c>
      <c r="M6" s="32">
        <f>INDEX('Weighted Ratio'!$AD$3:$AD$7,MATCH('Capital Structure'!$K6,'Weighted Ratio'!$D$3:$D$7,0))</f>
        <v>0.45146699129665935</v>
      </c>
      <c r="N6" s="32">
        <f>INDEX('Weighted Ratio'!$AE$3:$AE$7,MATCH('Capital Structure'!$K6,'Weighted Ratio'!$D$3:$D$7,0))</f>
        <v>0.45574680240568988</v>
      </c>
      <c r="O6" s="32">
        <f t="shared" ref="O6:O9" si="13">AVERAGE(L6:N6)</f>
        <v>0.45515677234040569</v>
      </c>
      <c r="P6" s="75"/>
      <c r="Q6" s="75"/>
      <c r="R6" s="67" t="str">
        <f t="shared" ref="R6:R9" si="14">J6</f>
        <v>NiSource Inc.</v>
      </c>
      <c r="S6" s="76" t="str">
        <f t="shared" ref="S6:S9" si="15">K6</f>
        <v>NI</v>
      </c>
      <c r="T6" s="32">
        <f>INDEX('Weighted Ratio'!W$3:W$7,MATCH('Capital Structure'!$S6,'Weighted Ratio'!$D$3:$D$7,0))</f>
        <v>0</v>
      </c>
      <c r="U6" s="32">
        <f>INDEX('Weighted Ratio'!X$3:X$7,MATCH('Capital Structure'!$S6,'Weighted Ratio'!$D$3:$D$7,0))</f>
        <v>0</v>
      </c>
      <c r="V6" s="32">
        <f>INDEX('Weighted Ratio'!Y$3:Y$7,MATCH('Capital Structure'!$S6,'Weighted Ratio'!$D$3:$D$7,0))</f>
        <v>0</v>
      </c>
      <c r="W6" s="32">
        <f t="shared" ref="W6:W9" si="16">AVERAGE(T6:V6)</f>
        <v>0</v>
      </c>
      <c r="X6" s="75"/>
      <c r="Y6" s="75"/>
      <c r="Z6" s="67" t="str">
        <f t="shared" ref="Z6:Z9" si="17">R6</f>
        <v>NiSource Inc.</v>
      </c>
      <c r="AA6" s="76" t="str">
        <f t="shared" ref="AA6:AA9" si="18">S6</f>
        <v>NI</v>
      </c>
      <c r="AB6" s="32">
        <f>INDEX('Weighted Ratio'!AF$3:AF$7,MATCH('Capital Structure'!$AA6,'Weighted Ratio'!$D$3:$D$7,0))</f>
        <v>0</v>
      </c>
      <c r="AC6" s="32">
        <f>INDEX('Weighted Ratio'!AG$3:AG$7,MATCH('Capital Structure'!$AA6,'Weighted Ratio'!$D$3:$D$7,0))</f>
        <v>0</v>
      </c>
      <c r="AD6" s="32">
        <f>INDEX('Weighted Ratio'!AH$3:AH$7,MATCH('Capital Structure'!$AA6,'Weighted Ratio'!$D$3:$D$7,0))</f>
        <v>0</v>
      </c>
      <c r="AE6" s="32">
        <f t="shared" ref="AE6:AE9" si="19">AVERAGE(AB6:AD6)</f>
        <v>0</v>
      </c>
    </row>
    <row r="7" spans="1:31" s="20" customFormat="1" ht="12.5" x14ac:dyDescent="0.25">
      <c r="A7" s="75"/>
      <c r="B7" s="67" t="s">
        <v>7</v>
      </c>
      <c r="C7" s="76" t="s">
        <v>8</v>
      </c>
      <c r="D7" s="32">
        <f>INDEX('Weighted Ratio'!$Z$3:$Z$7,MATCH('Capital Structure'!$C7,'Weighted Ratio'!$D$3:$D$7,0))</f>
        <v>0.47717593158995347</v>
      </c>
      <c r="E7" s="32">
        <f>INDEX('Weighted Ratio'!$AA$3:$AA$7,MATCH('Capital Structure'!$C7,'Weighted Ratio'!$D$3:$D$7,0))</f>
        <v>0.44079332606448823</v>
      </c>
      <c r="F7" s="32">
        <f>INDEX('Weighted Ratio'!$AB$3:$AB$7,MATCH('Capital Structure'!$C7,'Weighted Ratio'!$D$3:$D$7,0))</f>
        <v>0.41922215336136781</v>
      </c>
      <c r="G7" s="32">
        <f t="shared" si="10"/>
        <v>0.44573047033860319</v>
      </c>
      <c r="H7" s="75"/>
      <c r="I7" s="75"/>
      <c r="J7" s="67" t="str">
        <f t="shared" si="11"/>
        <v>Northwest Natural Gas Company</v>
      </c>
      <c r="K7" s="76" t="str">
        <f t="shared" si="12"/>
        <v>NWN</v>
      </c>
      <c r="L7" s="32">
        <f>INDEX('Weighted Ratio'!$AC$3:$AC$7,MATCH('Capital Structure'!$K7,'Weighted Ratio'!$D$3:$D$7,0))</f>
        <v>0.45463136671383231</v>
      </c>
      <c r="M7" s="32">
        <f>INDEX('Weighted Ratio'!$AD$3:$AD$7,MATCH('Capital Structure'!$K7,'Weighted Ratio'!$D$3:$D$7,0))</f>
        <v>0.44851062616001736</v>
      </c>
      <c r="N7" s="32">
        <f>INDEX('Weighted Ratio'!$AE$3:$AE$7,MATCH('Capital Structure'!$K7,'Weighted Ratio'!$D$3:$D$7,0))</f>
        <v>0.46448163185084496</v>
      </c>
      <c r="O7" s="32">
        <f t="shared" si="13"/>
        <v>0.45587454157489821</v>
      </c>
      <c r="P7" s="75"/>
      <c r="Q7" s="75"/>
      <c r="R7" s="67" t="str">
        <f t="shared" si="14"/>
        <v>Northwest Natural Gas Company</v>
      </c>
      <c r="S7" s="76" t="str">
        <f t="shared" si="15"/>
        <v>NWN</v>
      </c>
      <c r="T7" s="32">
        <f>INDEX('Weighted Ratio'!W$3:W$7,MATCH('Capital Structure'!$S7,'Weighted Ratio'!$D$3:$D$7,0))</f>
        <v>0</v>
      </c>
      <c r="U7" s="32">
        <f>INDEX('Weighted Ratio'!X$3:X$7,MATCH('Capital Structure'!$S7,'Weighted Ratio'!$D$3:$D$7,0))</f>
        <v>0</v>
      </c>
      <c r="V7" s="32">
        <f>INDEX('Weighted Ratio'!Y$3:Y$7,MATCH('Capital Structure'!$S7,'Weighted Ratio'!$D$3:$D$7,0))</f>
        <v>0</v>
      </c>
      <c r="W7" s="32">
        <f t="shared" si="16"/>
        <v>0</v>
      </c>
      <c r="X7" s="75"/>
      <c r="Y7" s="75"/>
      <c r="Z7" s="67" t="str">
        <f t="shared" si="17"/>
        <v>Northwest Natural Gas Company</v>
      </c>
      <c r="AA7" s="76" t="str">
        <f t="shared" si="18"/>
        <v>NWN</v>
      </c>
      <c r="AB7" s="32">
        <f>INDEX('Weighted Ratio'!AF$3:AF$7,MATCH('Capital Structure'!$AA7,'Weighted Ratio'!$D$3:$D$7,0))</f>
        <v>6.8192701696214206E-2</v>
      </c>
      <c r="AC7" s="32">
        <f>INDEX('Weighted Ratio'!AG$3:AG$7,MATCH('Capital Structure'!$AA7,'Weighted Ratio'!$D$3:$D$7,0))</f>
        <v>0.11069604777549438</v>
      </c>
      <c r="AD7" s="32">
        <f>INDEX('Weighted Ratio'!AH$3:AH$7,MATCH('Capital Structure'!$AA7,'Weighted Ratio'!$D$3:$D$7,0))</f>
        <v>0.11629621478778725</v>
      </c>
      <c r="AE7" s="32">
        <f t="shared" si="19"/>
        <v>9.8394988086498603E-2</v>
      </c>
    </row>
    <row r="8" spans="1:31" s="20" customFormat="1" ht="12.5" x14ac:dyDescent="0.25">
      <c r="A8" s="75"/>
      <c r="B8" s="67" t="str">
        <f>'Weighted Ratio'!A6</f>
        <v>One Gas Inc.</v>
      </c>
      <c r="C8" s="76" t="str">
        <f>'Weighted Ratio'!D6</f>
        <v>OGS</v>
      </c>
      <c r="D8" s="32">
        <f>INDEX('Weighted Ratio'!$Z$3:$Z$7,MATCH('Capital Structure'!$C8,'Weighted Ratio'!$D$3:$D$7,0))</f>
        <v>0.58232035488840939</v>
      </c>
      <c r="E8" s="32">
        <f>INDEX('Weighted Ratio'!$AA$3:$AA$7,MATCH('Capital Structure'!$C8,'Weighted Ratio'!$D$3:$D$7,0))</f>
        <v>0.61093347795353303</v>
      </c>
      <c r="F8" s="32">
        <f>INDEX('Weighted Ratio'!$AB$3:$AB$7,MATCH('Capital Structure'!$C8,'Weighted Ratio'!$D$3:$D$7,0))</f>
        <v>0.60041608011645631</v>
      </c>
      <c r="G8" s="32">
        <f t="shared" si="10"/>
        <v>0.59788997098613283</v>
      </c>
      <c r="H8" s="75"/>
      <c r="I8" s="75"/>
      <c r="J8" s="67" t="str">
        <f t="shared" si="11"/>
        <v>One Gas Inc.</v>
      </c>
      <c r="K8" s="76" t="str">
        <f t="shared" si="12"/>
        <v>OGS</v>
      </c>
      <c r="L8" s="32">
        <f>INDEX('Weighted Ratio'!$AC$3:$AC$7,MATCH('Capital Structure'!$K8,'Weighted Ratio'!$D$3:$D$7,0))</f>
        <v>0.41767964511159061</v>
      </c>
      <c r="M8" s="32">
        <f>INDEX('Weighted Ratio'!$AD$3:$AD$7,MATCH('Capital Structure'!$K8,'Weighted Ratio'!$D$3:$D$7,0))</f>
        <v>0.38906652204646702</v>
      </c>
      <c r="N8" s="32">
        <f>INDEX('Weighted Ratio'!$AE$3:$AE$7,MATCH('Capital Structure'!$K8,'Weighted Ratio'!$D$3:$D$7,0))</f>
        <v>0.39958391988354364</v>
      </c>
      <c r="O8" s="32">
        <f t="shared" si="13"/>
        <v>0.40211002901386705</v>
      </c>
      <c r="P8" s="75"/>
      <c r="Q8" s="75"/>
      <c r="R8" s="67" t="str">
        <f t="shared" si="14"/>
        <v>One Gas Inc.</v>
      </c>
      <c r="S8" s="76" t="str">
        <f t="shared" si="15"/>
        <v>OGS</v>
      </c>
      <c r="T8" s="32">
        <f>INDEX('Weighted Ratio'!W$3:W$7,MATCH('Capital Structure'!$S8,'Weighted Ratio'!$D$3:$D$7,0))</f>
        <v>0</v>
      </c>
      <c r="U8" s="32">
        <f>INDEX('Weighted Ratio'!X$3:X$7,MATCH('Capital Structure'!$S8,'Weighted Ratio'!$D$3:$D$7,0))</f>
        <v>0</v>
      </c>
      <c r="V8" s="32">
        <f>INDEX('Weighted Ratio'!Y$3:Y$7,MATCH('Capital Structure'!$S8,'Weighted Ratio'!$D$3:$D$7,0))</f>
        <v>0</v>
      </c>
      <c r="W8" s="32">
        <f t="shared" si="16"/>
        <v>0</v>
      </c>
      <c r="X8" s="75"/>
      <c r="Y8" s="75"/>
      <c r="Z8" s="67" t="str">
        <f t="shared" si="17"/>
        <v>One Gas Inc.</v>
      </c>
      <c r="AA8" s="76" t="str">
        <f t="shared" si="18"/>
        <v>OGS</v>
      </c>
      <c r="AB8" s="32">
        <f>INDEX('Weighted Ratio'!AF$3:AF$7,MATCH('Capital Structure'!$AA8,'Weighted Ratio'!$D$3:$D$7,0))</f>
        <v>0</v>
      </c>
      <c r="AC8" s="32">
        <f>INDEX('Weighted Ratio'!AG$3:AG$7,MATCH('Capital Structure'!$AA8,'Weighted Ratio'!$D$3:$D$7,0))</f>
        <v>0</v>
      </c>
      <c r="AD8" s="32">
        <f>INDEX('Weighted Ratio'!AH$3:AH$7,MATCH('Capital Structure'!$AA8,'Weighted Ratio'!$D$3:$D$7,0))</f>
        <v>0</v>
      </c>
      <c r="AE8" s="32">
        <f t="shared" si="19"/>
        <v>0</v>
      </c>
    </row>
    <row r="9" spans="1:31" s="20" customFormat="1" ht="12.5" x14ac:dyDescent="0.25">
      <c r="A9" s="75"/>
      <c r="B9" s="67" t="str">
        <f>'Weighted Ratio'!A7</f>
        <v>Spire Inc.</v>
      </c>
      <c r="C9" s="76" t="str">
        <f>'Weighted Ratio'!D7</f>
        <v>SR</v>
      </c>
      <c r="D9" s="32">
        <f>INDEX('Weighted Ratio'!$Z$3:$Z$7,MATCH('Capital Structure'!$C9,'Weighted Ratio'!$D$3:$D$7,0))</f>
        <v>0.47299258421288437</v>
      </c>
      <c r="E9" s="32">
        <f>INDEX('Weighted Ratio'!$AA$3:$AA$7,MATCH('Capital Structure'!$C9,'Weighted Ratio'!$D$3:$D$7,0))</f>
        <v>0.49083407518125094</v>
      </c>
      <c r="F9" s="32">
        <f>INDEX('Weighted Ratio'!$AB$3:$AB$7,MATCH('Capital Structure'!$C9,'Weighted Ratio'!$D$3:$D$7,0))</f>
        <v>0.52747572893497774</v>
      </c>
      <c r="G9" s="32">
        <f t="shared" si="10"/>
        <v>0.49710079610970431</v>
      </c>
      <c r="H9" s="75"/>
      <c r="I9" s="75"/>
      <c r="J9" s="67" t="str">
        <f t="shared" si="11"/>
        <v>Spire Inc.</v>
      </c>
      <c r="K9" s="76" t="str">
        <f t="shared" si="12"/>
        <v>SR</v>
      </c>
      <c r="L9" s="32">
        <f>INDEX('Weighted Ratio'!$AC$3:$AC$7,MATCH('Capital Structure'!$K9,'Weighted Ratio'!$D$3:$D$7,0))</f>
        <v>0.39779017612326906</v>
      </c>
      <c r="M9" s="32">
        <f>INDEX('Weighted Ratio'!$AD$3:$AD$7,MATCH('Capital Structure'!$K9,'Weighted Ratio'!$D$3:$D$7,0))</f>
        <v>0.39424255278518394</v>
      </c>
      <c r="N9" s="32">
        <f>INDEX('Weighted Ratio'!$AE$3:$AE$7,MATCH('Capital Structure'!$K9,'Weighted Ratio'!$D$3:$D$7,0))</f>
        <v>0.37243968961166141</v>
      </c>
      <c r="O9" s="32">
        <f t="shared" si="13"/>
        <v>0.38815747284003815</v>
      </c>
      <c r="P9" s="75"/>
      <c r="Q9" s="75"/>
      <c r="R9" s="67" t="str">
        <f t="shared" si="14"/>
        <v>Spire Inc.</v>
      </c>
      <c r="S9" s="76" t="str">
        <f t="shared" si="15"/>
        <v>SR</v>
      </c>
      <c r="T9" s="32">
        <f>INDEX('Weighted Ratio'!W$3:W$7,MATCH('Capital Structure'!$S9,'Weighted Ratio'!$D$3:$D$7,0))</f>
        <v>0</v>
      </c>
      <c r="U9" s="32">
        <f>INDEX('Weighted Ratio'!X$3:X$7,MATCH('Capital Structure'!$S9,'Weighted Ratio'!$D$3:$D$7,0))</f>
        <v>0</v>
      </c>
      <c r="V9" s="32">
        <f>INDEX('Weighted Ratio'!Y$3:Y$7,MATCH('Capital Structure'!$S9,'Weighted Ratio'!$D$3:$D$7,0))</f>
        <v>0</v>
      </c>
      <c r="W9" s="32">
        <f t="shared" si="16"/>
        <v>0</v>
      </c>
      <c r="X9" s="75"/>
      <c r="Y9" s="75"/>
      <c r="Z9" s="67" t="str">
        <f t="shared" si="17"/>
        <v>Spire Inc.</v>
      </c>
      <c r="AA9" s="76" t="str">
        <f t="shared" si="18"/>
        <v>SR</v>
      </c>
      <c r="AB9" s="32">
        <f>INDEX('Weighted Ratio'!AF$3:AF$7,MATCH('Capital Structure'!$AA9,'Weighted Ratio'!$D$3:$D$7,0))</f>
        <v>0.12921723966384654</v>
      </c>
      <c r="AC9" s="32">
        <f>INDEX('Weighted Ratio'!AG$3:AG$7,MATCH('Capital Structure'!$AA9,'Weighted Ratio'!$D$3:$D$7,0))</f>
        <v>0.11492337203356502</v>
      </c>
      <c r="AD9" s="32">
        <f>INDEX('Weighted Ratio'!AH$3:AH$7,MATCH('Capital Structure'!$AA9,'Weighted Ratio'!$D$3:$D$7,0))</f>
        <v>0.10008458145336081</v>
      </c>
      <c r="AE9" s="32">
        <f t="shared" si="19"/>
        <v>0.11474173105025746</v>
      </c>
    </row>
    <row r="10" spans="1:31" s="20" customFormat="1" ht="12.5" x14ac:dyDescent="0.25">
      <c r="A10" s="75"/>
      <c r="B10" s="67"/>
      <c r="C10" s="76"/>
      <c r="D10" s="87"/>
      <c r="E10" s="32"/>
      <c r="F10" s="32"/>
      <c r="G10" s="32"/>
      <c r="H10" s="75"/>
      <c r="I10" s="75"/>
      <c r="J10" s="67"/>
      <c r="K10" s="76"/>
      <c r="L10" s="76"/>
      <c r="M10" s="32"/>
      <c r="N10" s="32"/>
      <c r="O10" s="32"/>
      <c r="P10" s="75"/>
      <c r="Q10" s="75"/>
      <c r="R10" s="67"/>
      <c r="S10" s="76"/>
      <c r="T10" s="76"/>
      <c r="U10" s="32"/>
      <c r="V10" s="32"/>
      <c r="W10" s="32"/>
      <c r="X10" s="75"/>
      <c r="Y10" s="75"/>
      <c r="Z10" s="67"/>
      <c r="AA10" s="76"/>
      <c r="AB10" s="76"/>
      <c r="AC10" s="32"/>
      <c r="AD10" s="32"/>
      <c r="AE10" s="32"/>
    </row>
    <row r="11" spans="1:31" s="20" customFormat="1" ht="12.5" x14ac:dyDescent="0.25">
      <c r="A11" s="75"/>
      <c r="B11" s="77" t="s">
        <v>9</v>
      </c>
      <c r="C11" s="78"/>
      <c r="D11" s="78"/>
      <c r="E11" s="78"/>
      <c r="F11" s="78"/>
      <c r="G11" s="78"/>
      <c r="H11" s="75"/>
      <c r="I11" s="75"/>
      <c r="J11" s="77" t="s">
        <v>9</v>
      </c>
      <c r="K11" s="78"/>
      <c r="L11" s="78"/>
      <c r="M11" s="78"/>
      <c r="N11" s="78"/>
      <c r="O11" s="78"/>
      <c r="P11" s="75"/>
      <c r="Q11" s="75"/>
      <c r="R11" s="77" t="s">
        <v>9</v>
      </c>
      <c r="S11" s="78"/>
      <c r="T11" s="78"/>
      <c r="U11" s="78"/>
      <c r="V11" s="78"/>
      <c r="W11" s="78"/>
      <c r="X11" s="75"/>
      <c r="Y11" s="75"/>
      <c r="Z11" s="77" t="s">
        <v>9</v>
      </c>
      <c r="AA11" s="78"/>
      <c r="AB11" s="78"/>
      <c r="AC11" s="78"/>
      <c r="AD11" s="78"/>
      <c r="AE11" s="78"/>
    </row>
    <row r="12" spans="1:31" x14ac:dyDescent="0.3">
      <c r="A12" s="56"/>
      <c r="B12" s="79" t="s">
        <v>10</v>
      </c>
      <c r="C12" s="80"/>
      <c r="D12" s="81">
        <f>AVERAGE(D5:D9)</f>
        <v>0.53487483463656882</v>
      </c>
      <c r="E12" s="81">
        <f>AVERAGE(E5:E9)</f>
        <v>0.5379837877680278</v>
      </c>
      <c r="F12" s="81">
        <f>AVERAGE(F5:F9)</f>
        <v>0.53489618219983925</v>
      </c>
      <c r="G12" s="81">
        <f>AVERAGE(G5:G9)</f>
        <v>0.5359182682014787</v>
      </c>
      <c r="H12" s="71"/>
      <c r="I12" s="71"/>
      <c r="J12" s="79" t="s">
        <v>10</v>
      </c>
      <c r="K12" s="80"/>
      <c r="L12" s="81">
        <f>AVERAGE(L5:L9)</f>
        <v>0.42564317709141897</v>
      </c>
      <c r="M12" s="81">
        <f>AVERAGE(M5:M9)</f>
        <v>0.41689232827016037</v>
      </c>
      <c r="N12" s="81">
        <f>AVERAGE(N5:N9)</f>
        <v>0.42182765855193116</v>
      </c>
      <c r="O12" s="81">
        <f>AVERAGE(O5:O9)</f>
        <v>0.42145438797117019</v>
      </c>
      <c r="P12" s="71"/>
      <c r="Q12" s="71"/>
      <c r="R12" s="79" t="s">
        <v>10</v>
      </c>
      <c r="S12" s="80"/>
      <c r="T12" s="81">
        <f>AVERAGE(T5:T9)</f>
        <v>0</v>
      </c>
      <c r="U12" s="81">
        <f>AVERAGE(U5:U9)</f>
        <v>0</v>
      </c>
      <c r="V12" s="81">
        <f>AVERAGE(V5:V9)</f>
        <v>0</v>
      </c>
      <c r="W12" s="81">
        <f>AVERAGE(W5:W9)</f>
        <v>0</v>
      </c>
      <c r="X12" s="56"/>
      <c r="Y12" s="56"/>
      <c r="Z12" s="79" t="s">
        <v>10</v>
      </c>
      <c r="AA12" s="80"/>
      <c r="AB12" s="81">
        <f>AVERAGE(AB5:AB9)</f>
        <v>3.9481988272012145E-2</v>
      </c>
      <c r="AC12" s="81">
        <f>AVERAGE(AC5:AC9)</f>
        <v>4.5123883961811884E-2</v>
      </c>
      <c r="AD12" s="81">
        <f>AVERAGE(AD5:AD9)</f>
        <v>4.3276159248229612E-2</v>
      </c>
      <c r="AE12" s="81">
        <f>AVERAGE(AE5:AE9)</f>
        <v>4.2627343827351213E-2</v>
      </c>
    </row>
    <row r="13" spans="1:31" x14ac:dyDescent="0.3">
      <c r="A13" s="56"/>
      <c r="B13" s="77" t="s">
        <v>11</v>
      </c>
      <c r="C13" s="78"/>
      <c r="D13" s="82">
        <f>MIN(D5:D9)</f>
        <v>0.47299258421288437</v>
      </c>
      <c r="E13" s="82">
        <f>MIN(E5:E9)</f>
        <v>0.44079332606448823</v>
      </c>
      <c r="F13" s="82">
        <f>MIN(F5:F9)</f>
        <v>0.41922215336136781</v>
      </c>
      <c r="G13" s="82">
        <f>MIN(G5:G9)</f>
        <v>0.44573047033860319</v>
      </c>
      <c r="H13" s="71"/>
      <c r="I13" s="71"/>
      <c r="J13" s="77" t="s">
        <v>11</v>
      </c>
      <c r="K13" s="78"/>
      <c r="L13" s="82">
        <f>MIN(L5:L9)</f>
        <v>0.39779017612326906</v>
      </c>
      <c r="M13" s="82">
        <f>MIN(M5:M9)</f>
        <v>0.38906652204646702</v>
      </c>
      <c r="N13" s="82">
        <f>MIN(N5:N9)</f>
        <v>0.37243968961166141</v>
      </c>
      <c r="O13" s="82">
        <f>MIN(O5:O9)</f>
        <v>0.38815747284003815</v>
      </c>
      <c r="P13" s="71"/>
      <c r="Q13" s="71"/>
      <c r="R13" s="77" t="s">
        <v>11</v>
      </c>
      <c r="S13" s="78"/>
      <c r="T13" s="82">
        <f>MIN(T5:T9)</f>
        <v>0</v>
      </c>
      <c r="U13" s="82">
        <f>MIN(U5:U9)</f>
        <v>0</v>
      </c>
      <c r="V13" s="82">
        <f>MIN(V5:V9)</f>
        <v>0</v>
      </c>
      <c r="W13" s="82">
        <f>MIN(W5:W9)</f>
        <v>0</v>
      </c>
      <c r="X13" s="56"/>
      <c r="Y13" s="56"/>
      <c r="Z13" s="77" t="s">
        <v>11</v>
      </c>
      <c r="AA13" s="78"/>
      <c r="AB13" s="82">
        <f>MIN(AB5:AB9)</f>
        <v>0</v>
      </c>
      <c r="AC13" s="82">
        <f>MIN(AC5:AC9)</f>
        <v>0</v>
      </c>
      <c r="AD13" s="82">
        <f>MIN(AD5:AD9)</f>
        <v>0</v>
      </c>
      <c r="AE13" s="82">
        <f>MIN(AE5:AE9)</f>
        <v>0</v>
      </c>
    </row>
    <row r="14" spans="1:31" ht="13.5" thickBot="1" x14ac:dyDescent="0.35">
      <c r="A14" s="56"/>
      <c r="B14" s="83" t="s">
        <v>12</v>
      </c>
      <c r="C14" s="84"/>
      <c r="D14" s="85">
        <f>MAX(D5:D9)</f>
        <v>0.60014182581046494</v>
      </c>
      <c r="E14" s="85">
        <f>MAX(E5:E9)</f>
        <v>0.61093347795353303</v>
      </c>
      <c r="F14" s="85">
        <f>MAX(F5:F9)</f>
        <v>0.60041608011645631</v>
      </c>
      <c r="G14" s="85">
        <f>MAX(G5:G9)</f>
        <v>0.59788997098613283</v>
      </c>
      <c r="H14" s="71"/>
      <c r="I14" s="71"/>
      <c r="J14" s="83" t="s">
        <v>12</v>
      </c>
      <c r="K14" s="84"/>
      <c r="L14" s="85">
        <f>MAX(L5:L9)</f>
        <v>0.45825652331886774</v>
      </c>
      <c r="M14" s="85">
        <f>MAX(M5:M9)</f>
        <v>0.45146699129665935</v>
      </c>
      <c r="N14" s="85">
        <f>MAX(N5:N9)</f>
        <v>0.46448163185084496</v>
      </c>
      <c r="O14" s="85">
        <f>MAX(O5:O9)</f>
        <v>0.45587454157489821</v>
      </c>
      <c r="P14" s="71"/>
      <c r="Q14" s="71"/>
      <c r="R14" s="83" t="s">
        <v>12</v>
      </c>
      <c r="S14" s="84"/>
      <c r="T14" s="85">
        <f>MAX(T5:T9)</f>
        <v>0</v>
      </c>
      <c r="U14" s="85">
        <f>MAX(U5:U9)</f>
        <v>0</v>
      </c>
      <c r="V14" s="85">
        <f>MAX(V5:V9)</f>
        <v>0</v>
      </c>
      <c r="W14" s="85">
        <f>MAX(W5:W9)</f>
        <v>0</v>
      </c>
      <c r="X14" s="56"/>
      <c r="Y14" s="56"/>
      <c r="Z14" s="83" t="s">
        <v>12</v>
      </c>
      <c r="AA14" s="84"/>
      <c r="AB14" s="85">
        <f>MAX(AB5:AB9)</f>
        <v>0.12921723966384654</v>
      </c>
      <c r="AC14" s="85">
        <f>MAX(AC5:AC9)</f>
        <v>0.11492337203356502</v>
      </c>
      <c r="AD14" s="85">
        <f>MAX(AD5:AD9)</f>
        <v>0.11629621478778725</v>
      </c>
      <c r="AE14" s="85">
        <f>MAX(AE5:AE9)</f>
        <v>0.11474173105025746</v>
      </c>
    </row>
    <row r="15" spans="1:31" x14ac:dyDescent="0.3">
      <c r="B15" s="15"/>
      <c r="C15" s="16"/>
      <c r="D15" s="16"/>
      <c r="E15" s="16"/>
      <c r="F15" s="21"/>
      <c r="G15" s="21"/>
      <c r="H15" s="22"/>
      <c r="I15" s="22"/>
      <c r="J15" s="15"/>
      <c r="N15" s="21"/>
      <c r="O15" s="21"/>
      <c r="P15" s="22"/>
      <c r="Q15" s="22"/>
      <c r="R15" s="15"/>
      <c r="V15" s="21"/>
      <c r="W15" s="21"/>
      <c r="Z15" s="15"/>
      <c r="AD15" s="21"/>
      <c r="AE15" s="21"/>
    </row>
    <row r="16" spans="1:31" x14ac:dyDescent="0.3">
      <c r="B16" s="15"/>
      <c r="C16" s="16"/>
      <c r="D16" s="16"/>
      <c r="E16" s="16"/>
      <c r="H16" s="22"/>
      <c r="I16" s="22"/>
      <c r="J16" s="22"/>
      <c r="P16" s="22"/>
      <c r="Q16" s="22"/>
      <c r="R16" s="22"/>
      <c r="Z16" s="22"/>
    </row>
    <row r="17" spans="2:31" x14ac:dyDescent="0.3">
      <c r="B17" s="111" t="s">
        <v>13</v>
      </c>
      <c r="C17" s="111"/>
      <c r="D17" s="111"/>
      <c r="E17" s="111"/>
      <c r="F17" s="111"/>
      <c r="G17" s="112"/>
      <c r="H17" s="22"/>
      <c r="I17" s="22"/>
      <c r="J17" s="111" t="s">
        <v>14</v>
      </c>
      <c r="K17" s="111"/>
      <c r="L17" s="111"/>
      <c r="M17" s="111"/>
      <c r="N17" s="111"/>
      <c r="O17" s="112"/>
      <c r="P17" s="22"/>
      <c r="Q17" s="22"/>
      <c r="R17" s="111" t="s">
        <v>15</v>
      </c>
      <c r="S17" s="111"/>
      <c r="T17" s="111"/>
      <c r="U17" s="111"/>
      <c r="V17" s="111"/>
      <c r="W17" s="112"/>
      <c r="Z17" s="111" t="s">
        <v>16</v>
      </c>
      <c r="AA17" s="111"/>
      <c r="AB17" s="111"/>
      <c r="AC17" s="111"/>
      <c r="AD17" s="111"/>
      <c r="AE17" s="112"/>
    </row>
    <row r="18" spans="2:31" x14ac:dyDescent="0.3">
      <c r="B18" s="18" t="s">
        <v>17</v>
      </c>
      <c r="C18" s="19" t="s">
        <v>6</v>
      </c>
      <c r="D18" s="74">
        <v>2022</v>
      </c>
      <c r="E18" s="74">
        <v>2021</v>
      </c>
      <c r="F18" s="95">
        <v>2020</v>
      </c>
      <c r="G18" s="74" t="s">
        <v>72</v>
      </c>
      <c r="H18" s="22"/>
      <c r="I18" s="22"/>
      <c r="J18" s="18" t="s">
        <v>17</v>
      </c>
      <c r="K18" s="19" t="s">
        <v>6</v>
      </c>
      <c r="L18" s="74">
        <v>2022</v>
      </c>
      <c r="M18" s="74">
        <v>2021</v>
      </c>
      <c r="N18" s="95">
        <v>2020</v>
      </c>
      <c r="O18" s="74" t="s">
        <v>72</v>
      </c>
      <c r="P18" s="22"/>
      <c r="Q18" s="22"/>
      <c r="R18" s="18" t="s">
        <v>17</v>
      </c>
      <c r="S18" s="19" t="s">
        <v>6</v>
      </c>
      <c r="T18" s="74">
        <v>2022</v>
      </c>
      <c r="U18" s="74">
        <v>2021</v>
      </c>
      <c r="V18" s="95">
        <v>2020</v>
      </c>
      <c r="W18" s="74" t="s">
        <v>72</v>
      </c>
      <c r="Z18" s="18" t="s">
        <v>17</v>
      </c>
      <c r="AA18" s="19" t="s">
        <v>6</v>
      </c>
      <c r="AB18" s="74">
        <v>2022</v>
      </c>
      <c r="AC18" s="74">
        <v>2021</v>
      </c>
      <c r="AD18" s="95">
        <v>2020</v>
      </c>
      <c r="AE18" s="74" t="s">
        <v>72</v>
      </c>
    </row>
    <row r="19" spans="2:31" x14ac:dyDescent="0.3">
      <c r="B19" s="23" t="s">
        <v>18</v>
      </c>
      <c r="C19" s="27" t="s">
        <v>19</v>
      </c>
      <c r="D19" s="32">
        <f>INDEX('Weighted Ratio'!$Z$11:$Z$29,MATCH('Capital Structure'!$B19,'Weighted Ratio'!$C$11:$C$29,0))</f>
        <v>0.60014182581046494</v>
      </c>
      <c r="E19" s="32">
        <f>INDEX('Weighted Ratio'!$AA$11:$AA$29,MATCH('Capital Structure'!$B19,'Weighted Ratio'!$C$11:$C$29,0))</f>
        <v>0.59882505093752592</v>
      </c>
      <c r="F19" s="32">
        <f>INDEX('Weighted Ratio'!$AB$11:$AB$29,MATCH('Capital Structure'!$B19,'Weighted Ratio'!$C$11:$C$29,0))</f>
        <v>0.58311375099208396</v>
      </c>
      <c r="G19" s="32">
        <f t="shared" ref="G19:G32" si="20">AVERAGE(D19:F19)</f>
        <v>0.59402687591335823</v>
      </c>
      <c r="H19" s="22"/>
      <c r="I19" s="22"/>
      <c r="J19" s="92" t="str">
        <f t="shared" ref="J19" si="21">B19</f>
        <v>Atmos Energy Corporation</v>
      </c>
      <c r="K19" s="93" t="str">
        <f t="shared" ref="K19" si="22">C19</f>
        <v>ATO</v>
      </c>
      <c r="L19" s="32">
        <f>INDEX('Weighted Ratio'!AC$11:AC$29,MATCH('Capital Structure'!$J19,'Weighted Ratio'!$C$11:$C$29,0))</f>
        <v>0.39985817418953506</v>
      </c>
      <c r="M19" s="32">
        <f>INDEX('Weighted Ratio'!AD$11:AD$29,MATCH('Capital Structure'!$J19,'Weighted Ratio'!$C$11:$C$29,0))</f>
        <v>0.40117494906247414</v>
      </c>
      <c r="N19" s="32">
        <f>INDEX('Weighted Ratio'!AE$11:AE$29,MATCH('Capital Structure'!$J19,'Weighted Ratio'!$C$11:$C$29,0))</f>
        <v>0.4168862490079161</v>
      </c>
      <c r="O19" s="32">
        <f t="shared" ref="O19" si="23">AVERAGE(L19:N19)</f>
        <v>0.40597312408664177</v>
      </c>
      <c r="P19" s="22"/>
      <c r="Q19" s="22"/>
      <c r="R19" s="98" t="str">
        <f t="shared" ref="R19" si="24">J19</f>
        <v>Atmos Energy Corporation</v>
      </c>
      <c r="S19" s="99" t="str">
        <f t="shared" ref="S19" si="25">K19</f>
        <v>ATO</v>
      </c>
      <c r="T19" s="100">
        <f>INDEX('Weighted Ratio'!W$11:W$29,MATCH('Capital Structure'!$R19,'Weighted Ratio'!$C$11:$C$29,0))</f>
        <v>0</v>
      </c>
      <c r="U19" s="100">
        <f>INDEX('Weighted Ratio'!X$11:X$29,MATCH('Capital Structure'!$R19,'Weighted Ratio'!$C$11:$C$29,0))</f>
        <v>0</v>
      </c>
      <c r="V19" s="100">
        <f>INDEX('Weighted Ratio'!Y$11:Y$29,MATCH('Capital Structure'!$R19,'Weighted Ratio'!$C$11:$C$29,0))</f>
        <v>0</v>
      </c>
      <c r="W19" s="100">
        <f t="shared" ref="W19" si="26">AVERAGE(T19:V19)</f>
        <v>0</v>
      </c>
      <c r="Z19" s="98" t="str">
        <f t="shared" ref="Z19" si="27">R19</f>
        <v>Atmos Energy Corporation</v>
      </c>
      <c r="AA19" s="99" t="str">
        <f t="shared" ref="AA19" si="28">S19</f>
        <v>ATO</v>
      </c>
      <c r="AB19" s="100">
        <f>INDEX('Weighted Ratio'!AF$11:AF$29,MATCH('Capital Structure'!$B19,'Weighted Ratio'!$C$11:$C$29,0))</f>
        <v>0</v>
      </c>
      <c r="AC19" s="100">
        <f>INDEX('Weighted Ratio'!AG$11:AG$29,MATCH('Capital Structure'!$B19,'Weighted Ratio'!$C$11:$C$29,0))</f>
        <v>0</v>
      </c>
      <c r="AD19" s="100">
        <f>INDEX('Weighted Ratio'!AH$11:AH$29,MATCH('Capital Structure'!$B19,'Weighted Ratio'!$C$11:$C$29,0))</f>
        <v>0</v>
      </c>
      <c r="AE19" s="100">
        <f t="shared" ref="AE19" si="29">AVERAGE(AB19:AD19)</f>
        <v>0</v>
      </c>
    </row>
    <row r="20" spans="2:31" x14ac:dyDescent="0.3">
      <c r="B20" s="23" t="s">
        <v>20</v>
      </c>
      <c r="C20" s="27" t="s">
        <v>21</v>
      </c>
      <c r="D20" s="32">
        <f>INDEX('Weighted Ratio'!$Z$11:$Z$29,MATCH('Capital Structure'!$B20,'Weighted Ratio'!$C$11:$C$29,0))</f>
        <v>0.56919809610305949</v>
      </c>
      <c r="E20" s="32">
        <f>INDEX('Weighted Ratio'!$AA$11:$AA$29,MATCH('Capital Structure'!$B20,'Weighted Ratio'!$C$11:$C$29,0))</f>
        <v>0.58592688697418416</v>
      </c>
      <c r="F20" s="32">
        <f>INDEX('Weighted Ratio'!$AB$11:$AB$29,MATCH('Capital Structure'!$B20,'Weighted Ratio'!$C$11:$C$29,0))</f>
        <v>0.58009193829261441</v>
      </c>
      <c r="G20" s="32">
        <f t="shared" ref="G20:G21" si="30">AVERAGE(D20:F20)</f>
        <v>0.57840564045661935</v>
      </c>
      <c r="H20" s="22"/>
      <c r="I20" s="22"/>
      <c r="J20" s="92" t="str">
        <f t="shared" ref="J20:J30" si="31">B20</f>
        <v>Northern Indiana Public Service Company LLC</v>
      </c>
      <c r="K20" s="93" t="str">
        <f t="shared" ref="K20:K30" si="32">C20</f>
        <v>NI</v>
      </c>
      <c r="L20" s="32">
        <f>INDEX('Weighted Ratio'!AC$11:AC$29,MATCH('Capital Structure'!$J20,'Weighted Ratio'!$C$11:$C$29,0))</f>
        <v>0.4308019038969404</v>
      </c>
      <c r="M20" s="32">
        <f>INDEX('Weighted Ratio'!AD$11:AD$29,MATCH('Capital Structure'!$J20,'Weighted Ratio'!$C$11:$C$29,0))</f>
        <v>0.41407311302581595</v>
      </c>
      <c r="N20" s="32">
        <f>INDEX('Weighted Ratio'!AE$11:AE$29,MATCH('Capital Structure'!$J20,'Weighted Ratio'!$C$11:$C$29,0))</f>
        <v>0.41990806170738554</v>
      </c>
      <c r="O20" s="32">
        <f t="shared" ref="O20:O30" si="33">AVERAGE(L20:N20)</f>
        <v>0.42159435954338065</v>
      </c>
      <c r="P20" s="22"/>
      <c r="Q20" s="22"/>
      <c r="R20" s="92" t="str">
        <f t="shared" ref="R20:R33" si="34">J20</f>
        <v>Northern Indiana Public Service Company LLC</v>
      </c>
      <c r="S20" s="93" t="str">
        <f t="shared" ref="S20:S33" si="35">K20</f>
        <v>NI</v>
      </c>
      <c r="T20" s="32">
        <f>INDEX('Weighted Ratio'!W$11:W$29,MATCH('Capital Structure'!$R20,'Weighted Ratio'!$C$11:$C$29,0))</f>
        <v>0</v>
      </c>
      <c r="U20" s="32">
        <f>INDEX('Weighted Ratio'!X$11:X$29,MATCH('Capital Structure'!$R20,'Weighted Ratio'!$C$11:$C$29,0))</f>
        <v>0</v>
      </c>
      <c r="V20" s="32">
        <f>INDEX('Weighted Ratio'!Y$11:Y$29,MATCH('Capital Structure'!$R20,'Weighted Ratio'!$C$11:$C$29,0))</f>
        <v>0</v>
      </c>
      <c r="W20" s="32">
        <f t="shared" ref="W20:W33" si="36">AVERAGE(T20:V20)</f>
        <v>0</v>
      </c>
      <c r="Z20" s="92" t="str">
        <f t="shared" ref="Z20:Z33" si="37">R20</f>
        <v>Northern Indiana Public Service Company LLC</v>
      </c>
      <c r="AA20" s="93" t="str">
        <f t="shared" ref="AA20:AA33" si="38">S20</f>
        <v>NI</v>
      </c>
      <c r="AB20" s="32">
        <f>INDEX('Weighted Ratio'!AF$11:AF$29,MATCH('Capital Structure'!$B20,'Weighted Ratio'!$C$11:$C$29,0))</f>
        <v>0</v>
      </c>
      <c r="AC20" s="32">
        <f>INDEX('Weighted Ratio'!AG$11:AG$29,MATCH('Capital Structure'!$B20,'Weighted Ratio'!$C$11:$C$29,0))</f>
        <v>0</v>
      </c>
      <c r="AD20" s="32">
        <f>INDEX('Weighted Ratio'!AH$11:AH$29,MATCH('Capital Structure'!$B20,'Weighted Ratio'!$C$11:$C$29,0))</f>
        <v>0</v>
      </c>
      <c r="AE20" s="32">
        <f t="shared" ref="AE20:AE33" si="39">AVERAGE(AB20:AD20)</f>
        <v>0</v>
      </c>
    </row>
    <row r="21" spans="2:31" x14ac:dyDescent="0.3">
      <c r="B21" s="23" t="s">
        <v>22</v>
      </c>
      <c r="C21" s="27" t="s">
        <v>21</v>
      </c>
      <c r="D21" s="32">
        <f>INDEX('Weighted Ratio'!$Z$11:$Z$29,MATCH('Capital Structure'!$B21,'Weighted Ratio'!$C$11:$C$29,0))</f>
        <v>0.54914596291421169</v>
      </c>
      <c r="E21" s="32">
        <f>INDEX('Weighted Ratio'!$AA$11:$AA$29,MATCH('Capital Structure'!$B21,'Weighted Ratio'!$C$11:$C$29,0))</f>
        <v>0.53871597965608353</v>
      </c>
      <c r="F21" s="32">
        <f>INDEX('Weighted Ratio'!$AB$11:$AB$29,MATCH('Capital Structure'!$B21,'Weighted Ratio'!$C$11:$C$29,0))</f>
        <v>0.54680621917436445</v>
      </c>
      <c r="G21" s="32">
        <f t="shared" si="30"/>
        <v>0.54488938724822</v>
      </c>
      <c r="H21" s="22"/>
      <c r="I21" s="22"/>
      <c r="J21" s="92" t="str">
        <f t="shared" si="31"/>
        <v>Columbia Gas of Kentucky, Inc.</v>
      </c>
      <c r="K21" s="93" t="str">
        <f t="shared" si="32"/>
        <v>NI</v>
      </c>
      <c r="L21" s="32">
        <f>INDEX('Weighted Ratio'!AC$11:AC$29,MATCH('Capital Structure'!$J21,'Weighted Ratio'!$C$11:$C$29,0))</f>
        <v>0.45085403708578825</v>
      </c>
      <c r="M21" s="32">
        <f>INDEX('Weighted Ratio'!AD$11:AD$29,MATCH('Capital Structure'!$J21,'Weighted Ratio'!$C$11:$C$29,0))</f>
        <v>0.46128402034391658</v>
      </c>
      <c r="N21" s="32">
        <f>INDEX('Weighted Ratio'!AE$11:AE$29,MATCH('Capital Structure'!$J21,'Weighted Ratio'!$C$11:$C$29,0))</f>
        <v>0.45319378082563544</v>
      </c>
      <c r="O21" s="32">
        <f t="shared" si="33"/>
        <v>0.45511061275178011</v>
      </c>
      <c r="P21" s="22"/>
      <c r="Q21" s="22"/>
      <c r="R21" s="92" t="str">
        <f t="shared" si="34"/>
        <v>Columbia Gas of Kentucky, Inc.</v>
      </c>
      <c r="S21" s="93" t="str">
        <f t="shared" si="35"/>
        <v>NI</v>
      </c>
      <c r="T21" s="32">
        <f>INDEX('Weighted Ratio'!W$11:W$29,MATCH('Capital Structure'!$R21,'Weighted Ratio'!$C$11:$C$29,0))</f>
        <v>0</v>
      </c>
      <c r="U21" s="32">
        <f>INDEX('Weighted Ratio'!X$11:X$29,MATCH('Capital Structure'!$R21,'Weighted Ratio'!$C$11:$C$29,0))</f>
        <v>0</v>
      </c>
      <c r="V21" s="32">
        <f>INDEX('Weighted Ratio'!Y$11:Y$29,MATCH('Capital Structure'!$R21,'Weighted Ratio'!$C$11:$C$29,0))</f>
        <v>0</v>
      </c>
      <c r="W21" s="32">
        <f t="shared" si="36"/>
        <v>0</v>
      </c>
      <c r="Z21" s="92" t="str">
        <f t="shared" si="37"/>
        <v>Columbia Gas of Kentucky, Inc.</v>
      </c>
      <c r="AA21" s="93" t="str">
        <f t="shared" si="38"/>
        <v>NI</v>
      </c>
      <c r="AB21" s="32">
        <f>INDEX('Weighted Ratio'!AF$11:AF$29,MATCH('Capital Structure'!$B21,'Weighted Ratio'!$C$11:$C$29,0))</f>
        <v>0</v>
      </c>
      <c r="AC21" s="32">
        <f>INDEX('Weighted Ratio'!AG$11:AG$29,MATCH('Capital Structure'!$B21,'Weighted Ratio'!$C$11:$C$29,0))</f>
        <v>0</v>
      </c>
      <c r="AD21" s="32">
        <f>INDEX('Weighted Ratio'!AH$11:AH$29,MATCH('Capital Structure'!$B21,'Weighted Ratio'!$C$11:$C$29,0))</f>
        <v>0</v>
      </c>
      <c r="AE21" s="32">
        <f t="shared" si="39"/>
        <v>0</v>
      </c>
    </row>
    <row r="22" spans="2:31" x14ac:dyDescent="0.3">
      <c r="B22" s="23" t="s">
        <v>23</v>
      </c>
      <c r="C22" s="27" t="s">
        <v>21</v>
      </c>
      <c r="D22" s="32">
        <f>INDEX('Weighted Ratio'!$Z$11:$Z$29,MATCH('Capital Structure'!$B22,'Weighted Ratio'!$C$11:$C$29,0))</f>
        <v>0.51959843673122585</v>
      </c>
      <c r="E22" s="32">
        <f>INDEX('Weighted Ratio'!$AA$11:$AA$29,MATCH('Capital Structure'!$B22,'Weighted Ratio'!$C$11:$C$29,0))</f>
        <v>0.55257391726322369</v>
      </c>
      <c r="F22" s="32">
        <f>INDEX('Weighted Ratio'!$AB$11:$AB$29,MATCH('Capital Structure'!$B22,'Weighted Ratio'!$C$11:$C$29,0))</f>
        <v>0.54949024041091055</v>
      </c>
      <c r="G22" s="32">
        <f t="shared" ref="G22:G29" si="40">AVERAGE(D22:F22)</f>
        <v>0.54055419813511996</v>
      </c>
      <c r="H22" s="22"/>
      <c r="I22" s="22"/>
      <c r="J22" s="92" t="str">
        <f t="shared" si="31"/>
        <v>Columbia Gas of Maryland, Inc.</v>
      </c>
      <c r="K22" s="93" t="str">
        <f t="shared" si="32"/>
        <v>NI</v>
      </c>
      <c r="L22" s="32">
        <f>INDEX('Weighted Ratio'!AC$11:AC$29,MATCH('Capital Structure'!$J22,'Weighted Ratio'!$C$11:$C$29,0))</f>
        <v>0.48040156326877415</v>
      </c>
      <c r="M22" s="32">
        <f>INDEX('Weighted Ratio'!AD$11:AD$29,MATCH('Capital Structure'!$J22,'Weighted Ratio'!$C$11:$C$29,0))</f>
        <v>0.44742608273677625</v>
      </c>
      <c r="N22" s="32">
        <f>INDEX('Weighted Ratio'!AE$11:AE$29,MATCH('Capital Structure'!$J22,'Weighted Ratio'!$C$11:$C$29,0))</f>
        <v>0.45050975958908951</v>
      </c>
      <c r="O22" s="32">
        <f t="shared" si="33"/>
        <v>0.45944580186487993</v>
      </c>
      <c r="P22" s="22"/>
      <c r="Q22" s="22"/>
      <c r="R22" s="92" t="str">
        <f t="shared" si="34"/>
        <v>Columbia Gas of Maryland, Inc.</v>
      </c>
      <c r="S22" s="93" t="str">
        <f t="shared" si="35"/>
        <v>NI</v>
      </c>
      <c r="T22" s="32">
        <f>INDEX('Weighted Ratio'!W$11:W$29,MATCH('Capital Structure'!$R22,'Weighted Ratio'!$C$11:$C$29,0))</f>
        <v>0</v>
      </c>
      <c r="U22" s="32">
        <f>INDEX('Weighted Ratio'!X$11:X$29,MATCH('Capital Structure'!$R22,'Weighted Ratio'!$C$11:$C$29,0))</f>
        <v>0</v>
      </c>
      <c r="V22" s="32">
        <f>INDEX('Weighted Ratio'!Y$11:Y$29,MATCH('Capital Structure'!$R22,'Weighted Ratio'!$C$11:$C$29,0))</f>
        <v>0</v>
      </c>
      <c r="W22" s="32">
        <f t="shared" si="36"/>
        <v>0</v>
      </c>
      <c r="Z22" s="92" t="str">
        <f t="shared" si="37"/>
        <v>Columbia Gas of Maryland, Inc.</v>
      </c>
      <c r="AA22" s="93" t="str">
        <f t="shared" si="38"/>
        <v>NI</v>
      </c>
      <c r="AB22" s="32">
        <f>INDEX('Weighted Ratio'!AF$11:AF$29,MATCH('Capital Structure'!$B22,'Weighted Ratio'!$C$11:$C$29,0))</f>
        <v>0</v>
      </c>
      <c r="AC22" s="32">
        <f>INDEX('Weighted Ratio'!AG$11:AG$29,MATCH('Capital Structure'!$B22,'Weighted Ratio'!$C$11:$C$29,0))</f>
        <v>0</v>
      </c>
      <c r="AD22" s="32">
        <f>INDEX('Weighted Ratio'!AH$11:AH$29,MATCH('Capital Structure'!$B22,'Weighted Ratio'!$C$11:$C$29,0))</f>
        <v>0</v>
      </c>
      <c r="AE22" s="32">
        <f t="shared" si="39"/>
        <v>0</v>
      </c>
    </row>
    <row r="23" spans="2:31" x14ac:dyDescent="0.3">
      <c r="B23" s="23" t="s">
        <v>24</v>
      </c>
      <c r="C23" s="27" t="s">
        <v>21</v>
      </c>
      <c r="D23" s="32">
        <f>INDEX('Weighted Ratio'!$Z$11:$Z$29,MATCH('Capital Structure'!$B23,'Weighted Ratio'!$C$11:$C$29,0))</f>
        <v>0.50671954830134014</v>
      </c>
      <c r="E23" s="32">
        <f>INDEX('Weighted Ratio'!$AA$11:$AA$29,MATCH('Capital Structure'!$B23,'Weighted Ratio'!$C$11:$C$29,0))</f>
        <v>0.50790681584632813</v>
      </c>
      <c r="F23" s="32">
        <f>INDEX('Weighted Ratio'!$AB$11:$AB$29,MATCH('Capital Structure'!$B23,'Weighted Ratio'!$C$11:$C$29,0))</f>
        <v>0.5044941864348812</v>
      </c>
      <c r="G23" s="32">
        <f t="shared" si="40"/>
        <v>0.50637351686084975</v>
      </c>
      <c r="H23" s="22"/>
      <c r="I23" s="22"/>
      <c r="J23" s="92" t="str">
        <f t="shared" si="31"/>
        <v>Columbia Gas of Ohio, Inc.</v>
      </c>
      <c r="K23" s="93" t="str">
        <f t="shared" si="32"/>
        <v>NI</v>
      </c>
      <c r="L23" s="32">
        <f>INDEX('Weighted Ratio'!AC$11:AC$29,MATCH('Capital Structure'!$J23,'Weighted Ratio'!$C$11:$C$29,0))</f>
        <v>0.49328045169865997</v>
      </c>
      <c r="M23" s="32">
        <f>INDEX('Weighted Ratio'!AD$11:AD$29,MATCH('Capital Structure'!$J23,'Weighted Ratio'!$C$11:$C$29,0))</f>
        <v>0.49209318415367181</v>
      </c>
      <c r="N23" s="32">
        <f>INDEX('Weighted Ratio'!AE$11:AE$29,MATCH('Capital Structure'!$J23,'Weighted Ratio'!$C$11:$C$29,0))</f>
        <v>0.49550581356511891</v>
      </c>
      <c r="O23" s="32">
        <f t="shared" si="33"/>
        <v>0.4936264831391502</v>
      </c>
      <c r="P23" s="22"/>
      <c r="Q23" s="22"/>
      <c r="R23" s="92" t="str">
        <f t="shared" si="34"/>
        <v>Columbia Gas of Ohio, Inc.</v>
      </c>
      <c r="S23" s="93" t="str">
        <f t="shared" si="35"/>
        <v>NI</v>
      </c>
      <c r="T23" s="32">
        <f>INDEX('Weighted Ratio'!W$11:W$29,MATCH('Capital Structure'!$R23,'Weighted Ratio'!$C$11:$C$29,0))</f>
        <v>0</v>
      </c>
      <c r="U23" s="32">
        <f>INDEX('Weighted Ratio'!X$11:X$29,MATCH('Capital Structure'!$R23,'Weighted Ratio'!$C$11:$C$29,0))</f>
        <v>0</v>
      </c>
      <c r="V23" s="32">
        <f>INDEX('Weighted Ratio'!Y$11:Y$29,MATCH('Capital Structure'!$R23,'Weighted Ratio'!$C$11:$C$29,0))</f>
        <v>0</v>
      </c>
      <c r="W23" s="32">
        <f t="shared" si="36"/>
        <v>0</v>
      </c>
      <c r="Z23" s="92" t="str">
        <f t="shared" si="37"/>
        <v>Columbia Gas of Ohio, Inc.</v>
      </c>
      <c r="AA23" s="93" t="str">
        <f t="shared" si="38"/>
        <v>NI</v>
      </c>
      <c r="AB23" s="32">
        <f>INDEX('Weighted Ratio'!AF$11:AF$29,MATCH('Capital Structure'!$B23,'Weighted Ratio'!$C$11:$C$29,0))</f>
        <v>0</v>
      </c>
      <c r="AC23" s="32">
        <f>INDEX('Weighted Ratio'!AG$11:AG$29,MATCH('Capital Structure'!$B23,'Weighted Ratio'!$C$11:$C$29,0))</f>
        <v>0</v>
      </c>
      <c r="AD23" s="32">
        <f>INDEX('Weighted Ratio'!AH$11:AH$29,MATCH('Capital Structure'!$B23,'Weighted Ratio'!$C$11:$C$29,0))</f>
        <v>0</v>
      </c>
      <c r="AE23" s="32">
        <f t="shared" si="39"/>
        <v>0</v>
      </c>
    </row>
    <row r="24" spans="2:31" x14ac:dyDescent="0.3">
      <c r="B24" s="23" t="s">
        <v>25</v>
      </c>
      <c r="C24" s="27" t="s">
        <v>21</v>
      </c>
      <c r="D24" s="32">
        <f>INDEX('Weighted Ratio'!$Z$11:$Z$29,MATCH('Capital Structure'!$B24,'Weighted Ratio'!$C$11:$C$29,0))</f>
        <v>0.56638717166348163</v>
      </c>
      <c r="E24" s="32">
        <f>INDEX('Weighted Ratio'!$AA$11:$AA$29,MATCH('Capital Structure'!$B24,'Weighted Ratio'!$C$11:$C$29,0))</f>
        <v>0.56047653583773238</v>
      </c>
      <c r="F24" s="32">
        <f>INDEX('Weighted Ratio'!$AB$11:$AB$29,MATCH('Capital Structure'!$B24,'Weighted Ratio'!$C$11:$C$29,0))</f>
        <v>0.55678984987974844</v>
      </c>
      <c r="G24" s="32">
        <f t="shared" si="40"/>
        <v>0.56121785246032074</v>
      </c>
      <c r="H24" s="22"/>
      <c r="I24" s="22"/>
      <c r="J24" s="92" t="str">
        <f t="shared" si="31"/>
        <v>Columbia Gas of Pennsylvania, Inc.</v>
      </c>
      <c r="K24" s="93" t="str">
        <f t="shared" si="32"/>
        <v>NI</v>
      </c>
      <c r="L24" s="32">
        <f>INDEX('Weighted Ratio'!AC$11:AC$29,MATCH('Capital Structure'!$J24,'Weighted Ratio'!$C$11:$C$29,0))</f>
        <v>0.43361282833651849</v>
      </c>
      <c r="M24" s="32">
        <f>INDEX('Weighted Ratio'!AD$11:AD$29,MATCH('Capital Structure'!$J24,'Weighted Ratio'!$C$11:$C$29,0))</f>
        <v>0.43952346416226762</v>
      </c>
      <c r="N24" s="32">
        <f>INDEX('Weighted Ratio'!AE$11:AE$29,MATCH('Capital Structure'!$J24,'Weighted Ratio'!$C$11:$C$29,0))</f>
        <v>0.44321015012025156</v>
      </c>
      <c r="O24" s="32">
        <f t="shared" si="33"/>
        <v>0.4387821475396792</v>
      </c>
      <c r="P24" s="22"/>
      <c r="Q24" s="22"/>
      <c r="R24" s="92" t="str">
        <f t="shared" si="34"/>
        <v>Columbia Gas of Pennsylvania, Inc.</v>
      </c>
      <c r="S24" s="93" t="str">
        <f t="shared" si="35"/>
        <v>NI</v>
      </c>
      <c r="T24" s="32">
        <f>INDEX('Weighted Ratio'!W$11:W$29,MATCH('Capital Structure'!$R24,'Weighted Ratio'!$C$11:$C$29,0))</f>
        <v>0</v>
      </c>
      <c r="U24" s="32">
        <f>INDEX('Weighted Ratio'!X$11:X$29,MATCH('Capital Structure'!$R24,'Weighted Ratio'!$C$11:$C$29,0))</f>
        <v>0</v>
      </c>
      <c r="V24" s="32">
        <f>INDEX('Weighted Ratio'!Y$11:Y$29,MATCH('Capital Structure'!$R24,'Weighted Ratio'!$C$11:$C$29,0))</f>
        <v>0</v>
      </c>
      <c r="W24" s="32">
        <f t="shared" si="36"/>
        <v>0</v>
      </c>
      <c r="Z24" s="92" t="str">
        <f t="shared" si="37"/>
        <v>Columbia Gas of Pennsylvania, Inc.</v>
      </c>
      <c r="AA24" s="93" t="str">
        <f t="shared" si="38"/>
        <v>NI</v>
      </c>
      <c r="AB24" s="32">
        <f>INDEX('Weighted Ratio'!AF$11:AF$29,MATCH('Capital Structure'!$B24,'Weighted Ratio'!$C$11:$C$29,0))</f>
        <v>0</v>
      </c>
      <c r="AC24" s="32">
        <f>INDEX('Weighted Ratio'!AG$11:AG$29,MATCH('Capital Structure'!$B24,'Weighted Ratio'!$C$11:$C$29,0))</f>
        <v>0</v>
      </c>
      <c r="AD24" s="32">
        <f>INDEX('Weighted Ratio'!AH$11:AH$29,MATCH('Capital Structure'!$B24,'Weighted Ratio'!$C$11:$C$29,0))</f>
        <v>0</v>
      </c>
      <c r="AE24" s="32">
        <f t="shared" si="39"/>
        <v>0</v>
      </c>
    </row>
    <row r="25" spans="2:31" x14ac:dyDescent="0.3">
      <c r="B25" s="23" t="s">
        <v>26</v>
      </c>
      <c r="C25" s="27" t="s">
        <v>21</v>
      </c>
      <c r="D25" s="32">
        <f>INDEX('Weighted Ratio'!$Z$11:$Z$29,MATCH('Capital Structure'!$B25,'Weighted Ratio'!$C$11:$C$29,0))</f>
        <v>0.4424755364595111</v>
      </c>
      <c r="E25" s="32">
        <f>INDEX('Weighted Ratio'!$AA$11:$AA$29,MATCH('Capital Structure'!$B25,'Weighted Ratio'!$C$11:$C$29,0))</f>
        <v>0.44518348897408061</v>
      </c>
      <c r="F25" s="32">
        <f>INDEX('Weighted Ratio'!$AB$11:$AB$29,MATCH('Capital Structure'!$B25,'Weighted Ratio'!$C$11:$C$29,0))</f>
        <v>0.43693569908463914</v>
      </c>
      <c r="G25" s="32">
        <f t="shared" si="40"/>
        <v>0.44153157483941025</v>
      </c>
      <c r="H25" s="22"/>
      <c r="I25" s="22"/>
      <c r="J25" s="92" t="str">
        <f t="shared" si="31"/>
        <v>Columbia Gas of Virginia, Inc.</v>
      </c>
      <c r="K25" s="93" t="str">
        <f t="shared" si="32"/>
        <v>NI</v>
      </c>
      <c r="L25" s="32">
        <f>INDEX('Weighted Ratio'!AC$11:AC$29,MATCH('Capital Structure'!$J25,'Weighted Ratio'!$C$11:$C$29,0))</f>
        <v>0.55752446354048879</v>
      </c>
      <c r="M25" s="32">
        <f>INDEX('Weighted Ratio'!AD$11:AD$29,MATCH('Capital Structure'!$J25,'Weighted Ratio'!$C$11:$C$29,0))</f>
        <v>0.55481651102591933</v>
      </c>
      <c r="N25" s="32">
        <f>INDEX('Weighted Ratio'!AE$11:AE$29,MATCH('Capital Structure'!$J25,'Weighted Ratio'!$C$11:$C$29,0))</f>
        <v>0.56306430091536086</v>
      </c>
      <c r="O25" s="32">
        <f t="shared" si="33"/>
        <v>0.5584684251605897</v>
      </c>
      <c r="P25" s="22"/>
      <c r="Q25" s="22"/>
      <c r="R25" s="92" t="str">
        <f t="shared" si="34"/>
        <v>Columbia Gas of Virginia, Inc.</v>
      </c>
      <c r="S25" s="93" t="str">
        <f t="shared" si="35"/>
        <v>NI</v>
      </c>
      <c r="T25" s="32">
        <f>INDEX('Weighted Ratio'!W$11:W$29,MATCH('Capital Structure'!$R25,'Weighted Ratio'!$C$11:$C$29,0))</f>
        <v>0</v>
      </c>
      <c r="U25" s="32">
        <f>INDEX('Weighted Ratio'!X$11:X$29,MATCH('Capital Structure'!$R25,'Weighted Ratio'!$C$11:$C$29,0))</f>
        <v>0</v>
      </c>
      <c r="V25" s="32">
        <f>INDEX('Weighted Ratio'!Y$11:Y$29,MATCH('Capital Structure'!$R25,'Weighted Ratio'!$C$11:$C$29,0))</f>
        <v>0</v>
      </c>
      <c r="W25" s="32">
        <f t="shared" si="36"/>
        <v>0</v>
      </c>
      <c r="Z25" s="92" t="str">
        <f t="shared" si="37"/>
        <v>Columbia Gas of Virginia, Inc.</v>
      </c>
      <c r="AA25" s="93" t="str">
        <f t="shared" si="38"/>
        <v>NI</v>
      </c>
      <c r="AB25" s="32">
        <f>INDEX('Weighted Ratio'!AF$11:AF$29,MATCH('Capital Structure'!$B25,'Weighted Ratio'!$C$11:$C$29,0))</f>
        <v>0</v>
      </c>
      <c r="AC25" s="32">
        <f>INDEX('Weighted Ratio'!AG$11:AG$29,MATCH('Capital Structure'!$B25,'Weighted Ratio'!$C$11:$C$29,0))</f>
        <v>0</v>
      </c>
      <c r="AD25" s="32">
        <f>INDEX('Weighted Ratio'!AH$11:AH$29,MATCH('Capital Structure'!$B25,'Weighted Ratio'!$C$11:$C$29,0))</f>
        <v>0</v>
      </c>
      <c r="AE25" s="32">
        <f t="shared" si="39"/>
        <v>0</v>
      </c>
    </row>
    <row r="26" spans="2:31" x14ac:dyDescent="0.3">
      <c r="B26" s="23" t="s">
        <v>7</v>
      </c>
      <c r="C26" s="27" t="s">
        <v>8</v>
      </c>
      <c r="D26" s="32">
        <f>INDEX('Weighted Ratio'!$Z$11:$Z$29,MATCH('Capital Structure'!$B26,'Weighted Ratio'!$C$11:$C$29,0))</f>
        <v>0.47717593158995347</v>
      </c>
      <c r="E26" s="32">
        <f>INDEX('Weighted Ratio'!$AA$11:$AA$29,MATCH('Capital Structure'!$B26,'Weighted Ratio'!$C$11:$C$29,0))</f>
        <v>0.44079332606448823</v>
      </c>
      <c r="F26" s="32">
        <f>INDEX('Weighted Ratio'!$AB$11:$AB$29,MATCH('Capital Structure'!$B26,'Weighted Ratio'!$C$11:$C$29,0))</f>
        <v>0.41922215336136781</v>
      </c>
      <c r="G26" s="32">
        <f t="shared" si="40"/>
        <v>0.44573047033860319</v>
      </c>
      <c r="H26" s="22"/>
      <c r="I26" s="22"/>
      <c r="J26" s="92" t="str">
        <f t="shared" si="31"/>
        <v>Northwest Natural Gas Company</v>
      </c>
      <c r="K26" s="93" t="str">
        <f t="shared" si="32"/>
        <v>NWN</v>
      </c>
      <c r="L26" s="32">
        <f>INDEX('Weighted Ratio'!AC$11:AC$29,MATCH('Capital Structure'!$J26,'Weighted Ratio'!$C$11:$C$29,0))</f>
        <v>0.45463136671383231</v>
      </c>
      <c r="M26" s="32">
        <f>INDEX('Weighted Ratio'!AD$11:AD$29,MATCH('Capital Structure'!$J26,'Weighted Ratio'!$C$11:$C$29,0))</f>
        <v>0.44851062616001736</v>
      </c>
      <c r="N26" s="32">
        <f>INDEX('Weighted Ratio'!AE$11:AE$29,MATCH('Capital Structure'!$J26,'Weighted Ratio'!$C$11:$C$29,0))</f>
        <v>0.46448163185084496</v>
      </c>
      <c r="O26" s="32">
        <f t="shared" si="33"/>
        <v>0.45587454157489821</v>
      </c>
      <c r="P26" s="22"/>
      <c r="Q26" s="22"/>
      <c r="R26" s="92" t="str">
        <f t="shared" si="34"/>
        <v>Northwest Natural Gas Company</v>
      </c>
      <c r="S26" s="93" t="str">
        <f t="shared" si="35"/>
        <v>NWN</v>
      </c>
      <c r="T26" s="32">
        <f>INDEX('Weighted Ratio'!W$11:W$29,MATCH('Capital Structure'!$R26,'Weighted Ratio'!$C$11:$C$29,0))</f>
        <v>0</v>
      </c>
      <c r="U26" s="32">
        <f>INDEX('Weighted Ratio'!X$11:X$29,MATCH('Capital Structure'!$R26,'Weighted Ratio'!$C$11:$C$29,0))</f>
        <v>0</v>
      </c>
      <c r="V26" s="32">
        <f>INDEX('Weighted Ratio'!Y$11:Y$29,MATCH('Capital Structure'!$R26,'Weighted Ratio'!$C$11:$C$29,0))</f>
        <v>0</v>
      </c>
      <c r="W26" s="32">
        <f t="shared" si="36"/>
        <v>0</v>
      </c>
      <c r="Z26" s="92" t="str">
        <f t="shared" si="37"/>
        <v>Northwest Natural Gas Company</v>
      </c>
      <c r="AA26" s="93" t="str">
        <f t="shared" si="38"/>
        <v>NWN</v>
      </c>
      <c r="AB26" s="32">
        <f>INDEX('Weighted Ratio'!AF$11:AF$29,MATCH('Capital Structure'!$B26,'Weighted Ratio'!$C$11:$C$29,0))</f>
        <v>6.8192701696214206E-2</v>
      </c>
      <c r="AC26" s="32">
        <f>INDEX('Weighted Ratio'!AG$11:AG$29,MATCH('Capital Structure'!$B26,'Weighted Ratio'!$C$11:$C$29,0))</f>
        <v>0.11069604777549438</v>
      </c>
      <c r="AD26" s="32">
        <f>INDEX('Weighted Ratio'!AH$11:AH$29,MATCH('Capital Structure'!$B26,'Weighted Ratio'!$C$11:$C$29,0))</f>
        <v>0.11629621478778725</v>
      </c>
      <c r="AE26" s="32">
        <f t="shared" si="39"/>
        <v>9.8394988086498603E-2</v>
      </c>
    </row>
    <row r="27" spans="2:31" x14ac:dyDescent="0.3">
      <c r="B27" s="23" t="s">
        <v>27</v>
      </c>
      <c r="C27" s="27" t="s">
        <v>28</v>
      </c>
      <c r="D27" s="32">
        <f>INDEX('Weighted Ratio'!$Z$11:$Z$29,MATCH('Capital Structure'!$B27,'Weighted Ratio'!$C$11:$C$29,0))</f>
        <v>0.58365041810666896</v>
      </c>
      <c r="E27" s="32">
        <f>INDEX('Weighted Ratio'!$AA$11:$AA$29,MATCH('Capital Structure'!$B27,'Weighted Ratio'!$C$11:$C$29,0))</f>
        <v>0.61369287912008685</v>
      </c>
      <c r="F27" s="32">
        <f>INDEX('Weighted Ratio'!$AB$11:$AB$29,MATCH('Capital Structure'!$B27,'Weighted Ratio'!$C$11:$C$29,0))</f>
        <v>0.60330670974717215</v>
      </c>
      <c r="G27" s="32">
        <f t="shared" si="40"/>
        <v>0.60021666899130921</v>
      </c>
      <c r="H27" s="22"/>
      <c r="I27" s="22"/>
      <c r="J27" s="92" t="str">
        <f t="shared" si="31"/>
        <v>Kansas Gas Service Company, Inc.</v>
      </c>
      <c r="K27" s="93" t="str">
        <f t="shared" si="32"/>
        <v>OGS</v>
      </c>
      <c r="L27" s="32">
        <f>INDEX('Weighted Ratio'!AC$11:AC$29,MATCH('Capital Structure'!$J27,'Weighted Ratio'!$C$11:$C$29,0))</f>
        <v>0.41634958189333121</v>
      </c>
      <c r="M27" s="32">
        <f>INDEX('Weighted Ratio'!AD$11:AD$29,MATCH('Capital Structure'!$J27,'Weighted Ratio'!$C$11:$C$29,0))</f>
        <v>0.3863071208799132</v>
      </c>
      <c r="N27" s="32">
        <f>INDEX('Weighted Ratio'!AE$11:AE$29,MATCH('Capital Structure'!$J27,'Weighted Ratio'!$C$11:$C$29,0))</f>
        <v>0.39669329025282785</v>
      </c>
      <c r="O27" s="32">
        <f t="shared" si="33"/>
        <v>0.39978333100869073</v>
      </c>
      <c r="P27" s="22"/>
      <c r="Q27" s="22"/>
      <c r="R27" s="92" t="str">
        <f t="shared" si="34"/>
        <v>Kansas Gas Service Company, Inc.</v>
      </c>
      <c r="S27" s="93" t="str">
        <f t="shared" si="35"/>
        <v>OGS</v>
      </c>
      <c r="T27" s="32">
        <f>INDEX('Weighted Ratio'!W$11:W$29,MATCH('Capital Structure'!$R27,'Weighted Ratio'!$C$11:$C$29,0))</f>
        <v>0</v>
      </c>
      <c r="U27" s="32">
        <f>INDEX('Weighted Ratio'!X$11:X$29,MATCH('Capital Structure'!$R27,'Weighted Ratio'!$C$11:$C$29,0))</f>
        <v>0</v>
      </c>
      <c r="V27" s="32">
        <f>INDEX('Weighted Ratio'!Y$11:Y$29,MATCH('Capital Structure'!$R27,'Weighted Ratio'!$C$11:$C$29,0))</f>
        <v>0</v>
      </c>
      <c r="W27" s="32">
        <f t="shared" si="36"/>
        <v>0</v>
      </c>
      <c r="Z27" s="92" t="str">
        <f t="shared" si="37"/>
        <v>Kansas Gas Service Company, Inc.</v>
      </c>
      <c r="AA27" s="93" t="str">
        <f t="shared" si="38"/>
        <v>OGS</v>
      </c>
      <c r="AB27" s="32">
        <f>INDEX('Weighted Ratio'!AF$11:AF$29,MATCH('Capital Structure'!$B27,'Weighted Ratio'!$C$11:$C$29,0))</f>
        <v>0</v>
      </c>
      <c r="AC27" s="32">
        <f>INDEX('Weighted Ratio'!AG$11:AG$29,MATCH('Capital Structure'!$B27,'Weighted Ratio'!$C$11:$C$29,0))</f>
        <v>0</v>
      </c>
      <c r="AD27" s="32">
        <f>INDEX('Weighted Ratio'!AH$11:AH$29,MATCH('Capital Structure'!$B27,'Weighted Ratio'!$C$11:$C$29,0))</f>
        <v>0</v>
      </c>
      <c r="AE27" s="32">
        <f t="shared" si="39"/>
        <v>0</v>
      </c>
    </row>
    <row r="28" spans="2:31" x14ac:dyDescent="0.3">
      <c r="B28" s="23" t="s">
        <v>29</v>
      </c>
      <c r="C28" s="27" t="s">
        <v>28</v>
      </c>
      <c r="D28" s="32" t="str">
        <f>INDEX('Weighted Ratio'!$Z$11:$Z$29,MATCH('Capital Structure'!$B28,'Weighted Ratio'!$C$11:$C$29,0))</f>
        <v/>
      </c>
      <c r="E28" s="32">
        <f>INDEX('Weighted Ratio'!$AA$11:$AA$29,MATCH('Capital Structure'!$B28,'Weighted Ratio'!$C$11:$C$29,0))</f>
        <v>0.60987320231588005</v>
      </c>
      <c r="F28" s="32">
        <f>INDEX('Weighted Ratio'!$AB$11:$AB$29,MATCH('Capital Structure'!$B28,'Weighted Ratio'!$C$11:$C$29,0))</f>
        <v>0.59849023271150403</v>
      </c>
      <c r="G28" s="32">
        <f t="shared" si="40"/>
        <v>0.6041817175136921</v>
      </c>
      <c r="H28" s="22"/>
      <c r="I28" s="22"/>
      <c r="J28" s="92" t="str">
        <f t="shared" si="31"/>
        <v>Oklahoma Natural Gas Company</v>
      </c>
      <c r="K28" s="93" t="str">
        <f t="shared" si="32"/>
        <v>OGS</v>
      </c>
      <c r="L28" s="32" t="str">
        <f>INDEX('Weighted Ratio'!AC$11:AC$29,MATCH('Capital Structure'!$J28,'Weighted Ratio'!$C$11:$C$29,0))</f>
        <v/>
      </c>
      <c r="M28" s="32">
        <f>INDEX('Weighted Ratio'!AD$11:AD$29,MATCH('Capital Structure'!$J28,'Weighted Ratio'!$C$11:$C$29,0))</f>
        <v>0.3901267976841199</v>
      </c>
      <c r="N28" s="32">
        <f>INDEX('Weighted Ratio'!AE$11:AE$29,MATCH('Capital Structure'!$J28,'Weighted Ratio'!$C$11:$C$29,0))</f>
        <v>0.40150976728849602</v>
      </c>
      <c r="O28" s="32">
        <f t="shared" si="33"/>
        <v>0.39581828248630796</v>
      </c>
      <c r="P28" s="22"/>
      <c r="Q28" s="22"/>
      <c r="R28" s="92" t="str">
        <f t="shared" si="34"/>
        <v>Oklahoma Natural Gas Company</v>
      </c>
      <c r="S28" s="93" t="str">
        <f t="shared" si="35"/>
        <v>OGS</v>
      </c>
      <c r="T28" s="32" t="str">
        <f>INDEX('Weighted Ratio'!W$11:W$29,MATCH('Capital Structure'!$R28,'Weighted Ratio'!$C$11:$C$29,0))</f>
        <v/>
      </c>
      <c r="U28" s="32">
        <f>INDEX('Weighted Ratio'!X$11:X$29,MATCH('Capital Structure'!$R28,'Weighted Ratio'!$C$11:$C$29,0))</f>
        <v>0</v>
      </c>
      <c r="V28" s="32">
        <f>INDEX('Weighted Ratio'!Y$11:Y$29,MATCH('Capital Structure'!$R28,'Weighted Ratio'!$C$11:$C$29,0))</f>
        <v>0</v>
      </c>
      <c r="W28" s="32">
        <f t="shared" si="36"/>
        <v>0</v>
      </c>
      <c r="Z28" s="92" t="str">
        <f t="shared" si="37"/>
        <v>Oklahoma Natural Gas Company</v>
      </c>
      <c r="AA28" s="93" t="str">
        <f t="shared" si="38"/>
        <v>OGS</v>
      </c>
      <c r="AB28" s="32" t="str">
        <f>INDEX('Weighted Ratio'!AF$11:AF$29,MATCH('Capital Structure'!$B28,'Weighted Ratio'!$C$11:$C$29,0))</f>
        <v/>
      </c>
      <c r="AC28" s="32">
        <f>INDEX('Weighted Ratio'!AG$11:AG$29,MATCH('Capital Structure'!$B28,'Weighted Ratio'!$C$11:$C$29,0))</f>
        <v>0</v>
      </c>
      <c r="AD28" s="32">
        <f>INDEX('Weighted Ratio'!AH$11:AH$29,MATCH('Capital Structure'!$B28,'Weighted Ratio'!$C$11:$C$29,0))</f>
        <v>0</v>
      </c>
      <c r="AE28" s="32">
        <f t="shared" si="39"/>
        <v>0</v>
      </c>
    </row>
    <row r="29" spans="2:31" x14ac:dyDescent="0.3">
      <c r="B29" s="23" t="s">
        <v>30</v>
      </c>
      <c r="C29" s="27" t="s">
        <v>28</v>
      </c>
      <c r="D29" s="32">
        <f>INDEX('Weighted Ratio'!$Z$11:$Z$29,MATCH('Capital Structure'!$B29,'Weighted Ratio'!$C$11:$C$29,0))</f>
        <v>0.58130708075533855</v>
      </c>
      <c r="E29" s="32">
        <f>INDEX('Weighted Ratio'!$AA$11:$AA$29,MATCH('Capital Structure'!$B29,'Weighted Ratio'!$C$11:$C$29,0))</f>
        <v>0.60979995213814531</v>
      </c>
      <c r="F29" s="32">
        <f>INDEX('Weighted Ratio'!$AB$11:$AB$29,MATCH('Capital Structure'!$B29,'Weighted Ratio'!$C$11:$C$29,0))</f>
        <v>0.5999160201616992</v>
      </c>
      <c r="G29" s="32">
        <f t="shared" si="40"/>
        <v>0.59700768435172769</v>
      </c>
      <c r="H29" s="22"/>
      <c r="I29" s="22"/>
      <c r="J29" s="92" t="str">
        <f t="shared" si="31"/>
        <v>Texas Gas Service Company, Inc.</v>
      </c>
      <c r="K29" s="93" t="str">
        <f t="shared" si="32"/>
        <v>OGS</v>
      </c>
      <c r="L29" s="32">
        <f>INDEX('Weighted Ratio'!AC$11:AC$29,MATCH('Capital Structure'!$J29,'Weighted Ratio'!$C$11:$C$29,0))</f>
        <v>0.41869291924466151</v>
      </c>
      <c r="M29" s="32">
        <f>INDEX('Weighted Ratio'!AD$11:AD$29,MATCH('Capital Structure'!$J29,'Weighted Ratio'!$C$11:$C$29,0))</f>
        <v>0.39020004786185475</v>
      </c>
      <c r="N29" s="32">
        <f>INDEX('Weighted Ratio'!AE$11:AE$29,MATCH('Capital Structure'!$J29,'Weighted Ratio'!$C$11:$C$29,0))</f>
        <v>0.40008397983830091</v>
      </c>
      <c r="O29" s="32">
        <f t="shared" si="33"/>
        <v>0.40299231564827237</v>
      </c>
      <c r="P29" s="22"/>
      <c r="Q29" s="22"/>
      <c r="R29" s="92" t="str">
        <f t="shared" si="34"/>
        <v>Texas Gas Service Company, Inc.</v>
      </c>
      <c r="S29" s="93" t="str">
        <f t="shared" si="35"/>
        <v>OGS</v>
      </c>
      <c r="T29" s="32">
        <f>INDEX('Weighted Ratio'!W$11:W$29,MATCH('Capital Structure'!$R29,'Weighted Ratio'!$C$11:$C$29,0))</f>
        <v>0</v>
      </c>
      <c r="U29" s="32">
        <f>INDEX('Weighted Ratio'!X$11:X$29,MATCH('Capital Structure'!$R29,'Weighted Ratio'!$C$11:$C$29,0))</f>
        <v>0</v>
      </c>
      <c r="V29" s="32">
        <f>INDEX('Weighted Ratio'!Y$11:Y$29,MATCH('Capital Structure'!$R29,'Weighted Ratio'!$C$11:$C$29,0))</f>
        <v>0</v>
      </c>
      <c r="W29" s="32">
        <f t="shared" si="36"/>
        <v>0</v>
      </c>
      <c r="Z29" s="92" t="str">
        <f t="shared" si="37"/>
        <v>Texas Gas Service Company, Inc.</v>
      </c>
      <c r="AA29" s="93" t="str">
        <f t="shared" si="38"/>
        <v>OGS</v>
      </c>
      <c r="AB29" s="32">
        <f>INDEX('Weighted Ratio'!AF$11:AF$29,MATCH('Capital Structure'!$B29,'Weighted Ratio'!$C$11:$C$29,0))</f>
        <v>0</v>
      </c>
      <c r="AC29" s="32">
        <f>INDEX('Weighted Ratio'!AG$11:AG$29,MATCH('Capital Structure'!$B29,'Weighted Ratio'!$C$11:$C$29,0))</f>
        <v>0</v>
      </c>
      <c r="AD29" s="32">
        <f>INDEX('Weighted Ratio'!AH$11:AH$29,MATCH('Capital Structure'!$B29,'Weighted Ratio'!$C$11:$C$29,0))</f>
        <v>0</v>
      </c>
      <c r="AE29" s="32">
        <f t="shared" si="39"/>
        <v>0</v>
      </c>
    </row>
    <row r="30" spans="2:31" x14ac:dyDescent="0.3">
      <c r="B30" s="23" t="s">
        <v>31</v>
      </c>
      <c r="C30" s="27" t="s">
        <v>32</v>
      </c>
      <c r="D30" s="32">
        <f>INDEX('Weighted Ratio'!$Z$11:$Z$29,MATCH('Capital Structure'!$B30,'Weighted Ratio'!$C$11:$C$29,0))</f>
        <v>0.52014222560694701</v>
      </c>
      <c r="E30" s="32">
        <f>INDEX('Weighted Ratio'!$AA$11:$AA$29,MATCH('Capital Structure'!$B30,'Weighted Ratio'!$C$11:$C$29,0))</f>
        <v>0.56671903617751207</v>
      </c>
      <c r="F30" s="32">
        <f>INDEX('Weighted Ratio'!$AB$11:$AB$29,MATCH('Capital Structure'!$B30,'Weighted Ratio'!$C$11:$C$29,0))</f>
        <v>0.58819325476766138</v>
      </c>
      <c r="G30" s="32">
        <f t="shared" si="20"/>
        <v>0.55835150551737345</v>
      </c>
      <c r="H30" s="22"/>
      <c r="I30" s="22"/>
      <c r="J30" s="92" t="str">
        <f t="shared" si="31"/>
        <v>Spire Alabama Inc.</v>
      </c>
      <c r="K30" s="93" t="str">
        <f t="shared" si="32"/>
        <v>SR</v>
      </c>
      <c r="L30" s="32">
        <f>INDEX('Weighted Ratio'!AC$11:AC$29,MATCH('Capital Structure'!$J30,'Weighted Ratio'!$C$11:$C$29,0))</f>
        <v>0.33009103566320774</v>
      </c>
      <c r="M30" s="32">
        <f>INDEX('Weighted Ratio'!AD$11:AD$29,MATCH('Capital Structure'!$J30,'Weighted Ratio'!$C$11:$C$29,0))</f>
        <v>0.40181111712894868</v>
      </c>
      <c r="N30" s="32">
        <f>INDEX('Weighted Ratio'!AE$11:AE$29,MATCH('Capital Structure'!$J30,'Weighted Ratio'!$C$11:$C$29,0))</f>
        <v>0.32802556343131356</v>
      </c>
      <c r="O30" s="32">
        <f t="shared" si="33"/>
        <v>0.35330923874115666</v>
      </c>
      <c r="P30" s="22"/>
      <c r="Q30" s="22"/>
      <c r="R30" s="92" t="str">
        <f t="shared" si="34"/>
        <v>Spire Alabama Inc.</v>
      </c>
      <c r="S30" s="93" t="str">
        <f t="shared" si="35"/>
        <v>SR</v>
      </c>
      <c r="T30" s="32">
        <f>INDEX('Weighted Ratio'!W$11:W$29,MATCH('Capital Structure'!$R30,'Weighted Ratio'!$C$11:$C$29,0))</f>
        <v>0</v>
      </c>
      <c r="U30" s="32">
        <f>INDEX('Weighted Ratio'!X$11:X$29,MATCH('Capital Structure'!$R30,'Weighted Ratio'!$C$11:$C$29,0))</f>
        <v>0</v>
      </c>
      <c r="V30" s="32">
        <f>INDEX('Weighted Ratio'!Y$11:Y$29,MATCH('Capital Structure'!$R30,'Weighted Ratio'!$C$11:$C$29,0))</f>
        <v>0</v>
      </c>
      <c r="W30" s="32">
        <f t="shared" si="36"/>
        <v>0</v>
      </c>
      <c r="Z30" s="92" t="str">
        <f t="shared" si="37"/>
        <v>Spire Alabama Inc.</v>
      </c>
      <c r="AA30" s="93" t="str">
        <f t="shared" si="38"/>
        <v>SR</v>
      </c>
      <c r="AB30" s="32">
        <f>INDEX('Weighted Ratio'!AF$11:AF$29,MATCH('Capital Structure'!$B30,'Weighted Ratio'!$C$11:$C$29,0))</f>
        <v>0.14976673872984531</v>
      </c>
      <c r="AC30" s="32">
        <f>INDEX('Weighted Ratio'!AG$11:AG$29,MATCH('Capital Structure'!$B30,'Weighted Ratio'!$C$11:$C$29,0))</f>
        <v>3.1469846693539263E-2</v>
      </c>
      <c r="AD30" s="32">
        <f>INDEX('Weighted Ratio'!AH$11:AH$29,MATCH('Capital Structure'!$B30,'Weighted Ratio'!$C$11:$C$29,0))</f>
        <v>8.3781181801025187E-2</v>
      </c>
      <c r="AE30" s="32">
        <f t="shared" si="39"/>
        <v>8.8339255741469905E-2</v>
      </c>
    </row>
    <row r="31" spans="2:31" x14ac:dyDescent="0.3">
      <c r="B31" s="23" t="s">
        <v>33</v>
      </c>
      <c r="C31" s="27" t="s">
        <v>32</v>
      </c>
      <c r="D31" s="32">
        <f>INDEX('Weighted Ratio'!$Z$11:$Z$29,MATCH('Capital Structure'!$B31,'Weighted Ratio'!$C$11:$C$29,0))</f>
        <v>0.41347074927694677</v>
      </c>
      <c r="E31" s="32">
        <f>INDEX('Weighted Ratio'!$AA$11:$AA$29,MATCH('Capital Structure'!$B31,'Weighted Ratio'!$C$11:$C$29,0))</f>
        <v>0.41138924824403894</v>
      </c>
      <c r="F31" s="32">
        <f>INDEX('Weighted Ratio'!$AB$11:$AB$29,MATCH('Capital Structure'!$B31,'Weighted Ratio'!$C$11:$C$29,0))</f>
        <v>0.39489031646209016</v>
      </c>
      <c r="G31" s="32">
        <f t="shared" si="20"/>
        <v>0.40658343799435864</v>
      </c>
      <c r="H31" s="22"/>
      <c r="I31" s="22"/>
      <c r="J31" s="92" t="str">
        <f t="shared" ref="J31:J33" si="41">B31</f>
        <v>Spire Gulf Inc.</v>
      </c>
      <c r="K31" s="93" t="str">
        <f t="shared" ref="K31:K33" si="42">C31</f>
        <v>SR</v>
      </c>
      <c r="L31" s="32">
        <f>INDEX('Weighted Ratio'!AC$11:AC$29,MATCH('Capital Structure'!$J31,'Weighted Ratio'!$C$11:$C$29,0))</f>
        <v>0.38768024974550797</v>
      </c>
      <c r="M31" s="32">
        <f>INDEX('Weighted Ratio'!AD$11:AD$29,MATCH('Capital Structure'!$J31,'Weighted Ratio'!$C$11:$C$29,0))</f>
        <v>0.41999722975973552</v>
      </c>
      <c r="N31" s="32">
        <f>INDEX('Weighted Ratio'!AE$11:AE$29,MATCH('Capital Structure'!$J31,'Weighted Ratio'!$C$11:$C$29,0))</f>
        <v>0.57899800863852546</v>
      </c>
      <c r="O31" s="32">
        <f t="shared" ref="O31:O33" si="43">AVERAGE(L31:N31)</f>
        <v>0.46222516271458963</v>
      </c>
      <c r="P31" s="22"/>
      <c r="Q31" s="22"/>
      <c r="R31" s="92" t="str">
        <f t="shared" si="34"/>
        <v>Spire Gulf Inc.</v>
      </c>
      <c r="S31" s="93" t="str">
        <f t="shared" si="35"/>
        <v>SR</v>
      </c>
      <c r="T31" s="32">
        <f>INDEX('Weighted Ratio'!W$11:W$29,MATCH('Capital Structure'!$R31,'Weighted Ratio'!$C$11:$C$29,0))</f>
        <v>0</v>
      </c>
      <c r="U31" s="32">
        <f>INDEX('Weighted Ratio'!X$11:X$29,MATCH('Capital Structure'!$R31,'Weighted Ratio'!$C$11:$C$29,0))</f>
        <v>0</v>
      </c>
      <c r="V31" s="32">
        <f>INDEX('Weighted Ratio'!Y$11:Y$29,MATCH('Capital Structure'!$R31,'Weighted Ratio'!$C$11:$C$29,0))</f>
        <v>0</v>
      </c>
      <c r="W31" s="32">
        <f t="shared" si="36"/>
        <v>0</v>
      </c>
      <c r="Z31" s="92" t="str">
        <f t="shared" si="37"/>
        <v>Spire Gulf Inc.</v>
      </c>
      <c r="AA31" s="93" t="str">
        <f t="shared" si="38"/>
        <v>SR</v>
      </c>
      <c r="AB31" s="32">
        <f>INDEX('Weighted Ratio'!AF$11:AF$29,MATCH('Capital Structure'!$B31,'Weighted Ratio'!$C$11:$C$29,0))</f>
        <v>0.19884900097754518</v>
      </c>
      <c r="AC31" s="32">
        <f>INDEX('Weighted Ratio'!AG$11:AG$29,MATCH('Capital Structure'!$B31,'Weighted Ratio'!$C$11:$C$29,0))</f>
        <v>0.16861352199622553</v>
      </c>
      <c r="AD31" s="32">
        <f>INDEX('Weighted Ratio'!AH$11:AH$29,MATCH('Capital Structure'!$B31,'Weighted Ratio'!$C$11:$C$29,0))</f>
        <v>2.6111674899384481E-2</v>
      </c>
      <c r="AE31" s="32">
        <f t="shared" si="39"/>
        <v>0.13119139929105172</v>
      </c>
    </row>
    <row r="32" spans="2:31" x14ac:dyDescent="0.3">
      <c r="B32" s="23" t="s">
        <v>34</v>
      </c>
      <c r="C32" s="27" t="s">
        <v>32</v>
      </c>
      <c r="D32" s="32" t="str">
        <f>INDEX('Weighted Ratio'!$Z$11:$Z$29,MATCH('Capital Structure'!$B32,'Weighted Ratio'!$C$11:$C$29,0))</f>
        <v/>
      </c>
      <c r="E32" s="32">
        <f>INDEX('Weighted Ratio'!$AA$11:$AA$29,MATCH('Capital Structure'!$B32,'Weighted Ratio'!$C$11:$C$29,0))</f>
        <v>0.39178103407895382</v>
      </c>
      <c r="F32" s="32">
        <f>INDEX('Weighted Ratio'!$AB$11:$AB$29,MATCH('Capital Structure'!$B32,'Weighted Ratio'!$C$11:$C$29,0))</f>
        <v>0.387372877116053</v>
      </c>
      <c r="G32" s="32">
        <f t="shared" si="20"/>
        <v>0.38957695559750338</v>
      </c>
      <c r="H32" s="22"/>
      <c r="I32" s="22"/>
      <c r="J32" s="92" t="str">
        <f t="shared" si="41"/>
        <v>Spire Mississippi Inc.</v>
      </c>
      <c r="K32" s="93" t="str">
        <f t="shared" si="42"/>
        <v>SR</v>
      </c>
      <c r="L32" s="32" t="str">
        <f>INDEX('Weighted Ratio'!AC$11:AC$29,MATCH('Capital Structure'!$J32,'Weighted Ratio'!$C$11:$C$29,0))</f>
        <v/>
      </c>
      <c r="M32" s="32">
        <f>INDEX('Weighted Ratio'!AD$11:AD$29,MATCH('Capital Structure'!$J32,'Weighted Ratio'!$C$11:$C$29,0))</f>
        <v>0</v>
      </c>
      <c r="N32" s="32">
        <f>INDEX('Weighted Ratio'!AE$11:AE$29,MATCH('Capital Structure'!$J32,'Weighted Ratio'!$C$11:$C$29,0))</f>
        <v>0</v>
      </c>
      <c r="O32" s="32">
        <f t="shared" si="43"/>
        <v>0</v>
      </c>
      <c r="P32" s="22"/>
      <c r="Q32" s="22"/>
      <c r="R32" s="92" t="str">
        <f t="shared" si="34"/>
        <v>Spire Mississippi Inc.</v>
      </c>
      <c r="S32" s="93" t="str">
        <f t="shared" si="35"/>
        <v>SR</v>
      </c>
      <c r="T32" s="32" t="str">
        <f>INDEX('Weighted Ratio'!W$11:W$29,MATCH('Capital Structure'!$R32,'Weighted Ratio'!$C$11:$C$29,0))</f>
        <v/>
      </c>
      <c r="U32" s="32">
        <f>INDEX('Weighted Ratio'!X$11:X$29,MATCH('Capital Structure'!$R32,'Weighted Ratio'!$C$11:$C$29,0))</f>
        <v>0</v>
      </c>
      <c r="V32" s="32">
        <f>INDEX('Weighted Ratio'!Y$11:Y$29,MATCH('Capital Structure'!$R32,'Weighted Ratio'!$C$11:$C$29,0))</f>
        <v>0</v>
      </c>
      <c r="W32" s="32">
        <f t="shared" si="36"/>
        <v>0</v>
      </c>
      <c r="Z32" s="92" t="str">
        <f t="shared" si="37"/>
        <v>Spire Mississippi Inc.</v>
      </c>
      <c r="AA32" s="93" t="str">
        <f t="shared" si="38"/>
        <v>SR</v>
      </c>
      <c r="AB32" s="32" t="str">
        <f>INDEX('Weighted Ratio'!AF$11:AF$29,MATCH('Capital Structure'!$B32,'Weighted Ratio'!$C$11:$C$29,0))</f>
        <v/>
      </c>
      <c r="AC32" s="32">
        <f>INDEX('Weighted Ratio'!AG$11:AG$29,MATCH('Capital Structure'!$B32,'Weighted Ratio'!$C$11:$C$29,0))</f>
        <v>0.60821896592104618</v>
      </c>
      <c r="AD32" s="32">
        <f>INDEX('Weighted Ratio'!AH$11:AH$29,MATCH('Capital Structure'!$B32,'Weighted Ratio'!$C$11:$C$29,0))</f>
        <v>0.61262712288394705</v>
      </c>
      <c r="AE32" s="32">
        <f t="shared" si="39"/>
        <v>0.61042304440249662</v>
      </c>
    </row>
    <row r="33" spans="2:31" x14ac:dyDescent="0.3">
      <c r="B33" s="31" t="s">
        <v>35</v>
      </c>
      <c r="C33" s="52" t="s">
        <v>32</v>
      </c>
      <c r="D33" s="33">
        <f>INDEX('Weighted Ratio'!$Z$11:$Z$29,MATCH('Capital Structure'!$B33,'Weighted Ratio'!$C$11:$C$29,0))</f>
        <v>0.45486835662345632</v>
      </c>
      <c r="E33" s="33">
        <f>INDEX('Weighted Ratio'!$AA$11:$AA$29,MATCH('Capital Structure'!$B33,'Weighted Ratio'!$C$11:$C$29,0))</f>
        <v>0.46203947964690456</v>
      </c>
      <c r="F33" s="33">
        <f>INDEX('Weighted Ratio'!$AB$11:$AB$29,MATCH('Capital Structure'!$B33,'Weighted Ratio'!$C$11:$C$29,0))</f>
        <v>0.50651979801798863</v>
      </c>
      <c r="G33" s="33">
        <f t="shared" ref="G33" si="44">AVERAGE(D33:F33)</f>
        <v>0.47447587809611652</v>
      </c>
      <c r="H33" s="22"/>
      <c r="I33" s="22"/>
      <c r="J33" s="31" t="str">
        <f t="shared" si="41"/>
        <v>Spire Missouri Inc.</v>
      </c>
      <c r="K33" s="52" t="str">
        <f t="shared" si="42"/>
        <v>SR</v>
      </c>
      <c r="L33" s="33">
        <f>INDEX('Weighted Ratio'!AC$11:AC$29,MATCH('Capital Structure'!$J33,'Weighted Ratio'!$C$11:$C$29,0))</f>
        <v>0.429082104861502</v>
      </c>
      <c r="M33" s="33">
        <f>INDEX('Weighted Ratio'!AD$11:AD$29,MATCH('Capital Structure'!$J33,'Weighted Ratio'!$C$11:$C$29,0))</f>
        <v>0.39420664610126582</v>
      </c>
      <c r="N33" s="33">
        <f>INDEX('Weighted Ratio'!AE$11:AE$29,MATCH('Capital Structure'!$J33,'Weighted Ratio'!$C$11:$C$29,0))</f>
        <v>0.3871654727854637</v>
      </c>
      <c r="O33" s="33">
        <f t="shared" si="43"/>
        <v>0.40348474124941047</v>
      </c>
      <c r="P33" s="22"/>
      <c r="Q33" s="22"/>
      <c r="R33" s="31" t="str">
        <f t="shared" si="34"/>
        <v>Spire Missouri Inc.</v>
      </c>
      <c r="S33" s="52" t="str">
        <f t="shared" si="35"/>
        <v>SR</v>
      </c>
      <c r="T33" s="33">
        <f>INDEX('Weighted Ratio'!W$11:W$29,MATCH('Capital Structure'!$R33,'Weighted Ratio'!$C$11:$C$29,0))</f>
        <v>0</v>
      </c>
      <c r="U33" s="33">
        <f>INDEX('Weighted Ratio'!X$11:X$29,MATCH('Capital Structure'!$R33,'Weighted Ratio'!$C$11:$C$29,0))</f>
        <v>0</v>
      </c>
      <c r="V33" s="33">
        <f>INDEX('Weighted Ratio'!Y$11:Y$29,MATCH('Capital Structure'!$R33,'Weighted Ratio'!$C$11:$C$29,0))</f>
        <v>0</v>
      </c>
      <c r="W33" s="33">
        <f t="shared" si="36"/>
        <v>0</v>
      </c>
      <c r="Z33" s="31" t="str">
        <f t="shared" si="37"/>
        <v>Spire Missouri Inc.</v>
      </c>
      <c r="AA33" s="52" t="str">
        <f t="shared" si="38"/>
        <v>SR</v>
      </c>
      <c r="AB33" s="33">
        <f>INDEX('Weighted Ratio'!AF$11:AF$29,MATCH('Capital Structure'!$B33,'Weighted Ratio'!$C$11:$C$29,0))</f>
        <v>0.11604953851504161</v>
      </c>
      <c r="AC33" s="33">
        <f>INDEX('Weighted Ratio'!AG$11:AG$29,MATCH('Capital Structure'!$B33,'Weighted Ratio'!$C$11:$C$29,0))</f>
        <v>0.14375387425182962</v>
      </c>
      <c r="AD33" s="33">
        <f>INDEX('Weighted Ratio'!AH$11:AH$29,MATCH('Capital Structure'!$B33,'Weighted Ratio'!$C$11:$C$29,0))</f>
        <v>0.10631472919654768</v>
      </c>
      <c r="AE33" s="33">
        <f t="shared" si="39"/>
        <v>0.12203938065447296</v>
      </c>
    </row>
    <row r="35" spans="2:31" ht="11.65" customHeight="1" x14ac:dyDescent="0.3">
      <c r="B35" s="5" t="s">
        <v>36</v>
      </c>
      <c r="J35" s="5" t="s">
        <v>36</v>
      </c>
      <c r="R35" s="5" t="s">
        <v>36</v>
      </c>
      <c r="Z35" s="5" t="s">
        <v>36</v>
      </c>
    </row>
    <row r="36" spans="2:31" ht="29.65" customHeight="1" x14ac:dyDescent="0.3">
      <c r="B36" s="107" t="s">
        <v>37</v>
      </c>
      <c r="C36" s="107"/>
      <c r="D36" s="107"/>
      <c r="E36" s="107"/>
      <c r="F36" s="107"/>
      <c r="G36" s="107"/>
      <c r="H36" s="22"/>
      <c r="I36" s="22"/>
      <c r="J36" s="108" t="str">
        <f>B36</f>
        <v>[1] Ratios are weighted by actual common capital, preferred equity, long-term debt and short-term debt of Operating Subsidiaries.</v>
      </c>
      <c r="K36" s="108"/>
      <c r="L36" s="108"/>
      <c r="M36" s="108"/>
      <c r="N36" s="108"/>
      <c r="O36" s="108"/>
      <c r="R36" s="108" t="str">
        <f>J36</f>
        <v>[1] Ratios are weighted by actual common capital, preferred equity, long-term debt and short-term debt of Operating Subsidiaries.</v>
      </c>
      <c r="S36" s="108"/>
      <c r="T36" s="108"/>
      <c r="U36" s="108"/>
      <c r="V36" s="108"/>
      <c r="W36" s="108"/>
      <c r="Z36" s="108" t="str">
        <f>R36</f>
        <v>[1] Ratios are weighted by actual common capital, preferred equity, long-term debt and short-term debt of Operating Subsidiaries.</v>
      </c>
      <c r="AA36" s="108"/>
      <c r="AB36" s="108"/>
      <c r="AC36" s="108"/>
      <c r="AD36" s="108"/>
      <c r="AE36" s="108"/>
    </row>
    <row r="37" spans="2:31" ht="24" customHeight="1" x14ac:dyDescent="0.3">
      <c r="B37" s="106" t="s">
        <v>73</v>
      </c>
      <c r="C37" s="106"/>
      <c r="D37" s="106"/>
      <c r="E37" s="106"/>
      <c r="F37" s="106"/>
      <c r="G37" s="106"/>
      <c r="J37" s="106" t="str">
        <f t="shared" ref="J37" si="45">B37</f>
        <v>[2] Natural Gas, Electric and Water operating subsidiaries where data was unable to be obtained for 2022, 2021 and 2020 were removed from the analysis.</v>
      </c>
      <c r="K37" s="106"/>
      <c r="L37" s="106"/>
      <c r="M37" s="106"/>
      <c r="N37" s="106"/>
      <c r="O37" s="106"/>
      <c r="R37" s="106" t="str">
        <f t="shared" ref="R37" si="46">J37</f>
        <v>[2] Natural Gas, Electric and Water operating subsidiaries where data was unable to be obtained for 2022, 2021 and 2020 were removed from the analysis.</v>
      </c>
      <c r="S37" s="106"/>
      <c r="T37" s="106"/>
      <c r="U37" s="106"/>
      <c r="V37" s="106"/>
      <c r="W37" s="106"/>
      <c r="Z37" s="106" t="str">
        <f t="shared" ref="Z37" si="47">R37</f>
        <v>[2] Natural Gas, Electric and Water operating subsidiaries where data was unable to be obtained for 2022, 2021 and 2020 were removed from the analysis.</v>
      </c>
      <c r="AA37" s="106"/>
      <c r="AB37" s="106"/>
      <c r="AC37" s="106"/>
      <c r="AD37" s="106"/>
      <c r="AE37" s="106"/>
    </row>
    <row r="38" spans="2:31" x14ac:dyDescent="0.3">
      <c r="B38" s="23"/>
      <c r="K38" s="21"/>
      <c r="L38" s="21"/>
      <c r="M38" s="21"/>
    </row>
    <row r="39" spans="2:31" x14ac:dyDescent="0.3">
      <c r="B39" s="23"/>
      <c r="K39" s="21"/>
      <c r="L39" s="21"/>
      <c r="M39" s="21"/>
    </row>
    <row r="40" spans="2:31" x14ac:dyDescent="0.3">
      <c r="B40" s="28"/>
      <c r="K40" s="21"/>
      <c r="L40" s="21"/>
      <c r="M40" s="21"/>
    </row>
    <row r="41" spans="2:31" x14ac:dyDescent="0.3">
      <c r="B41" s="28"/>
      <c r="K41" s="21"/>
      <c r="L41" s="21"/>
      <c r="M41" s="21"/>
    </row>
    <row r="42" spans="2:31" x14ac:dyDescent="0.3">
      <c r="B42" s="29"/>
    </row>
    <row r="43" spans="2:31" x14ac:dyDescent="0.3">
      <c r="B43" s="28"/>
    </row>
    <row r="44" spans="2:31" x14ac:dyDescent="0.3">
      <c r="B44" s="28"/>
    </row>
    <row r="45" spans="2:31" x14ac:dyDescent="0.3">
      <c r="B45" s="28"/>
    </row>
    <row r="46" spans="2:31" x14ac:dyDescent="0.3">
      <c r="B46" s="28"/>
    </row>
    <row r="47" spans="2:31" x14ac:dyDescent="0.3">
      <c r="B47" s="28"/>
    </row>
    <row r="48" spans="2:31" x14ac:dyDescent="0.3">
      <c r="B48" s="29"/>
    </row>
    <row r="49" spans="2:2" x14ac:dyDescent="0.3">
      <c r="B49" s="28"/>
    </row>
    <row r="50" spans="2:2" x14ac:dyDescent="0.3">
      <c r="B50" s="28"/>
    </row>
    <row r="51" spans="2:2" x14ac:dyDescent="0.3">
      <c r="B51" s="28"/>
    </row>
    <row r="52" spans="2:2" x14ac:dyDescent="0.3">
      <c r="B52" s="23"/>
    </row>
    <row r="53" spans="2:2" x14ac:dyDescent="0.3">
      <c r="B53" s="23"/>
    </row>
    <row r="54" spans="2:2" x14ac:dyDescent="0.3">
      <c r="B54" s="28"/>
    </row>
  </sheetData>
  <dataConsolidate/>
  <mergeCells count="20">
    <mergeCell ref="Z37:AE37"/>
    <mergeCell ref="R1:W1"/>
    <mergeCell ref="R3:W3"/>
    <mergeCell ref="R17:W17"/>
    <mergeCell ref="R36:W36"/>
    <mergeCell ref="Z1:AE1"/>
    <mergeCell ref="Z3:AE3"/>
    <mergeCell ref="Z17:AE17"/>
    <mergeCell ref="Z36:AE36"/>
    <mergeCell ref="B1:G1"/>
    <mergeCell ref="J1:O1"/>
    <mergeCell ref="B3:G3"/>
    <mergeCell ref="J3:O3"/>
    <mergeCell ref="B17:G17"/>
    <mergeCell ref="J17:O17"/>
    <mergeCell ref="B37:G37"/>
    <mergeCell ref="J37:O37"/>
    <mergeCell ref="R37:W37"/>
    <mergeCell ref="B36:G36"/>
    <mergeCell ref="J36:O36"/>
  </mergeCells>
  <printOptions horizontalCentered="1"/>
  <pageMargins left="0.7" right="0.7" top="0.75" bottom="0.75" header="0.3" footer="0.3"/>
  <pageSetup scale="49" orientation="portrait" r:id="rId1"/>
  <headerFooter>
    <oddHeader>&amp;LCascade Natural Gas Corporation 
&amp;CCNGC WP 16&amp;RWitness: Ann E. Bulkley
Page &amp;P of &amp;N</oddHeader>
  </headerFooter>
  <colBreaks count="3" manualBreakCount="3">
    <brk id="8" max="1048575" man="1"/>
    <brk id="16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N52"/>
  <sheetViews>
    <sheetView tabSelected="1" zoomScaleNormal="100" workbookViewId="0">
      <selection activeCell="D22" sqref="D22"/>
    </sheetView>
  </sheetViews>
  <sheetFormatPr defaultColWidth="9.1796875" defaultRowHeight="13" x14ac:dyDescent="0.3"/>
  <cols>
    <col min="1" max="1" width="29.7265625" style="1" bestFit="1" customWidth="1"/>
    <col min="2" max="2" width="16.81640625" style="1" customWidth="1"/>
    <col min="3" max="3" width="38.1796875" style="1" bestFit="1" customWidth="1"/>
    <col min="4" max="4" width="9.1796875" style="1"/>
    <col min="5" max="7" width="11" style="1" customWidth="1"/>
    <col min="8" max="10" width="15.7265625" style="56" customWidth="1"/>
    <col min="11" max="11" width="16.26953125" style="56" bestFit="1" customWidth="1"/>
    <col min="12" max="12" width="14.26953125" style="56" customWidth="1"/>
    <col min="13" max="13" width="12.453125" style="56" customWidth="1"/>
    <col min="14" max="15" width="13" style="56" customWidth="1"/>
    <col min="16" max="17" width="17.54296875" style="56" customWidth="1"/>
    <col min="18" max="18" width="11" style="56" customWidth="1"/>
    <col min="19" max="20" width="14.453125" style="56" customWidth="1"/>
    <col min="21" max="21" width="15" style="1" bestFit="1" customWidth="1"/>
    <col min="22" max="22" width="12.1796875" style="1" customWidth="1"/>
    <col min="23" max="37" width="9.26953125" style="1" customWidth="1"/>
    <col min="38" max="38" width="38.26953125" style="1" customWidth="1"/>
    <col min="39" max="39" width="9.1796875" style="1"/>
    <col min="40" max="40" width="9.1796875" style="45"/>
    <col min="41" max="16384" width="9.1796875" style="1"/>
  </cols>
  <sheetData>
    <row r="1" spans="1:40" ht="50.65" customHeight="1" x14ac:dyDescent="0.3">
      <c r="A1" s="2" t="s">
        <v>17</v>
      </c>
      <c r="B1" s="2"/>
      <c r="C1" s="2"/>
      <c r="D1" s="4" t="s">
        <v>6</v>
      </c>
      <c r="E1" s="117" t="s">
        <v>38</v>
      </c>
      <c r="F1" s="117"/>
      <c r="G1" s="117"/>
      <c r="H1" s="118" t="s">
        <v>39</v>
      </c>
      <c r="I1" s="118"/>
      <c r="J1" s="118"/>
      <c r="K1" s="119" t="s">
        <v>40</v>
      </c>
      <c r="L1" s="119"/>
      <c r="M1" s="119"/>
      <c r="N1" s="119" t="s">
        <v>41</v>
      </c>
      <c r="O1" s="119"/>
      <c r="P1" s="119"/>
      <c r="Q1" s="113" t="s">
        <v>42</v>
      </c>
      <c r="R1" s="113"/>
      <c r="S1" s="113"/>
      <c r="T1" s="113" t="s">
        <v>43</v>
      </c>
      <c r="U1" s="113"/>
      <c r="V1" s="113"/>
      <c r="W1" s="122" t="s">
        <v>44</v>
      </c>
      <c r="X1" s="122"/>
      <c r="Y1" s="122"/>
      <c r="Z1" s="118" t="s">
        <v>45</v>
      </c>
      <c r="AA1" s="118"/>
      <c r="AB1" s="118"/>
      <c r="AC1" s="124" t="s">
        <v>46</v>
      </c>
      <c r="AD1" s="124"/>
      <c r="AE1" s="124"/>
      <c r="AF1" s="113" t="s">
        <v>47</v>
      </c>
      <c r="AG1" s="113"/>
      <c r="AH1" s="113"/>
      <c r="AI1" s="115" t="s">
        <v>48</v>
      </c>
      <c r="AJ1" s="115"/>
      <c r="AK1" s="115"/>
      <c r="AL1" s="86"/>
    </row>
    <row r="2" spans="1:40" x14ac:dyDescent="0.3">
      <c r="A2" s="3"/>
      <c r="B2" s="3"/>
      <c r="C2" s="3"/>
      <c r="D2" s="8"/>
      <c r="E2" s="59">
        <v>2022</v>
      </c>
      <c r="F2" s="10">
        <v>2021</v>
      </c>
      <c r="G2" s="10">
        <v>2020</v>
      </c>
      <c r="H2" s="55">
        <v>2022</v>
      </c>
      <c r="I2" s="55">
        <v>2021</v>
      </c>
      <c r="J2" s="55">
        <v>2020</v>
      </c>
      <c r="K2" s="53">
        <v>2022</v>
      </c>
      <c r="L2" s="53">
        <v>2021</v>
      </c>
      <c r="M2" s="53">
        <v>2020</v>
      </c>
      <c r="N2" s="53">
        <v>2022</v>
      </c>
      <c r="O2" s="11">
        <v>2021</v>
      </c>
      <c r="P2" s="11">
        <v>2020</v>
      </c>
      <c r="Q2" s="54">
        <v>2022</v>
      </c>
      <c r="R2" s="54">
        <v>2021</v>
      </c>
      <c r="S2" s="54">
        <v>2020</v>
      </c>
      <c r="T2" s="54">
        <v>2022</v>
      </c>
      <c r="U2" s="46">
        <v>2021</v>
      </c>
      <c r="V2" s="46">
        <v>2020</v>
      </c>
      <c r="W2" s="24">
        <v>2022</v>
      </c>
      <c r="X2" s="24">
        <v>2021</v>
      </c>
      <c r="Y2" s="24">
        <v>2020</v>
      </c>
      <c r="Z2" s="63">
        <v>2022</v>
      </c>
      <c r="AA2" s="14">
        <v>2021</v>
      </c>
      <c r="AB2" s="14">
        <v>2020</v>
      </c>
      <c r="AC2" s="25">
        <v>2022</v>
      </c>
      <c r="AD2" s="25">
        <v>2021</v>
      </c>
      <c r="AE2" s="25">
        <v>2020</v>
      </c>
      <c r="AF2" s="64">
        <v>2022</v>
      </c>
      <c r="AG2" s="46">
        <v>2021</v>
      </c>
      <c r="AH2" s="46">
        <v>2020</v>
      </c>
      <c r="AI2" s="26">
        <v>2022</v>
      </c>
      <c r="AJ2" s="26">
        <v>2021</v>
      </c>
      <c r="AK2" s="26">
        <v>2020</v>
      </c>
    </row>
    <row r="3" spans="1:40" x14ac:dyDescent="0.3">
      <c r="A3" s="28" t="s">
        <v>18</v>
      </c>
      <c r="B3" s="28"/>
      <c r="C3" s="28"/>
      <c r="D3" s="7" t="s">
        <v>19</v>
      </c>
      <c r="E3" s="9">
        <f t="shared" ref="E3:N7" si="0">SUMIF($D$11:$D$29, $D3, E$11:E$29)</f>
        <v>0</v>
      </c>
      <c r="F3" s="9">
        <f t="shared" si="0"/>
        <v>0</v>
      </c>
      <c r="G3" s="9">
        <f t="shared" si="0"/>
        <v>0</v>
      </c>
      <c r="H3" s="13">
        <f t="shared" si="0"/>
        <v>9836274.4509999994</v>
      </c>
      <c r="I3" s="13">
        <f t="shared" si="0"/>
        <v>8289544.9289999995</v>
      </c>
      <c r="J3" s="13">
        <f t="shared" si="0"/>
        <v>7213155.6639999999</v>
      </c>
      <c r="K3" s="12">
        <f t="shared" si="0"/>
        <v>6553642.1119999997</v>
      </c>
      <c r="L3" s="12">
        <f t="shared" si="0"/>
        <v>5553471.3509999998</v>
      </c>
      <c r="M3" s="12">
        <f t="shared" si="0"/>
        <v>5156910.4709999999</v>
      </c>
      <c r="N3" s="12">
        <f t="shared" si="0"/>
        <v>0</v>
      </c>
      <c r="O3" s="12">
        <f t="shared" ref="O3:V7" si="1">SUMIF($D$11:$D$29, $D3, O$11:O$29)</f>
        <v>0</v>
      </c>
      <c r="P3" s="12">
        <f t="shared" si="1"/>
        <v>0</v>
      </c>
      <c r="Q3" s="47">
        <f t="shared" si="1"/>
        <v>0</v>
      </c>
      <c r="R3" s="47">
        <f t="shared" si="1"/>
        <v>0</v>
      </c>
      <c r="S3" s="47">
        <f t="shared" si="1"/>
        <v>0</v>
      </c>
      <c r="T3" s="47">
        <f t="shared" si="1"/>
        <v>0</v>
      </c>
      <c r="U3" s="47">
        <f t="shared" si="1"/>
        <v>0</v>
      </c>
      <c r="V3" s="47">
        <f t="shared" si="1"/>
        <v>0</v>
      </c>
      <c r="W3" s="40">
        <f t="shared" ref="W3:W7" si="2">IFERROR((E3/(H3+K3+N3+Q3+T3)),"")</f>
        <v>0</v>
      </c>
      <c r="X3" s="40">
        <f t="shared" ref="X3:X7" si="3">IFERROR((F3/(I3+L3+O3+R3+U3)),"")</f>
        <v>0</v>
      </c>
      <c r="Y3" s="40">
        <f t="shared" ref="Y3:Y7" si="4">IFERROR((G3/(J3+M3+P3+S3+V3)),"")</f>
        <v>0</v>
      </c>
      <c r="Z3" s="41">
        <f t="shared" ref="Z3:Z7" si="5">IFERROR((H3-E3)/(H3+K3+N3+Q3+T3),"")</f>
        <v>0.60014182581046494</v>
      </c>
      <c r="AA3" s="41">
        <f t="shared" ref="AA3:AA7" si="6">IFERROR((I3-F3)/(I3+L3+O3+R3+U3),"")</f>
        <v>0.59882505093752592</v>
      </c>
      <c r="AB3" s="41">
        <f t="shared" ref="AB3:AB7" si="7">IFERROR((J3-G3)/(J3+M3+P3+S3+V3),"")</f>
        <v>0.58311375099208396</v>
      </c>
      <c r="AC3" s="42">
        <f t="shared" ref="AC3:AC7" si="8">IFERROR((K3+N3)/(H3+K3+N3+Q3+T3),"")</f>
        <v>0.39985817418953506</v>
      </c>
      <c r="AD3" s="42">
        <f t="shared" ref="AD3:AD7" si="9">IFERROR((L3+O3)/(I3+L3+O3+R3+U3),"")</f>
        <v>0.40117494906247414</v>
      </c>
      <c r="AE3" s="42">
        <f t="shared" ref="AE3:AE7" si="10">IFERROR((M3+P3)/(J3+M3+P3+S3+V3),"")</f>
        <v>0.4168862490079161</v>
      </c>
      <c r="AF3" s="49">
        <f t="shared" ref="AF3:AF7" si="11">IFERROR((Q3+T3)/(H3+K3+N3+Q3+T3),"")</f>
        <v>0</v>
      </c>
      <c r="AG3" s="49">
        <f t="shared" ref="AG3:AG7" si="12">IFERROR((R3+U3)/(I3+L3+O3+R3+U3),"")</f>
        <v>0</v>
      </c>
      <c r="AH3" s="49">
        <f t="shared" ref="AH3:AH7" si="13">IFERROR((S3+V3)/(J3+M3+P3+S3+V3),"")</f>
        <v>0</v>
      </c>
      <c r="AI3" s="43">
        <f t="shared" ref="AI3:AI7" si="14">IFERROR(W3+Z3+AC3+AF3,"")</f>
        <v>1</v>
      </c>
      <c r="AJ3" s="43">
        <f t="shared" ref="AJ3:AJ7" si="15">IFERROR(X3+AA3+AD3+AG3,"")</f>
        <v>1</v>
      </c>
      <c r="AK3" s="43">
        <f t="shared" ref="AK3:AK7" si="16">IFERROR(Y3+AB3+AE3+AH3,"")</f>
        <v>1</v>
      </c>
    </row>
    <row r="4" spans="1:40" ht="12" customHeight="1" x14ac:dyDescent="0.3">
      <c r="A4" s="6" t="s">
        <v>49</v>
      </c>
      <c r="B4" s="6"/>
      <c r="C4" s="6"/>
      <c r="D4" s="30" t="s">
        <v>21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13">
        <f t="shared" si="0"/>
        <v>8333665.5099999998</v>
      </c>
      <c r="I4" s="13">
        <f t="shared" si="0"/>
        <v>7551677.2889999999</v>
      </c>
      <c r="J4" s="13">
        <f t="shared" si="0"/>
        <v>6709435.4400000004</v>
      </c>
      <c r="K4" s="12">
        <f t="shared" si="0"/>
        <v>7049381.7599999998</v>
      </c>
      <c r="L4" s="12">
        <f t="shared" si="0"/>
        <v>6215365.2939999998</v>
      </c>
      <c r="M4" s="12">
        <f t="shared" si="0"/>
        <v>5618347.7860000003</v>
      </c>
      <c r="N4" s="12">
        <f t="shared" si="0"/>
        <v>0</v>
      </c>
      <c r="O4" s="12">
        <f t="shared" si="1"/>
        <v>0</v>
      </c>
      <c r="P4" s="12">
        <f t="shared" si="1"/>
        <v>0</v>
      </c>
      <c r="Q4" s="47">
        <f t="shared" si="1"/>
        <v>0</v>
      </c>
      <c r="R4" s="47">
        <f t="shared" si="1"/>
        <v>0</v>
      </c>
      <c r="S4" s="47">
        <f t="shared" si="1"/>
        <v>0</v>
      </c>
      <c r="T4" s="47">
        <f t="shared" si="1"/>
        <v>0</v>
      </c>
      <c r="U4" s="47">
        <f t="shared" si="1"/>
        <v>0</v>
      </c>
      <c r="V4" s="47">
        <f t="shared" si="1"/>
        <v>0</v>
      </c>
      <c r="W4" s="40">
        <f t="shared" si="2"/>
        <v>0</v>
      </c>
      <c r="X4" s="40">
        <f t="shared" si="3"/>
        <v>0</v>
      </c>
      <c r="Y4" s="40">
        <f t="shared" si="4"/>
        <v>0</v>
      </c>
      <c r="Z4" s="41">
        <f t="shared" si="5"/>
        <v>0.54174347668113221</v>
      </c>
      <c r="AA4" s="41">
        <f t="shared" si="6"/>
        <v>0.54853300870334054</v>
      </c>
      <c r="AB4" s="41">
        <f t="shared" si="7"/>
        <v>0.54425319759431012</v>
      </c>
      <c r="AC4" s="42">
        <f t="shared" si="8"/>
        <v>0.45825652331886774</v>
      </c>
      <c r="AD4" s="42">
        <f t="shared" si="9"/>
        <v>0.45146699129665935</v>
      </c>
      <c r="AE4" s="42">
        <f t="shared" si="10"/>
        <v>0.45574680240568988</v>
      </c>
      <c r="AF4" s="49">
        <f t="shared" si="11"/>
        <v>0</v>
      </c>
      <c r="AG4" s="49">
        <f t="shared" si="12"/>
        <v>0</v>
      </c>
      <c r="AH4" s="49">
        <f t="shared" si="13"/>
        <v>0</v>
      </c>
      <c r="AI4" s="43">
        <f t="shared" si="14"/>
        <v>1</v>
      </c>
      <c r="AJ4" s="43">
        <f t="shared" si="15"/>
        <v>0.99999999999999989</v>
      </c>
      <c r="AK4" s="43">
        <f t="shared" si="16"/>
        <v>1</v>
      </c>
    </row>
    <row r="5" spans="1:40" ht="12" customHeight="1" x14ac:dyDescent="0.3">
      <c r="A5" s="6" t="s">
        <v>7</v>
      </c>
      <c r="B5" s="6"/>
      <c r="C5" s="6"/>
      <c r="D5" s="30" t="s">
        <v>8</v>
      </c>
      <c r="E5" s="9">
        <f t="shared" si="0"/>
        <v>0</v>
      </c>
      <c r="F5" s="9">
        <f t="shared" si="0"/>
        <v>0</v>
      </c>
      <c r="G5" s="9">
        <f t="shared" si="0"/>
        <v>0</v>
      </c>
      <c r="H5" s="13">
        <f t="shared" si="0"/>
        <v>1190968.264</v>
      </c>
      <c r="I5" s="13">
        <f t="shared" si="0"/>
        <v>977584.69</v>
      </c>
      <c r="J5" s="13">
        <f t="shared" si="0"/>
        <v>834596.45900000003</v>
      </c>
      <c r="K5" s="12">
        <f t="shared" si="0"/>
        <v>1044700</v>
      </c>
      <c r="L5" s="12">
        <f t="shared" si="0"/>
        <v>994700</v>
      </c>
      <c r="M5" s="12">
        <f t="shared" si="0"/>
        <v>864700</v>
      </c>
      <c r="N5" s="12">
        <f t="shared" si="0"/>
        <v>90000</v>
      </c>
      <c r="O5" s="12">
        <f t="shared" si="1"/>
        <v>0</v>
      </c>
      <c r="P5" s="12">
        <f t="shared" si="1"/>
        <v>60000</v>
      </c>
      <c r="Q5" s="47">
        <f t="shared" si="1"/>
        <v>170200</v>
      </c>
      <c r="R5" s="47">
        <f t="shared" si="1"/>
        <v>245500</v>
      </c>
      <c r="S5" s="47">
        <f t="shared" si="1"/>
        <v>231525</v>
      </c>
      <c r="T5" s="47">
        <f t="shared" si="1"/>
        <v>0</v>
      </c>
      <c r="U5" s="47">
        <f t="shared" si="1"/>
        <v>0</v>
      </c>
      <c r="V5" s="47">
        <f t="shared" si="1"/>
        <v>0</v>
      </c>
      <c r="W5" s="40">
        <f t="shared" si="2"/>
        <v>0</v>
      </c>
      <c r="X5" s="40">
        <f t="shared" si="3"/>
        <v>0</v>
      </c>
      <c r="Y5" s="40">
        <f t="shared" si="4"/>
        <v>0</v>
      </c>
      <c r="Z5" s="41">
        <f t="shared" si="5"/>
        <v>0.47717593158995347</v>
      </c>
      <c r="AA5" s="41">
        <f t="shared" si="6"/>
        <v>0.44079332606448823</v>
      </c>
      <c r="AB5" s="41">
        <f t="shared" si="7"/>
        <v>0.41922215336136781</v>
      </c>
      <c r="AC5" s="42">
        <f t="shared" si="8"/>
        <v>0.45463136671383231</v>
      </c>
      <c r="AD5" s="42">
        <f t="shared" si="9"/>
        <v>0.44851062616001736</v>
      </c>
      <c r="AE5" s="42">
        <f t="shared" si="10"/>
        <v>0.46448163185084496</v>
      </c>
      <c r="AF5" s="49">
        <f t="shared" si="11"/>
        <v>6.8192701696214206E-2</v>
      </c>
      <c r="AG5" s="49">
        <f t="shared" si="12"/>
        <v>0.11069604777549438</v>
      </c>
      <c r="AH5" s="49">
        <f t="shared" si="13"/>
        <v>0.11629621478778725</v>
      </c>
      <c r="AI5" s="43">
        <f t="shared" si="14"/>
        <v>0.99999999999999989</v>
      </c>
      <c r="AJ5" s="43">
        <f t="shared" si="15"/>
        <v>1</v>
      </c>
      <c r="AK5" s="43">
        <f t="shared" si="16"/>
        <v>1</v>
      </c>
    </row>
    <row r="6" spans="1:40" x14ac:dyDescent="0.3">
      <c r="A6" s="6" t="s">
        <v>50</v>
      </c>
      <c r="B6" s="6"/>
      <c r="C6" s="6"/>
      <c r="D6" s="7" t="s">
        <v>28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13">
        <f t="shared" si="0"/>
        <v>1773688.9679999999</v>
      </c>
      <c r="I6" s="13">
        <f t="shared" si="0"/>
        <v>2611946.1210000003</v>
      </c>
      <c r="J6" s="13">
        <f t="shared" si="0"/>
        <v>2451515.139</v>
      </c>
      <c r="K6" s="12">
        <f t="shared" si="0"/>
        <v>1272210</v>
      </c>
      <c r="L6" s="12">
        <f t="shared" si="0"/>
        <v>1663390.254</v>
      </c>
      <c r="M6" s="12">
        <f t="shared" si="0"/>
        <v>1631511.9819999998</v>
      </c>
      <c r="N6" s="12">
        <f t="shared" si="0"/>
        <v>0</v>
      </c>
      <c r="O6" s="12">
        <f t="shared" si="1"/>
        <v>0</v>
      </c>
      <c r="P6" s="12">
        <f t="shared" si="1"/>
        <v>0</v>
      </c>
      <c r="Q6" s="47">
        <f t="shared" si="1"/>
        <v>0</v>
      </c>
      <c r="R6" s="47">
        <f t="shared" si="1"/>
        <v>0</v>
      </c>
      <c r="S6" s="47">
        <f t="shared" si="1"/>
        <v>0</v>
      </c>
      <c r="T6" s="47">
        <f t="shared" si="1"/>
        <v>0</v>
      </c>
      <c r="U6" s="47">
        <f t="shared" si="1"/>
        <v>0</v>
      </c>
      <c r="V6" s="47">
        <f t="shared" si="1"/>
        <v>0</v>
      </c>
      <c r="W6" s="40">
        <f t="shared" si="2"/>
        <v>0</v>
      </c>
      <c r="X6" s="40">
        <f t="shared" si="3"/>
        <v>0</v>
      </c>
      <c r="Y6" s="40">
        <f t="shared" si="4"/>
        <v>0</v>
      </c>
      <c r="Z6" s="41">
        <f t="shared" si="5"/>
        <v>0.58232035488840939</v>
      </c>
      <c r="AA6" s="41">
        <f t="shared" si="6"/>
        <v>0.61093347795353303</v>
      </c>
      <c r="AB6" s="41">
        <f t="shared" si="7"/>
        <v>0.60041608011645631</v>
      </c>
      <c r="AC6" s="42">
        <f t="shared" si="8"/>
        <v>0.41767964511159061</v>
      </c>
      <c r="AD6" s="42">
        <f t="shared" si="9"/>
        <v>0.38906652204646702</v>
      </c>
      <c r="AE6" s="42">
        <f t="shared" si="10"/>
        <v>0.39958391988354364</v>
      </c>
      <c r="AF6" s="49">
        <f t="shared" si="11"/>
        <v>0</v>
      </c>
      <c r="AG6" s="49">
        <f t="shared" si="12"/>
        <v>0</v>
      </c>
      <c r="AH6" s="49">
        <f t="shared" si="13"/>
        <v>0</v>
      </c>
      <c r="AI6" s="43">
        <f t="shared" si="14"/>
        <v>1</v>
      </c>
      <c r="AJ6" s="43">
        <f t="shared" si="15"/>
        <v>1</v>
      </c>
      <c r="AK6" s="43">
        <f t="shared" si="16"/>
        <v>1</v>
      </c>
    </row>
    <row r="7" spans="1:40" x14ac:dyDescent="0.3">
      <c r="A7" s="6" t="s">
        <v>51</v>
      </c>
      <c r="B7" s="6"/>
      <c r="C7" s="6"/>
      <c r="D7" s="7" t="s">
        <v>32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13">
        <f t="shared" si="0"/>
        <v>2738834.0729999999</v>
      </c>
      <c r="I7" s="13">
        <f t="shared" si="0"/>
        <v>2556283.3069100003</v>
      </c>
      <c r="J7" s="13">
        <f t="shared" si="0"/>
        <v>2370794.0684099998</v>
      </c>
      <c r="K7" s="12">
        <f t="shared" si="0"/>
        <v>2053379.2169999999</v>
      </c>
      <c r="L7" s="12">
        <f t="shared" si="0"/>
        <v>2003230.8319999999</v>
      </c>
      <c r="M7" s="12">
        <f t="shared" si="0"/>
        <v>1653968.5989999999</v>
      </c>
      <c r="N7" s="12">
        <f t="shared" si="0"/>
        <v>250000</v>
      </c>
      <c r="O7" s="12">
        <f t="shared" si="1"/>
        <v>50000</v>
      </c>
      <c r="P7" s="12">
        <f t="shared" si="1"/>
        <v>20000</v>
      </c>
      <c r="Q7" s="47">
        <f t="shared" si="1"/>
        <v>0</v>
      </c>
      <c r="R7" s="47">
        <f t="shared" si="1"/>
        <v>250000</v>
      </c>
      <c r="S7" s="47">
        <f t="shared" si="1"/>
        <v>0</v>
      </c>
      <c r="T7" s="47">
        <f t="shared" si="1"/>
        <v>748224.37100000004</v>
      </c>
      <c r="U7" s="47">
        <f t="shared" si="1"/>
        <v>348525.47399999999</v>
      </c>
      <c r="V7" s="47">
        <f t="shared" si="1"/>
        <v>449840.47422999999</v>
      </c>
      <c r="W7" s="40">
        <f t="shared" si="2"/>
        <v>0</v>
      </c>
      <c r="X7" s="40">
        <f t="shared" si="3"/>
        <v>0</v>
      </c>
      <c r="Y7" s="40">
        <f t="shared" si="4"/>
        <v>0</v>
      </c>
      <c r="Z7" s="41">
        <f t="shared" si="5"/>
        <v>0.47299258421288437</v>
      </c>
      <c r="AA7" s="41">
        <f t="shared" si="6"/>
        <v>0.49083407518125094</v>
      </c>
      <c r="AB7" s="41">
        <f t="shared" si="7"/>
        <v>0.52747572893497774</v>
      </c>
      <c r="AC7" s="42">
        <f t="shared" si="8"/>
        <v>0.39779017612326906</v>
      </c>
      <c r="AD7" s="42">
        <f t="shared" si="9"/>
        <v>0.39424255278518394</v>
      </c>
      <c r="AE7" s="42">
        <f t="shared" si="10"/>
        <v>0.37243968961166141</v>
      </c>
      <c r="AF7" s="49">
        <f t="shared" si="11"/>
        <v>0.12921723966384654</v>
      </c>
      <c r="AG7" s="49">
        <f t="shared" si="12"/>
        <v>0.11492337203356502</v>
      </c>
      <c r="AH7" s="49">
        <f t="shared" si="13"/>
        <v>0.10008458145336081</v>
      </c>
      <c r="AI7" s="43">
        <f t="shared" si="14"/>
        <v>1</v>
      </c>
      <c r="AJ7" s="43">
        <f t="shared" si="15"/>
        <v>0.99999999999999989</v>
      </c>
      <c r="AK7" s="43">
        <f t="shared" si="16"/>
        <v>1</v>
      </c>
    </row>
    <row r="8" spans="1:40" s="56" customFormat="1" x14ac:dyDescent="0.3">
      <c r="AN8" s="57"/>
    </row>
    <row r="9" spans="1:40" s="56" customFormat="1" x14ac:dyDescent="0.3">
      <c r="G9" s="58"/>
      <c r="H9" s="94"/>
      <c r="I9" s="94"/>
      <c r="J9" s="94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N9" s="57"/>
    </row>
    <row r="10" spans="1:40" ht="44.25" customHeight="1" x14ac:dyDescent="0.3">
      <c r="A10" s="3" t="s">
        <v>17</v>
      </c>
      <c r="B10" s="3" t="s">
        <v>52</v>
      </c>
      <c r="C10" s="3" t="s">
        <v>53</v>
      </c>
      <c r="D10" s="8" t="s">
        <v>6</v>
      </c>
      <c r="E10" s="120" t="s">
        <v>54</v>
      </c>
      <c r="F10" s="120"/>
      <c r="G10" s="120"/>
      <c r="H10" s="121" t="s">
        <v>55</v>
      </c>
      <c r="I10" s="121"/>
      <c r="J10" s="121"/>
      <c r="K10" s="126" t="s">
        <v>56</v>
      </c>
      <c r="L10" s="126"/>
      <c r="M10" s="126"/>
      <c r="N10" s="126" t="s">
        <v>57</v>
      </c>
      <c r="O10" s="126"/>
      <c r="P10" s="126"/>
      <c r="Q10" s="114" t="s">
        <v>42</v>
      </c>
      <c r="R10" s="114"/>
      <c r="S10" s="114"/>
      <c r="T10" s="114" t="s">
        <v>43</v>
      </c>
      <c r="U10" s="114"/>
      <c r="V10" s="114"/>
      <c r="W10" s="123" t="s">
        <v>44</v>
      </c>
      <c r="X10" s="123"/>
      <c r="Y10" s="123"/>
      <c r="Z10" s="121" t="s">
        <v>45</v>
      </c>
      <c r="AA10" s="121"/>
      <c r="AB10" s="121"/>
      <c r="AC10" s="125" t="s">
        <v>46</v>
      </c>
      <c r="AD10" s="125"/>
      <c r="AE10" s="125"/>
      <c r="AF10" s="114" t="s">
        <v>47</v>
      </c>
      <c r="AG10" s="114"/>
      <c r="AH10" s="114"/>
      <c r="AI10" s="116" t="s">
        <v>48</v>
      </c>
      <c r="AJ10" s="116"/>
      <c r="AK10" s="116"/>
      <c r="AL10" s="50"/>
      <c r="AM10" s="88"/>
    </row>
    <row r="11" spans="1:40" ht="25" x14ac:dyDescent="0.3">
      <c r="A11" s="36" t="s">
        <v>18</v>
      </c>
      <c r="B11" s="35" t="s">
        <v>58</v>
      </c>
      <c r="C11" s="102" t="s">
        <v>18</v>
      </c>
      <c r="D11" s="103" t="s">
        <v>19</v>
      </c>
      <c r="E11" s="37">
        <v>0</v>
      </c>
      <c r="F11" s="37">
        <v>0</v>
      </c>
      <c r="G11" s="37">
        <v>0</v>
      </c>
      <c r="H11" s="38">
        <v>9836274.4509999994</v>
      </c>
      <c r="I11" s="38">
        <v>8289544.9289999995</v>
      </c>
      <c r="J11" s="38">
        <v>7213155.6639999999</v>
      </c>
      <c r="K11" s="39">
        <v>6553642.1119999997</v>
      </c>
      <c r="L11" s="39">
        <v>5553471.3509999998</v>
      </c>
      <c r="M11" s="39">
        <v>5156910.4709999999</v>
      </c>
      <c r="N11" s="39">
        <v>0</v>
      </c>
      <c r="O11" s="39">
        <v>0</v>
      </c>
      <c r="P11" s="39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0">
        <f t="shared" ref="W11:W24" si="17">IFERROR((E11/(H11+K11+N11+Q11+T11)),"")</f>
        <v>0</v>
      </c>
      <c r="X11" s="40">
        <f t="shared" ref="X11:X24" si="18">IFERROR((F11/(I11+L11+O11+R11+U11)),"")</f>
        <v>0</v>
      </c>
      <c r="Y11" s="40">
        <f t="shared" ref="Y11:Y24" si="19">IFERROR((G11/(J11+M11+P11+S11+V11)),"")</f>
        <v>0</v>
      </c>
      <c r="Z11" s="41">
        <f t="shared" ref="Z11:Z24" si="20">IFERROR((H11-E11)/(H11+K11+N11+Q11+T11),"")</f>
        <v>0.60014182581046494</v>
      </c>
      <c r="AA11" s="41">
        <f t="shared" ref="AA11:AA24" si="21">IFERROR((I11-F11)/(I11+L11+O11+R11+U11),"")</f>
        <v>0.59882505093752592</v>
      </c>
      <c r="AB11" s="41">
        <f t="shared" ref="AB11:AB24" si="22">IFERROR((J11-G11)/(J11+M11+P11+S11+V11),"")</f>
        <v>0.58311375099208396</v>
      </c>
      <c r="AC11" s="42">
        <f t="shared" ref="AC11:AC24" si="23">IFERROR((K11+N11)/(H11+K11+N11+Q11+T11),"")</f>
        <v>0.39985817418953506</v>
      </c>
      <c r="AD11" s="42">
        <f t="shared" ref="AD11:AD24" si="24">IFERROR((L11+O11)/(I11+L11+O11+R11+U11),"")</f>
        <v>0.40117494906247414</v>
      </c>
      <c r="AE11" s="42">
        <f t="shared" ref="AE11:AE24" si="25">IFERROR((M11+P11)/(J11+M11+P11+S11+V11),"")</f>
        <v>0.4168862490079161</v>
      </c>
      <c r="AF11" s="49">
        <f t="shared" ref="AF11:AF24" si="26">IFERROR((Q11+T11)/(H11+K11+N11+Q11+T11),"")</f>
        <v>0</v>
      </c>
      <c r="AG11" s="49">
        <f t="shared" ref="AG11:AG24" si="27">IFERROR((R11+U11)/(I11+L11+O11+R11+U11),"")</f>
        <v>0</v>
      </c>
      <c r="AH11" s="49">
        <f t="shared" ref="AH11:AH24" si="28">IFERROR((S11+V11)/(J11+M11+P11+S11+V11),"")</f>
        <v>0</v>
      </c>
      <c r="AI11" s="43">
        <f t="shared" ref="AI11:AI24" si="29">IFERROR(W11+Z11+AC11+AF11,"")</f>
        <v>1</v>
      </c>
      <c r="AJ11" s="43">
        <f t="shared" ref="AJ11:AJ24" si="30">IFERROR(X11+AA11+AD11+AG11,"")</f>
        <v>1</v>
      </c>
      <c r="AK11" s="43">
        <f t="shared" ref="AK11:AK24" si="31">IFERROR(Y11+AB11+AE11+AH11,"")</f>
        <v>1</v>
      </c>
      <c r="AL11" s="45"/>
      <c r="AM11" s="89"/>
    </row>
    <row r="12" spans="1:40" x14ac:dyDescent="0.3">
      <c r="A12" s="28"/>
      <c r="B12" s="28"/>
      <c r="C12" s="68"/>
      <c r="D12" s="96"/>
      <c r="E12" s="37"/>
      <c r="F12" s="9"/>
      <c r="G12" s="9"/>
      <c r="H12" s="13"/>
      <c r="I12" s="13"/>
      <c r="J12" s="13"/>
      <c r="K12" s="12"/>
      <c r="L12" s="12"/>
      <c r="M12" s="12"/>
      <c r="N12" s="12"/>
      <c r="O12" s="12"/>
      <c r="P12" s="12"/>
      <c r="Q12" s="47"/>
      <c r="R12" s="47"/>
      <c r="S12" s="47"/>
      <c r="T12" s="47"/>
      <c r="U12" s="47"/>
      <c r="V12" s="47"/>
      <c r="W12" s="40" t="str">
        <f t="shared" si="17"/>
        <v/>
      </c>
      <c r="X12" s="40" t="str">
        <f t="shared" si="18"/>
        <v/>
      </c>
      <c r="Y12" s="40" t="str">
        <f t="shared" si="19"/>
        <v/>
      </c>
      <c r="Z12" s="41" t="str">
        <f t="shared" si="20"/>
        <v/>
      </c>
      <c r="AA12" s="41" t="str">
        <f t="shared" si="21"/>
        <v/>
      </c>
      <c r="AB12" s="41" t="str">
        <f t="shared" si="22"/>
        <v/>
      </c>
      <c r="AC12" s="42" t="str">
        <f t="shared" si="23"/>
        <v/>
      </c>
      <c r="AD12" s="42" t="str">
        <f t="shared" si="24"/>
        <v/>
      </c>
      <c r="AE12" s="42" t="str">
        <f t="shared" si="25"/>
        <v/>
      </c>
      <c r="AF12" s="49" t="str">
        <f t="shared" si="26"/>
        <v/>
      </c>
      <c r="AG12" s="49" t="str">
        <f t="shared" si="27"/>
        <v/>
      </c>
      <c r="AH12" s="49" t="str">
        <f t="shared" si="28"/>
        <v/>
      </c>
      <c r="AI12" s="43" t="str">
        <f t="shared" si="29"/>
        <v/>
      </c>
      <c r="AJ12" s="43" t="str">
        <f t="shared" si="30"/>
        <v/>
      </c>
      <c r="AK12" s="43" t="str">
        <f t="shared" si="31"/>
        <v/>
      </c>
      <c r="AL12" s="23"/>
      <c r="AM12" s="89"/>
    </row>
    <row r="13" spans="1:40" x14ac:dyDescent="0.3">
      <c r="A13" s="66" t="s">
        <v>49</v>
      </c>
      <c r="B13" s="34" t="s">
        <v>61</v>
      </c>
      <c r="C13" s="60" t="s">
        <v>20</v>
      </c>
      <c r="D13" s="90" t="s">
        <v>21</v>
      </c>
      <c r="E13" s="37">
        <v>0</v>
      </c>
      <c r="F13" s="9">
        <v>0</v>
      </c>
      <c r="G13" s="9">
        <v>0</v>
      </c>
      <c r="H13" s="13">
        <v>3863257.4569999999</v>
      </c>
      <c r="I13" s="13">
        <v>3536051.8629999999</v>
      </c>
      <c r="J13" s="13">
        <v>3210409.1690000002</v>
      </c>
      <c r="K13" s="12">
        <v>2923935.76</v>
      </c>
      <c r="L13" s="12">
        <v>2498919.2940000002</v>
      </c>
      <c r="M13" s="12">
        <v>2323901.7859999998</v>
      </c>
      <c r="N13" s="12">
        <v>0</v>
      </c>
      <c r="O13" s="12">
        <v>0</v>
      </c>
      <c r="P13" s="12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0">
        <f t="shared" si="17"/>
        <v>0</v>
      </c>
      <c r="X13" s="40">
        <f t="shared" si="18"/>
        <v>0</v>
      </c>
      <c r="Y13" s="40">
        <f t="shared" si="19"/>
        <v>0</v>
      </c>
      <c r="Z13" s="41">
        <f t="shared" si="20"/>
        <v>0.56919809610305949</v>
      </c>
      <c r="AA13" s="41">
        <f t="shared" si="21"/>
        <v>0.58592688697418416</v>
      </c>
      <c r="AB13" s="41">
        <f t="shared" si="22"/>
        <v>0.58009193829261441</v>
      </c>
      <c r="AC13" s="42">
        <f t="shared" si="23"/>
        <v>0.4308019038969404</v>
      </c>
      <c r="AD13" s="42">
        <f t="shared" si="24"/>
        <v>0.41407311302581595</v>
      </c>
      <c r="AE13" s="42">
        <f t="shared" si="25"/>
        <v>0.41990806170738554</v>
      </c>
      <c r="AF13" s="49">
        <f t="shared" si="26"/>
        <v>0</v>
      </c>
      <c r="AG13" s="49">
        <f t="shared" si="27"/>
        <v>0</v>
      </c>
      <c r="AH13" s="49">
        <f t="shared" si="28"/>
        <v>0</v>
      </c>
      <c r="AI13" s="43">
        <f t="shared" si="29"/>
        <v>0.99999999999999989</v>
      </c>
      <c r="AJ13" s="43">
        <f t="shared" si="30"/>
        <v>1</v>
      </c>
      <c r="AK13" s="43">
        <f t="shared" si="31"/>
        <v>1</v>
      </c>
      <c r="AL13" s="62"/>
      <c r="AM13" s="89"/>
    </row>
    <row r="14" spans="1:40" x14ac:dyDescent="0.3">
      <c r="A14" s="66" t="s">
        <v>49</v>
      </c>
      <c r="B14" s="34" t="s">
        <v>63</v>
      </c>
      <c r="C14" s="60" t="s">
        <v>22</v>
      </c>
      <c r="D14" s="90" t="s">
        <v>21</v>
      </c>
      <c r="E14" s="37">
        <v>0</v>
      </c>
      <c r="F14" s="9">
        <v>0</v>
      </c>
      <c r="G14" s="9">
        <v>0</v>
      </c>
      <c r="H14" s="13">
        <v>265983.533</v>
      </c>
      <c r="I14" s="13">
        <v>224667.41099999999</v>
      </c>
      <c r="J14" s="13">
        <v>186262.94899999999</v>
      </c>
      <c r="K14" s="12">
        <v>218375</v>
      </c>
      <c r="L14" s="12">
        <v>192375</v>
      </c>
      <c r="M14" s="12">
        <v>154375</v>
      </c>
      <c r="N14" s="12">
        <v>0</v>
      </c>
      <c r="O14" s="12">
        <v>0</v>
      </c>
      <c r="P14" s="12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0">
        <f t="shared" si="17"/>
        <v>0</v>
      </c>
      <c r="X14" s="40">
        <f t="shared" si="18"/>
        <v>0</v>
      </c>
      <c r="Y14" s="40">
        <f t="shared" si="19"/>
        <v>0</v>
      </c>
      <c r="Z14" s="41">
        <f t="shared" si="20"/>
        <v>0.54914596291421169</v>
      </c>
      <c r="AA14" s="41">
        <f t="shared" si="21"/>
        <v>0.53871597965608353</v>
      </c>
      <c r="AB14" s="41">
        <f t="shared" si="22"/>
        <v>0.54680621917436445</v>
      </c>
      <c r="AC14" s="42">
        <f t="shared" si="23"/>
        <v>0.45085403708578825</v>
      </c>
      <c r="AD14" s="42">
        <f t="shared" si="24"/>
        <v>0.46128402034391658</v>
      </c>
      <c r="AE14" s="42">
        <f t="shared" si="25"/>
        <v>0.45319378082563544</v>
      </c>
      <c r="AF14" s="49">
        <f t="shared" si="26"/>
        <v>0</v>
      </c>
      <c r="AG14" s="49">
        <f t="shared" si="27"/>
        <v>0</v>
      </c>
      <c r="AH14" s="49">
        <f t="shared" si="28"/>
        <v>0</v>
      </c>
      <c r="AI14" s="43">
        <f t="shared" si="29"/>
        <v>1</v>
      </c>
      <c r="AJ14" s="43">
        <f t="shared" si="30"/>
        <v>1</v>
      </c>
      <c r="AK14" s="43">
        <f t="shared" si="31"/>
        <v>0.99999999999999989</v>
      </c>
      <c r="AL14" s="62"/>
      <c r="AM14" s="51"/>
    </row>
    <row r="15" spans="1:40" x14ac:dyDescent="0.3">
      <c r="A15" s="66" t="s">
        <v>49</v>
      </c>
      <c r="B15" s="34" t="s">
        <v>64</v>
      </c>
      <c r="C15" s="60" t="s">
        <v>23</v>
      </c>
      <c r="D15" s="90" t="s">
        <v>21</v>
      </c>
      <c r="E15" s="37">
        <v>0</v>
      </c>
      <c r="F15" s="9">
        <v>0</v>
      </c>
      <c r="G15" s="9">
        <v>0</v>
      </c>
      <c r="H15" s="13">
        <v>113951.114</v>
      </c>
      <c r="I15" s="13">
        <v>104178.935</v>
      </c>
      <c r="J15" s="13">
        <v>85812.538</v>
      </c>
      <c r="K15" s="12">
        <v>105355</v>
      </c>
      <c r="L15" s="12">
        <v>84355</v>
      </c>
      <c r="M15" s="12">
        <v>70355</v>
      </c>
      <c r="N15" s="12">
        <v>0</v>
      </c>
      <c r="O15" s="12">
        <v>0</v>
      </c>
      <c r="P15" s="12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0">
        <f t="shared" si="17"/>
        <v>0</v>
      </c>
      <c r="X15" s="40">
        <f t="shared" si="18"/>
        <v>0</v>
      </c>
      <c r="Y15" s="40">
        <f t="shared" si="19"/>
        <v>0</v>
      </c>
      <c r="Z15" s="41">
        <f t="shared" si="20"/>
        <v>0.51959843673122585</v>
      </c>
      <c r="AA15" s="41">
        <f t="shared" si="21"/>
        <v>0.55257391726322369</v>
      </c>
      <c r="AB15" s="41">
        <f t="shared" si="22"/>
        <v>0.54949024041091055</v>
      </c>
      <c r="AC15" s="42">
        <f t="shared" si="23"/>
        <v>0.48040156326877415</v>
      </c>
      <c r="AD15" s="42">
        <f t="shared" si="24"/>
        <v>0.44742608273677625</v>
      </c>
      <c r="AE15" s="42">
        <f t="shared" si="25"/>
        <v>0.45050975958908951</v>
      </c>
      <c r="AF15" s="49">
        <f t="shared" si="26"/>
        <v>0</v>
      </c>
      <c r="AG15" s="49">
        <f t="shared" si="27"/>
        <v>0</v>
      </c>
      <c r="AH15" s="49">
        <f t="shared" si="28"/>
        <v>0</v>
      </c>
      <c r="AI15" s="43">
        <f t="shared" si="29"/>
        <v>1</v>
      </c>
      <c r="AJ15" s="43">
        <f t="shared" si="30"/>
        <v>1</v>
      </c>
      <c r="AK15" s="43">
        <f t="shared" si="31"/>
        <v>1</v>
      </c>
      <c r="AL15" s="62"/>
      <c r="AM15" s="51"/>
    </row>
    <row r="16" spans="1:40" x14ac:dyDescent="0.3">
      <c r="A16" s="66" t="s">
        <v>49</v>
      </c>
      <c r="B16" s="34" t="s">
        <v>65</v>
      </c>
      <c r="C16" s="60" t="s">
        <v>24</v>
      </c>
      <c r="D16" s="90" t="s">
        <v>21</v>
      </c>
      <c r="E16" s="37">
        <v>0</v>
      </c>
      <c r="F16" s="9">
        <v>0</v>
      </c>
      <c r="G16" s="9">
        <v>0</v>
      </c>
      <c r="H16" s="13">
        <v>2160218.8149999999</v>
      </c>
      <c r="I16" s="13">
        <v>1964077.3670000001</v>
      </c>
      <c r="J16" s="13">
        <v>1743998.1229999999</v>
      </c>
      <c r="K16" s="12">
        <v>2102926</v>
      </c>
      <c r="L16" s="12">
        <v>1902926</v>
      </c>
      <c r="M16" s="12">
        <v>1712926</v>
      </c>
      <c r="N16" s="12">
        <v>0</v>
      </c>
      <c r="O16" s="12">
        <v>0</v>
      </c>
      <c r="P16" s="12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0">
        <f t="shared" si="17"/>
        <v>0</v>
      </c>
      <c r="X16" s="40">
        <f t="shared" si="18"/>
        <v>0</v>
      </c>
      <c r="Y16" s="40">
        <f t="shared" si="19"/>
        <v>0</v>
      </c>
      <c r="Z16" s="41">
        <f t="shared" si="20"/>
        <v>0.50671954830134014</v>
      </c>
      <c r="AA16" s="41">
        <f t="shared" si="21"/>
        <v>0.50790681584632813</v>
      </c>
      <c r="AB16" s="41">
        <f t="shared" si="22"/>
        <v>0.5044941864348812</v>
      </c>
      <c r="AC16" s="42">
        <f t="shared" si="23"/>
        <v>0.49328045169865997</v>
      </c>
      <c r="AD16" s="42">
        <f t="shared" si="24"/>
        <v>0.49209318415367181</v>
      </c>
      <c r="AE16" s="42">
        <f t="shared" si="25"/>
        <v>0.49550581356511891</v>
      </c>
      <c r="AF16" s="49">
        <f t="shared" si="26"/>
        <v>0</v>
      </c>
      <c r="AG16" s="49">
        <f t="shared" si="27"/>
        <v>0</v>
      </c>
      <c r="AH16" s="49">
        <f t="shared" si="28"/>
        <v>0</v>
      </c>
      <c r="AI16" s="43">
        <f t="shared" si="29"/>
        <v>1</v>
      </c>
      <c r="AJ16" s="43">
        <f t="shared" si="30"/>
        <v>1</v>
      </c>
      <c r="AK16" s="43">
        <f t="shared" si="31"/>
        <v>1</v>
      </c>
      <c r="AL16" s="62"/>
      <c r="AM16" s="51"/>
    </row>
    <row r="17" spans="1:40" x14ac:dyDescent="0.3">
      <c r="A17" s="66" t="s">
        <v>49</v>
      </c>
      <c r="B17" s="34" t="s">
        <v>59</v>
      </c>
      <c r="C17" s="60" t="s">
        <v>25</v>
      </c>
      <c r="D17" s="90" t="s">
        <v>21</v>
      </c>
      <c r="E17" s="37">
        <v>0</v>
      </c>
      <c r="F17" s="9">
        <v>0</v>
      </c>
      <c r="G17" s="9">
        <v>0</v>
      </c>
      <c r="H17" s="13">
        <v>1483215.18</v>
      </c>
      <c r="I17" s="13">
        <v>1320479.8089999999</v>
      </c>
      <c r="J17" s="13">
        <v>1125005.0619999999</v>
      </c>
      <c r="K17" s="12">
        <v>1135515</v>
      </c>
      <c r="L17" s="12">
        <v>1035515</v>
      </c>
      <c r="M17" s="12">
        <v>895515</v>
      </c>
      <c r="N17" s="12">
        <v>0</v>
      </c>
      <c r="O17" s="12">
        <v>0</v>
      </c>
      <c r="P17" s="12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0">
        <f t="shared" si="17"/>
        <v>0</v>
      </c>
      <c r="X17" s="40">
        <f t="shared" si="18"/>
        <v>0</v>
      </c>
      <c r="Y17" s="40">
        <f t="shared" si="19"/>
        <v>0</v>
      </c>
      <c r="Z17" s="41">
        <f t="shared" si="20"/>
        <v>0.56638717166348163</v>
      </c>
      <c r="AA17" s="41">
        <f t="shared" si="21"/>
        <v>0.56047653583773238</v>
      </c>
      <c r="AB17" s="41">
        <f t="shared" si="22"/>
        <v>0.55678984987974844</v>
      </c>
      <c r="AC17" s="42">
        <f t="shared" si="23"/>
        <v>0.43361282833651849</v>
      </c>
      <c r="AD17" s="42">
        <f t="shared" si="24"/>
        <v>0.43952346416226762</v>
      </c>
      <c r="AE17" s="42">
        <f t="shared" si="25"/>
        <v>0.44321015012025156</v>
      </c>
      <c r="AF17" s="49">
        <f t="shared" si="26"/>
        <v>0</v>
      </c>
      <c r="AG17" s="49">
        <f t="shared" si="27"/>
        <v>0</v>
      </c>
      <c r="AH17" s="49">
        <f t="shared" si="28"/>
        <v>0</v>
      </c>
      <c r="AI17" s="43">
        <f t="shared" si="29"/>
        <v>1</v>
      </c>
      <c r="AJ17" s="43">
        <f t="shared" si="30"/>
        <v>1</v>
      </c>
      <c r="AK17" s="43">
        <f t="shared" si="31"/>
        <v>1</v>
      </c>
      <c r="AL17" s="62"/>
      <c r="AM17" s="51"/>
    </row>
    <row r="18" spans="1:40" x14ac:dyDescent="0.3">
      <c r="A18" s="66" t="s">
        <v>49</v>
      </c>
      <c r="B18" s="34" t="s">
        <v>62</v>
      </c>
      <c r="C18" s="60" t="s">
        <v>26</v>
      </c>
      <c r="D18" s="90" t="s">
        <v>21</v>
      </c>
      <c r="E18" s="37">
        <v>0</v>
      </c>
      <c r="F18" s="9">
        <v>0</v>
      </c>
      <c r="G18" s="9">
        <v>0</v>
      </c>
      <c r="H18" s="13">
        <v>447039.41100000002</v>
      </c>
      <c r="I18" s="13">
        <v>402221.90399999998</v>
      </c>
      <c r="J18" s="13">
        <v>357947.59899999999</v>
      </c>
      <c r="K18" s="12">
        <v>563275</v>
      </c>
      <c r="L18" s="12">
        <v>501275</v>
      </c>
      <c r="M18" s="12">
        <v>461275</v>
      </c>
      <c r="N18" s="12">
        <v>0</v>
      </c>
      <c r="O18" s="12">
        <v>0</v>
      </c>
      <c r="P18" s="12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0">
        <f t="shared" si="17"/>
        <v>0</v>
      </c>
      <c r="X18" s="40">
        <f t="shared" si="18"/>
        <v>0</v>
      </c>
      <c r="Y18" s="40">
        <f t="shared" si="19"/>
        <v>0</v>
      </c>
      <c r="Z18" s="41">
        <f t="shared" si="20"/>
        <v>0.4424755364595111</v>
      </c>
      <c r="AA18" s="41">
        <f t="shared" si="21"/>
        <v>0.44518348897408061</v>
      </c>
      <c r="AB18" s="41">
        <f t="shared" si="22"/>
        <v>0.43693569908463914</v>
      </c>
      <c r="AC18" s="42">
        <f t="shared" si="23"/>
        <v>0.55752446354048879</v>
      </c>
      <c r="AD18" s="42">
        <f t="shared" si="24"/>
        <v>0.55481651102591933</v>
      </c>
      <c r="AE18" s="42">
        <f t="shared" si="25"/>
        <v>0.56306430091536086</v>
      </c>
      <c r="AF18" s="49">
        <f t="shared" si="26"/>
        <v>0</v>
      </c>
      <c r="AG18" s="49">
        <f t="shared" si="27"/>
        <v>0</v>
      </c>
      <c r="AH18" s="49">
        <f t="shared" si="28"/>
        <v>0</v>
      </c>
      <c r="AI18" s="43">
        <f t="shared" si="29"/>
        <v>0.99999999999999989</v>
      </c>
      <c r="AJ18" s="43">
        <f t="shared" si="30"/>
        <v>1</v>
      </c>
      <c r="AK18" s="43">
        <f t="shared" si="31"/>
        <v>1</v>
      </c>
      <c r="AL18" s="62"/>
      <c r="AM18" s="51"/>
    </row>
    <row r="19" spans="1:40" x14ac:dyDescent="0.3">
      <c r="A19" s="28"/>
      <c r="B19" s="28"/>
      <c r="C19" s="68"/>
      <c r="D19" s="27"/>
      <c r="E19" s="37"/>
      <c r="F19" s="9"/>
      <c r="G19" s="9"/>
      <c r="H19" s="13"/>
      <c r="I19" s="13"/>
      <c r="J19" s="13"/>
      <c r="K19" s="12"/>
      <c r="L19" s="12"/>
      <c r="M19" s="12"/>
      <c r="N19" s="12"/>
      <c r="O19" s="12"/>
      <c r="P19" s="12"/>
      <c r="Q19" s="47"/>
      <c r="R19" s="47"/>
      <c r="S19" s="47"/>
      <c r="T19" s="47"/>
      <c r="U19" s="47"/>
      <c r="V19" s="47"/>
      <c r="W19" s="40" t="str">
        <f t="shared" si="17"/>
        <v/>
      </c>
      <c r="X19" s="40" t="str">
        <f t="shared" si="18"/>
        <v/>
      </c>
      <c r="Y19" s="40" t="str">
        <f t="shared" si="19"/>
        <v/>
      </c>
      <c r="Z19" s="41" t="str">
        <f t="shared" si="20"/>
        <v/>
      </c>
      <c r="AA19" s="41" t="str">
        <f t="shared" si="21"/>
        <v/>
      </c>
      <c r="AB19" s="41" t="str">
        <f t="shared" si="22"/>
        <v/>
      </c>
      <c r="AC19" s="42" t="str">
        <f t="shared" si="23"/>
        <v/>
      </c>
      <c r="AD19" s="42" t="str">
        <f t="shared" si="24"/>
        <v/>
      </c>
      <c r="AE19" s="42" t="str">
        <f t="shared" si="25"/>
        <v/>
      </c>
      <c r="AF19" s="49" t="str">
        <f t="shared" si="26"/>
        <v/>
      </c>
      <c r="AG19" s="49" t="str">
        <f t="shared" si="27"/>
        <v/>
      </c>
      <c r="AH19" s="49" t="str">
        <f t="shared" si="28"/>
        <v/>
      </c>
      <c r="AI19" s="43" t="str">
        <f t="shared" si="29"/>
        <v/>
      </c>
      <c r="AJ19" s="43" t="str">
        <f t="shared" si="30"/>
        <v/>
      </c>
      <c r="AK19" s="43" t="str">
        <f t="shared" si="31"/>
        <v/>
      </c>
      <c r="AL19" s="62"/>
      <c r="AM19" s="51"/>
    </row>
    <row r="20" spans="1:40" x14ac:dyDescent="0.3">
      <c r="A20" s="68" t="s">
        <v>7</v>
      </c>
      <c r="B20" s="28" t="s">
        <v>66</v>
      </c>
      <c r="C20" s="68" t="s">
        <v>7</v>
      </c>
      <c r="D20" s="104" t="s">
        <v>8</v>
      </c>
      <c r="E20" s="37">
        <v>0</v>
      </c>
      <c r="F20" s="9">
        <v>0</v>
      </c>
      <c r="G20" s="9">
        <v>0</v>
      </c>
      <c r="H20" s="13">
        <v>1190968.264</v>
      </c>
      <c r="I20" s="13">
        <v>977584.69</v>
      </c>
      <c r="J20" s="13">
        <v>834596.45900000003</v>
      </c>
      <c r="K20" s="12">
        <v>1044700</v>
      </c>
      <c r="L20" s="12">
        <v>994700</v>
      </c>
      <c r="M20" s="12">
        <v>864700</v>
      </c>
      <c r="N20" s="12">
        <v>90000</v>
      </c>
      <c r="O20" s="12">
        <v>0</v>
      </c>
      <c r="P20" s="12">
        <v>60000</v>
      </c>
      <c r="Q20" s="47">
        <v>170200</v>
      </c>
      <c r="R20" s="47">
        <v>245500</v>
      </c>
      <c r="S20" s="47">
        <v>231525</v>
      </c>
      <c r="T20" s="47">
        <v>0</v>
      </c>
      <c r="U20" s="47">
        <v>0</v>
      </c>
      <c r="V20" s="47">
        <v>0</v>
      </c>
      <c r="W20" s="40">
        <f t="shared" si="17"/>
        <v>0</v>
      </c>
      <c r="X20" s="40">
        <f t="shared" si="18"/>
        <v>0</v>
      </c>
      <c r="Y20" s="40">
        <f t="shared" si="19"/>
        <v>0</v>
      </c>
      <c r="Z20" s="41">
        <f t="shared" si="20"/>
        <v>0.47717593158995347</v>
      </c>
      <c r="AA20" s="41">
        <f t="shared" si="21"/>
        <v>0.44079332606448823</v>
      </c>
      <c r="AB20" s="41">
        <f t="shared" si="22"/>
        <v>0.41922215336136781</v>
      </c>
      <c r="AC20" s="42">
        <f t="shared" si="23"/>
        <v>0.45463136671383231</v>
      </c>
      <c r="AD20" s="42">
        <f t="shared" si="24"/>
        <v>0.44851062616001736</v>
      </c>
      <c r="AE20" s="42">
        <f t="shared" si="25"/>
        <v>0.46448163185084496</v>
      </c>
      <c r="AF20" s="49">
        <f t="shared" si="26"/>
        <v>6.8192701696214206E-2</v>
      </c>
      <c r="AG20" s="49">
        <f t="shared" si="27"/>
        <v>0.11069604777549438</v>
      </c>
      <c r="AH20" s="49">
        <f t="shared" si="28"/>
        <v>0.11629621478778725</v>
      </c>
      <c r="AI20" s="43">
        <f t="shared" si="29"/>
        <v>0.99999999999999989</v>
      </c>
      <c r="AJ20" s="43">
        <f t="shared" si="30"/>
        <v>1</v>
      </c>
      <c r="AK20" s="43">
        <f t="shared" si="31"/>
        <v>1</v>
      </c>
      <c r="AL20" s="62"/>
      <c r="AM20" s="89"/>
    </row>
    <row r="21" spans="1:40" x14ac:dyDescent="0.3">
      <c r="A21" s="28"/>
      <c r="B21" s="28"/>
      <c r="C21" s="68"/>
      <c r="D21" s="27"/>
      <c r="E21" s="37"/>
      <c r="F21" s="9"/>
      <c r="G21" s="9"/>
      <c r="H21" s="13"/>
      <c r="I21" s="13"/>
      <c r="J21" s="13"/>
      <c r="K21" s="12"/>
      <c r="L21" s="12"/>
      <c r="M21" s="12"/>
      <c r="N21" s="12"/>
      <c r="O21" s="12"/>
      <c r="P21" s="12"/>
      <c r="Q21" s="47"/>
      <c r="R21" s="47"/>
      <c r="S21" s="47"/>
      <c r="T21" s="47"/>
      <c r="U21" s="47"/>
      <c r="V21" s="47"/>
      <c r="W21" s="40" t="str">
        <f t="shared" si="17"/>
        <v/>
      </c>
      <c r="X21" s="40" t="str">
        <f t="shared" si="18"/>
        <v/>
      </c>
      <c r="Y21" s="40" t="str">
        <f t="shared" si="19"/>
        <v/>
      </c>
      <c r="Z21" s="41" t="str">
        <f t="shared" si="20"/>
        <v/>
      </c>
      <c r="AA21" s="41" t="str">
        <f t="shared" si="21"/>
        <v/>
      </c>
      <c r="AB21" s="41" t="str">
        <f t="shared" si="22"/>
        <v/>
      </c>
      <c r="AC21" s="42" t="str">
        <f t="shared" si="23"/>
        <v/>
      </c>
      <c r="AD21" s="42" t="str">
        <f t="shared" si="24"/>
        <v/>
      </c>
      <c r="AE21" s="42" t="str">
        <f t="shared" si="25"/>
        <v/>
      </c>
      <c r="AF21" s="49" t="str">
        <f t="shared" si="26"/>
        <v/>
      </c>
      <c r="AG21" s="49" t="str">
        <f t="shared" si="27"/>
        <v/>
      </c>
      <c r="AH21" s="49" t="str">
        <f t="shared" si="28"/>
        <v/>
      </c>
      <c r="AI21" s="43" t="str">
        <f t="shared" si="29"/>
        <v/>
      </c>
      <c r="AJ21" s="43" t="str">
        <f t="shared" si="30"/>
        <v/>
      </c>
      <c r="AK21" s="43" t="str">
        <f t="shared" si="31"/>
        <v/>
      </c>
      <c r="AL21" s="62"/>
      <c r="AM21" s="89"/>
    </row>
    <row r="22" spans="1:40" x14ac:dyDescent="0.3">
      <c r="A22" s="69" t="s">
        <v>50</v>
      </c>
      <c r="B22" s="28" t="s">
        <v>67</v>
      </c>
      <c r="C22" s="68" t="s">
        <v>27</v>
      </c>
      <c r="D22" s="104" t="s">
        <v>28</v>
      </c>
      <c r="E22" s="37">
        <v>0</v>
      </c>
      <c r="F22" s="9">
        <v>0</v>
      </c>
      <c r="G22" s="9">
        <v>0</v>
      </c>
      <c r="H22" s="13">
        <v>768706.29200000002</v>
      </c>
      <c r="I22" s="13">
        <v>746426.14800000004</v>
      </c>
      <c r="J22" s="13">
        <v>740192.44299999997</v>
      </c>
      <c r="K22" s="12">
        <v>548360</v>
      </c>
      <c r="L22" s="12">
        <v>469860</v>
      </c>
      <c r="M22" s="12">
        <v>486700</v>
      </c>
      <c r="N22" s="12">
        <v>0</v>
      </c>
      <c r="O22" s="12">
        <v>0</v>
      </c>
      <c r="P22" s="12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0">
        <f t="shared" si="17"/>
        <v>0</v>
      </c>
      <c r="X22" s="40">
        <f t="shared" si="18"/>
        <v>0</v>
      </c>
      <c r="Y22" s="40">
        <f t="shared" si="19"/>
        <v>0</v>
      </c>
      <c r="Z22" s="41">
        <f t="shared" si="20"/>
        <v>0.58365041810666896</v>
      </c>
      <c r="AA22" s="41">
        <f t="shared" si="21"/>
        <v>0.61369287912008685</v>
      </c>
      <c r="AB22" s="41">
        <f t="shared" si="22"/>
        <v>0.60330670974717215</v>
      </c>
      <c r="AC22" s="42">
        <f t="shared" si="23"/>
        <v>0.41634958189333121</v>
      </c>
      <c r="AD22" s="42">
        <f t="shared" si="24"/>
        <v>0.3863071208799132</v>
      </c>
      <c r="AE22" s="42">
        <f t="shared" si="25"/>
        <v>0.39669329025282785</v>
      </c>
      <c r="AF22" s="49">
        <f t="shared" si="26"/>
        <v>0</v>
      </c>
      <c r="AG22" s="49">
        <f t="shared" si="27"/>
        <v>0</v>
      </c>
      <c r="AH22" s="49">
        <f t="shared" si="28"/>
        <v>0</v>
      </c>
      <c r="AI22" s="43">
        <f t="shared" si="29"/>
        <v>1.0000000000000002</v>
      </c>
      <c r="AJ22" s="43">
        <f t="shared" si="30"/>
        <v>1</v>
      </c>
      <c r="AK22" s="43">
        <f t="shared" si="31"/>
        <v>1</v>
      </c>
      <c r="AL22" s="62"/>
      <c r="AM22" s="89"/>
    </row>
    <row r="23" spans="1:40" x14ac:dyDescent="0.3">
      <c r="A23" s="69" t="s">
        <v>50</v>
      </c>
      <c r="B23" s="28" t="s">
        <v>68</v>
      </c>
      <c r="C23" s="68" t="s">
        <v>29</v>
      </c>
      <c r="D23" s="104" t="s">
        <v>28</v>
      </c>
      <c r="E23" s="37">
        <v>0</v>
      </c>
      <c r="F23" s="37">
        <v>0</v>
      </c>
      <c r="G23" s="37">
        <v>0</v>
      </c>
      <c r="H23" s="13"/>
      <c r="I23" s="13">
        <v>926596.94299999997</v>
      </c>
      <c r="J23" s="13">
        <v>889160.424</v>
      </c>
      <c r="K23" s="12"/>
      <c r="L23" s="12">
        <v>592730.25399999996</v>
      </c>
      <c r="M23" s="12">
        <v>596511.98199999996</v>
      </c>
      <c r="N23" s="12">
        <v>0</v>
      </c>
      <c r="O23" s="12">
        <v>0</v>
      </c>
      <c r="P23" s="12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0" t="str">
        <f t="shared" si="17"/>
        <v/>
      </c>
      <c r="X23" s="40">
        <f t="shared" si="18"/>
        <v>0</v>
      </c>
      <c r="Y23" s="40">
        <f t="shared" si="19"/>
        <v>0</v>
      </c>
      <c r="Z23" s="41" t="str">
        <f t="shared" si="20"/>
        <v/>
      </c>
      <c r="AA23" s="41">
        <f t="shared" si="21"/>
        <v>0.60987320231588005</v>
      </c>
      <c r="AB23" s="41">
        <f t="shared" si="22"/>
        <v>0.59849023271150403</v>
      </c>
      <c r="AC23" s="42" t="str">
        <f t="shared" si="23"/>
        <v/>
      </c>
      <c r="AD23" s="42">
        <f t="shared" si="24"/>
        <v>0.3901267976841199</v>
      </c>
      <c r="AE23" s="42">
        <f t="shared" si="25"/>
        <v>0.40150976728849602</v>
      </c>
      <c r="AF23" s="49" t="str">
        <f t="shared" si="26"/>
        <v/>
      </c>
      <c r="AG23" s="49">
        <f t="shared" si="27"/>
        <v>0</v>
      </c>
      <c r="AH23" s="49">
        <f t="shared" si="28"/>
        <v>0</v>
      </c>
      <c r="AI23" s="43" t="str">
        <f t="shared" si="29"/>
        <v/>
      </c>
      <c r="AJ23" s="43">
        <f t="shared" si="30"/>
        <v>1</v>
      </c>
      <c r="AK23" s="43">
        <f t="shared" si="31"/>
        <v>1</v>
      </c>
      <c r="AL23" s="62"/>
      <c r="AM23" s="89"/>
    </row>
    <row r="24" spans="1:40" x14ac:dyDescent="0.3">
      <c r="A24" s="70" t="s">
        <v>50</v>
      </c>
      <c r="B24" s="36" t="s">
        <v>60</v>
      </c>
      <c r="C24" s="105" t="s">
        <v>30</v>
      </c>
      <c r="D24" s="101" t="s">
        <v>28</v>
      </c>
      <c r="E24" s="37">
        <v>0</v>
      </c>
      <c r="F24" s="37">
        <v>0</v>
      </c>
      <c r="G24" s="37">
        <v>0</v>
      </c>
      <c r="H24" s="38">
        <v>1004982.676</v>
      </c>
      <c r="I24" s="38">
        <v>938923.03</v>
      </c>
      <c r="J24" s="38">
        <v>822162.272</v>
      </c>
      <c r="K24" s="39">
        <v>723850</v>
      </c>
      <c r="L24" s="39">
        <v>600800</v>
      </c>
      <c r="M24" s="39">
        <v>548300</v>
      </c>
      <c r="N24" s="39">
        <v>0</v>
      </c>
      <c r="O24" s="39">
        <v>0</v>
      </c>
      <c r="P24" s="39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0">
        <f t="shared" si="17"/>
        <v>0</v>
      </c>
      <c r="X24" s="40">
        <f t="shared" si="18"/>
        <v>0</v>
      </c>
      <c r="Y24" s="40">
        <f t="shared" si="19"/>
        <v>0</v>
      </c>
      <c r="Z24" s="41">
        <f t="shared" si="20"/>
        <v>0.58130708075533855</v>
      </c>
      <c r="AA24" s="41">
        <f t="shared" si="21"/>
        <v>0.60979995213814531</v>
      </c>
      <c r="AB24" s="41">
        <f t="shared" si="22"/>
        <v>0.5999160201616992</v>
      </c>
      <c r="AC24" s="42">
        <f t="shared" si="23"/>
        <v>0.41869291924466151</v>
      </c>
      <c r="AD24" s="42">
        <f t="shared" si="24"/>
        <v>0.39020004786185475</v>
      </c>
      <c r="AE24" s="42">
        <f t="shared" si="25"/>
        <v>0.40008397983830091</v>
      </c>
      <c r="AF24" s="49">
        <f t="shared" si="26"/>
        <v>0</v>
      </c>
      <c r="AG24" s="49">
        <f t="shared" si="27"/>
        <v>0</v>
      </c>
      <c r="AH24" s="49">
        <f t="shared" si="28"/>
        <v>0</v>
      </c>
      <c r="AI24" s="43">
        <f t="shared" si="29"/>
        <v>1</v>
      </c>
      <c r="AJ24" s="43">
        <f t="shared" si="30"/>
        <v>1</v>
      </c>
      <c r="AK24" s="43">
        <f t="shared" si="31"/>
        <v>1</v>
      </c>
      <c r="AL24" s="35"/>
      <c r="AM24" s="91"/>
    </row>
    <row r="25" spans="1:40" s="50" customFormat="1" x14ac:dyDescent="0.3">
      <c r="A25" s="28"/>
      <c r="B25" s="28"/>
      <c r="C25" s="68"/>
      <c r="D25" s="104"/>
      <c r="E25" s="37"/>
      <c r="F25" s="9"/>
      <c r="G25" s="9"/>
      <c r="H25" s="13"/>
      <c r="I25" s="13"/>
      <c r="J25" s="13"/>
      <c r="K25" s="12"/>
      <c r="L25" s="12"/>
      <c r="M25" s="12"/>
      <c r="N25" s="12"/>
      <c r="O25" s="12"/>
      <c r="P25" s="12"/>
      <c r="Q25" s="47"/>
      <c r="R25" s="47"/>
      <c r="S25" s="47"/>
      <c r="T25" s="47"/>
      <c r="U25" s="47"/>
      <c r="V25" s="47"/>
      <c r="W25" s="40" t="str">
        <f t="shared" ref="W25:W29" si="32">IFERROR((E25/(H25+K25+N25+Q25+T25)),"")</f>
        <v/>
      </c>
      <c r="X25" s="40" t="str">
        <f t="shared" ref="X25:X29" si="33">IFERROR((F25/(I25+L25+O25+R25+U25)),"")</f>
        <v/>
      </c>
      <c r="Y25" s="40" t="str">
        <f t="shared" ref="Y25:Y29" si="34">IFERROR((G25/(J25+M25+P25+S25+V25)),"")</f>
        <v/>
      </c>
      <c r="Z25" s="41" t="str">
        <f t="shared" ref="Z25:Z29" si="35">IFERROR((H25-E25)/(H25+K25+N25+Q25+T25),"")</f>
        <v/>
      </c>
      <c r="AA25" s="41" t="str">
        <f t="shared" ref="AA25:AA29" si="36">IFERROR((I25-F25)/(I25+L25+O25+R25+U25),"")</f>
        <v/>
      </c>
      <c r="AB25" s="41" t="str">
        <f t="shared" ref="AB25:AB29" si="37">IFERROR((J25-G25)/(J25+M25+P25+S25+V25),"")</f>
        <v/>
      </c>
      <c r="AC25" s="42" t="str">
        <f t="shared" ref="AC25:AC29" si="38">IFERROR((K25+N25)/(H25+K25+N25+Q25+T25),"")</f>
        <v/>
      </c>
      <c r="AD25" s="42" t="str">
        <f t="shared" ref="AD25:AD29" si="39">IFERROR((L25+O25)/(I25+L25+O25+R25+U25),"")</f>
        <v/>
      </c>
      <c r="AE25" s="42" t="str">
        <f t="shared" ref="AE25:AE29" si="40">IFERROR((M25+P25)/(J25+M25+P25+S25+V25),"")</f>
        <v/>
      </c>
      <c r="AF25" s="49" t="str">
        <f t="shared" ref="AF25:AF29" si="41">IFERROR((Q25+T25)/(H25+K25+N25+Q25+T25),"")</f>
        <v/>
      </c>
      <c r="AG25" s="49" t="str">
        <f t="shared" ref="AG25:AG29" si="42">IFERROR((R25+U25)/(I25+L25+O25+R25+U25),"")</f>
        <v/>
      </c>
      <c r="AH25" s="49" t="str">
        <f t="shared" ref="AH25:AH29" si="43">IFERROR((S25+V25)/(J25+M25+P25+S25+V25),"")</f>
        <v/>
      </c>
      <c r="AI25" s="43" t="str">
        <f t="shared" ref="AI25:AI29" si="44">IFERROR(W25+Z25+AC25+AF25,"")</f>
        <v/>
      </c>
      <c r="AJ25" s="43" t="str">
        <f t="shared" ref="AJ25:AJ29" si="45">IFERROR(X25+AA25+AD25+AG25,"")</f>
        <v/>
      </c>
      <c r="AK25" s="43" t="str">
        <f t="shared" ref="AK25:AK29" si="46">IFERROR(Y25+AB25+AE25+AH25,"")</f>
        <v/>
      </c>
      <c r="AL25" s="62"/>
      <c r="AM25" s="51"/>
      <c r="AN25" s="44"/>
    </row>
    <row r="26" spans="1:40" x14ac:dyDescent="0.3">
      <c r="A26" s="68" t="s">
        <v>31</v>
      </c>
      <c r="B26" s="28" t="s">
        <v>69</v>
      </c>
      <c r="C26" s="68" t="s">
        <v>31</v>
      </c>
      <c r="D26" s="104" t="s">
        <v>32</v>
      </c>
      <c r="E26" s="37">
        <v>0</v>
      </c>
      <c r="F26" s="9">
        <v>0</v>
      </c>
      <c r="G26" s="9">
        <v>0</v>
      </c>
      <c r="H26" s="13">
        <v>906058.473</v>
      </c>
      <c r="I26" s="13">
        <v>881507.21200000006</v>
      </c>
      <c r="J26" s="13">
        <v>851737.87399999995</v>
      </c>
      <c r="K26" s="12">
        <v>575000</v>
      </c>
      <c r="L26" s="12">
        <v>575000</v>
      </c>
      <c r="M26" s="12">
        <v>475000</v>
      </c>
      <c r="N26" s="12">
        <v>0</v>
      </c>
      <c r="O26" s="12">
        <v>50000</v>
      </c>
      <c r="P26" s="12">
        <v>0</v>
      </c>
      <c r="Q26" s="47">
        <v>0</v>
      </c>
      <c r="R26" s="47">
        <v>0</v>
      </c>
      <c r="S26" s="47">
        <v>0</v>
      </c>
      <c r="T26" s="47">
        <v>260885.22700000001</v>
      </c>
      <c r="U26" s="47">
        <v>48950</v>
      </c>
      <c r="V26" s="47">
        <v>121320</v>
      </c>
      <c r="W26" s="40">
        <f t="shared" si="32"/>
        <v>0</v>
      </c>
      <c r="X26" s="40">
        <f t="shared" si="33"/>
        <v>0</v>
      </c>
      <c r="Y26" s="40">
        <f t="shared" si="34"/>
        <v>0</v>
      </c>
      <c r="Z26" s="41">
        <f t="shared" si="35"/>
        <v>0.52014222560694701</v>
      </c>
      <c r="AA26" s="41">
        <f t="shared" si="36"/>
        <v>0.56671903617751207</v>
      </c>
      <c r="AB26" s="41">
        <f t="shared" si="37"/>
        <v>0.58819325476766138</v>
      </c>
      <c r="AC26" s="42">
        <f t="shared" si="38"/>
        <v>0.33009103566320774</v>
      </c>
      <c r="AD26" s="42">
        <f t="shared" si="39"/>
        <v>0.40181111712894868</v>
      </c>
      <c r="AE26" s="42">
        <f t="shared" si="40"/>
        <v>0.32802556343131356</v>
      </c>
      <c r="AF26" s="49">
        <f t="shared" si="41"/>
        <v>0.14976673872984531</v>
      </c>
      <c r="AG26" s="49">
        <f t="shared" si="42"/>
        <v>3.1469846693539263E-2</v>
      </c>
      <c r="AH26" s="49">
        <f t="shared" si="43"/>
        <v>8.3781181801025187E-2</v>
      </c>
      <c r="AI26" s="43">
        <f t="shared" si="44"/>
        <v>1</v>
      </c>
      <c r="AJ26" s="43">
        <f t="shared" si="45"/>
        <v>1</v>
      </c>
      <c r="AK26" s="43">
        <f t="shared" si="46"/>
        <v>1.0000000000000002</v>
      </c>
      <c r="AL26" s="62"/>
      <c r="AM26" s="89"/>
      <c r="AN26" s="57"/>
    </row>
    <row r="27" spans="1:40" x14ac:dyDescent="0.3">
      <c r="A27" s="68" t="s">
        <v>33</v>
      </c>
      <c r="B27" s="28" t="s">
        <v>69</v>
      </c>
      <c r="C27" s="68" t="s">
        <v>33</v>
      </c>
      <c r="D27" s="104" t="s">
        <v>32</v>
      </c>
      <c r="E27" s="37">
        <v>0</v>
      </c>
      <c r="F27" s="9">
        <v>0</v>
      </c>
      <c r="G27" s="9">
        <v>0</v>
      </c>
      <c r="H27" s="13">
        <v>87455.065000000002</v>
      </c>
      <c r="I27" s="13">
        <v>80319.383000000002</v>
      </c>
      <c r="J27" s="13">
        <v>69566.409</v>
      </c>
      <c r="K27" s="12">
        <v>82000</v>
      </c>
      <c r="L27" s="12">
        <v>82000</v>
      </c>
      <c r="M27" s="12">
        <v>82000</v>
      </c>
      <c r="N27" s="12">
        <v>0</v>
      </c>
      <c r="O27" s="12">
        <v>0</v>
      </c>
      <c r="P27" s="12">
        <v>20000</v>
      </c>
      <c r="Q27" s="47">
        <v>0</v>
      </c>
      <c r="R27" s="47">
        <v>0</v>
      </c>
      <c r="S27" s="47">
        <v>0</v>
      </c>
      <c r="T27" s="47">
        <v>42059.45</v>
      </c>
      <c r="U27" s="47">
        <v>32920</v>
      </c>
      <c r="V27" s="47">
        <v>4600</v>
      </c>
      <c r="W27" s="40">
        <f t="shared" si="32"/>
        <v>0</v>
      </c>
      <c r="X27" s="40">
        <f t="shared" si="33"/>
        <v>0</v>
      </c>
      <c r="Y27" s="40">
        <f t="shared" si="34"/>
        <v>0</v>
      </c>
      <c r="Z27" s="41">
        <f t="shared" si="35"/>
        <v>0.41347074927694677</v>
      </c>
      <c r="AA27" s="41">
        <f t="shared" si="36"/>
        <v>0.41138924824403894</v>
      </c>
      <c r="AB27" s="41">
        <f t="shared" si="37"/>
        <v>0.39489031646209016</v>
      </c>
      <c r="AC27" s="42">
        <f t="shared" si="38"/>
        <v>0.38768024974550797</v>
      </c>
      <c r="AD27" s="42">
        <f t="shared" si="39"/>
        <v>0.41999722975973552</v>
      </c>
      <c r="AE27" s="42">
        <f t="shared" si="40"/>
        <v>0.57899800863852546</v>
      </c>
      <c r="AF27" s="49">
        <f t="shared" si="41"/>
        <v>0.19884900097754518</v>
      </c>
      <c r="AG27" s="49">
        <f t="shared" si="42"/>
        <v>0.16861352199622553</v>
      </c>
      <c r="AH27" s="49">
        <f t="shared" si="43"/>
        <v>2.6111674899384481E-2</v>
      </c>
      <c r="AI27" s="43">
        <f t="shared" si="44"/>
        <v>1</v>
      </c>
      <c r="AJ27" s="43">
        <f t="shared" si="45"/>
        <v>1</v>
      </c>
      <c r="AK27" s="43">
        <f t="shared" si="46"/>
        <v>1</v>
      </c>
      <c r="AL27" s="62"/>
      <c r="AM27" s="89"/>
      <c r="AN27" s="57"/>
    </row>
    <row r="28" spans="1:40" x14ac:dyDescent="0.3">
      <c r="A28" s="67" t="s">
        <v>34</v>
      </c>
      <c r="B28" s="97" t="s">
        <v>70</v>
      </c>
      <c r="C28" s="67" t="s">
        <v>34</v>
      </c>
      <c r="D28" s="104" t="s">
        <v>32</v>
      </c>
      <c r="E28" s="37">
        <v>0</v>
      </c>
      <c r="F28" s="9">
        <v>0</v>
      </c>
      <c r="G28" s="9">
        <v>0</v>
      </c>
      <c r="H28" s="13"/>
      <c r="I28" s="13">
        <v>16574.14891</v>
      </c>
      <c r="J28" s="13">
        <v>14350.672409999999</v>
      </c>
      <c r="K28" s="12"/>
      <c r="L28" s="12">
        <v>0</v>
      </c>
      <c r="M28" s="12">
        <v>0</v>
      </c>
      <c r="N28" s="12"/>
      <c r="O28" s="12">
        <v>0</v>
      </c>
      <c r="P28" s="12">
        <v>0</v>
      </c>
      <c r="Q28" s="47"/>
      <c r="R28" s="47">
        <v>0</v>
      </c>
      <c r="S28" s="47">
        <v>0</v>
      </c>
      <c r="T28" s="47"/>
      <c r="U28" s="47">
        <v>25730.473999999998</v>
      </c>
      <c r="V28" s="47">
        <v>22695.47423</v>
      </c>
      <c r="W28" s="40" t="str">
        <f t="shared" si="32"/>
        <v/>
      </c>
      <c r="X28" s="40">
        <f t="shared" si="33"/>
        <v>0</v>
      </c>
      <c r="Y28" s="40">
        <f t="shared" si="34"/>
        <v>0</v>
      </c>
      <c r="Z28" s="41" t="str">
        <f t="shared" si="35"/>
        <v/>
      </c>
      <c r="AA28" s="41">
        <f t="shared" si="36"/>
        <v>0.39178103407895382</v>
      </c>
      <c r="AB28" s="41">
        <f t="shared" si="37"/>
        <v>0.387372877116053</v>
      </c>
      <c r="AC28" s="42" t="str">
        <f t="shared" si="38"/>
        <v/>
      </c>
      <c r="AD28" s="42">
        <f t="shared" si="39"/>
        <v>0</v>
      </c>
      <c r="AE28" s="42">
        <f t="shared" si="40"/>
        <v>0</v>
      </c>
      <c r="AF28" s="49" t="str">
        <f t="shared" si="41"/>
        <v/>
      </c>
      <c r="AG28" s="49">
        <f t="shared" si="42"/>
        <v>0.60821896592104618</v>
      </c>
      <c r="AH28" s="49">
        <f t="shared" si="43"/>
        <v>0.61262712288394705</v>
      </c>
      <c r="AI28" s="43" t="str">
        <f t="shared" si="44"/>
        <v/>
      </c>
      <c r="AJ28" s="43">
        <f t="shared" si="45"/>
        <v>1</v>
      </c>
      <c r="AK28" s="43">
        <f t="shared" si="46"/>
        <v>1</v>
      </c>
      <c r="AL28" s="62"/>
      <c r="AM28" s="91"/>
      <c r="AN28" s="57"/>
    </row>
    <row r="29" spans="1:40" x14ac:dyDescent="0.3">
      <c r="A29" s="67" t="s">
        <v>35</v>
      </c>
      <c r="B29" s="97" t="s">
        <v>71</v>
      </c>
      <c r="C29" s="67" t="s">
        <v>35</v>
      </c>
      <c r="D29" s="104" t="s">
        <v>32</v>
      </c>
      <c r="E29" s="37">
        <v>0</v>
      </c>
      <c r="F29" s="9">
        <v>0</v>
      </c>
      <c r="G29" s="9">
        <v>0</v>
      </c>
      <c r="H29" s="13">
        <v>1745320.5349999999</v>
      </c>
      <c r="I29" s="13">
        <v>1577882.5630000001</v>
      </c>
      <c r="J29" s="13">
        <v>1435139.1129999999</v>
      </c>
      <c r="K29" s="12">
        <v>1396379.2169999999</v>
      </c>
      <c r="L29" s="12">
        <v>1346230.8319999999</v>
      </c>
      <c r="M29" s="12">
        <v>1096968.5989999999</v>
      </c>
      <c r="N29" s="12">
        <v>250000</v>
      </c>
      <c r="O29" s="12">
        <v>0</v>
      </c>
      <c r="P29" s="12">
        <v>0</v>
      </c>
      <c r="Q29" s="47">
        <v>0</v>
      </c>
      <c r="R29" s="47">
        <v>250000</v>
      </c>
      <c r="S29" s="47">
        <v>0</v>
      </c>
      <c r="T29" s="47">
        <v>445279.69400000002</v>
      </c>
      <c r="U29" s="47">
        <v>240925</v>
      </c>
      <c r="V29" s="47">
        <v>301225</v>
      </c>
      <c r="W29" s="40">
        <f t="shared" si="32"/>
        <v>0</v>
      </c>
      <c r="X29" s="40">
        <f t="shared" si="33"/>
        <v>0</v>
      </c>
      <c r="Y29" s="40">
        <f t="shared" si="34"/>
        <v>0</v>
      </c>
      <c r="Z29" s="41">
        <f t="shared" si="35"/>
        <v>0.45486835662345632</v>
      </c>
      <c r="AA29" s="41">
        <f t="shared" si="36"/>
        <v>0.46203947964690456</v>
      </c>
      <c r="AB29" s="41">
        <f t="shared" si="37"/>
        <v>0.50651979801798863</v>
      </c>
      <c r="AC29" s="42">
        <f t="shared" si="38"/>
        <v>0.429082104861502</v>
      </c>
      <c r="AD29" s="42">
        <f t="shared" si="39"/>
        <v>0.39420664610126582</v>
      </c>
      <c r="AE29" s="42">
        <f t="shared" si="40"/>
        <v>0.3871654727854637</v>
      </c>
      <c r="AF29" s="49">
        <f t="shared" si="41"/>
        <v>0.11604953851504161</v>
      </c>
      <c r="AG29" s="49">
        <f t="shared" si="42"/>
        <v>0.14375387425182962</v>
      </c>
      <c r="AH29" s="49">
        <f t="shared" si="43"/>
        <v>0.10631472919654768</v>
      </c>
      <c r="AI29" s="43">
        <f t="shared" si="44"/>
        <v>0.99999999999999989</v>
      </c>
      <c r="AJ29" s="43">
        <f t="shared" si="45"/>
        <v>1</v>
      </c>
      <c r="AK29" s="43">
        <f t="shared" si="46"/>
        <v>1</v>
      </c>
      <c r="AL29" s="62"/>
      <c r="AM29" s="89"/>
      <c r="AN29" s="57"/>
    </row>
    <row r="30" spans="1:40" x14ac:dyDescent="0.3">
      <c r="A30" s="23"/>
      <c r="B30" s="23"/>
      <c r="C30" s="67"/>
      <c r="AM30" s="56"/>
      <c r="AN30" s="57"/>
    </row>
    <row r="31" spans="1:40" x14ac:dyDescent="0.3">
      <c r="A31" s="23"/>
      <c r="B31" s="23"/>
      <c r="C31" s="23"/>
      <c r="AM31" s="56"/>
      <c r="AN31" s="57"/>
    </row>
    <row r="32" spans="1:40" x14ac:dyDescent="0.3">
      <c r="A32" s="28"/>
      <c r="B32" s="28"/>
      <c r="C32" s="28"/>
      <c r="D32" s="27"/>
      <c r="E32" s="27"/>
      <c r="F32" s="27"/>
      <c r="AM32" s="56"/>
      <c r="AN32" s="57"/>
    </row>
    <row r="33" spans="1:40" ht="12.4" customHeight="1" x14ac:dyDescent="0.3">
      <c r="A33" s="45"/>
      <c r="B33" s="23"/>
      <c r="C33" s="23"/>
      <c r="AM33" s="56"/>
      <c r="AN33" s="57"/>
    </row>
    <row r="34" spans="1:40" x14ac:dyDescent="0.3">
      <c r="A34" s="45"/>
      <c r="AM34" s="56"/>
      <c r="AN34" s="57"/>
    </row>
    <row r="35" spans="1:40" x14ac:dyDescent="0.3">
      <c r="A35" s="45"/>
    </row>
    <row r="36" spans="1:40" x14ac:dyDescent="0.3">
      <c r="A36" s="45"/>
    </row>
    <row r="37" spans="1:40" x14ac:dyDescent="0.3">
      <c r="A37" s="45"/>
    </row>
    <row r="38" spans="1:40" x14ac:dyDescent="0.3">
      <c r="A38" s="45"/>
    </row>
    <row r="39" spans="1:40" x14ac:dyDescent="0.3">
      <c r="A39" s="45"/>
    </row>
    <row r="40" spans="1:40" x14ac:dyDescent="0.3">
      <c r="A40" s="45"/>
    </row>
    <row r="41" spans="1:40" x14ac:dyDescent="0.3">
      <c r="A41" s="45"/>
    </row>
    <row r="42" spans="1:40" x14ac:dyDescent="0.3">
      <c r="A42" s="45"/>
    </row>
    <row r="52" spans="3:3" ht="14.5" x14ac:dyDescent="0.3">
      <c r="C52" s="61"/>
    </row>
  </sheetData>
  <mergeCells count="22">
    <mergeCell ref="T10:V10"/>
    <mergeCell ref="N1:P1"/>
    <mergeCell ref="Q1:S1"/>
    <mergeCell ref="K10:M10"/>
    <mergeCell ref="N10:P10"/>
    <mergeCell ref="Q10:S10"/>
    <mergeCell ref="AF1:AH1"/>
    <mergeCell ref="AF10:AH10"/>
    <mergeCell ref="AI1:AK1"/>
    <mergeCell ref="AI10:AK10"/>
    <mergeCell ref="E1:G1"/>
    <mergeCell ref="H1:J1"/>
    <mergeCell ref="K1:M1"/>
    <mergeCell ref="E10:G10"/>
    <mergeCell ref="H10:J10"/>
    <mergeCell ref="W1:Y1"/>
    <mergeCell ref="W10:Y10"/>
    <mergeCell ref="Z1:AB1"/>
    <mergeCell ref="Z10:AB10"/>
    <mergeCell ref="AC1:AE1"/>
    <mergeCell ref="AC10:AE10"/>
    <mergeCell ref="T1:V1"/>
  </mergeCells>
  <phoneticPr fontId="14" type="noConversion"/>
  <conditionalFormatting sqref="D3 B13:C18 A4:D7">
    <cfRule type="expression" dxfId="1" priority="39">
      <formula>"(blank)"</formula>
    </cfRule>
  </conditionalFormatting>
  <conditionalFormatting sqref="D3 B13:C18 A4:D7">
    <cfRule type="expression" dxfId="0" priority="40">
      <formula>#REF!</formula>
    </cfRule>
  </conditionalFormatting>
  <pageMargins left="0.7" right="0.7" top="0.75" bottom="0.75" header="0.3" footer="0.3"/>
  <pageSetup scale="49" orientation="portrait" verticalDpi="300" r:id="rId1"/>
  <headerFooter>
    <oddHeader>&amp;LCascade Natural Gas Corporation 
&amp;CCNGC WP 16&amp;RWitness: Ann E. Bulkley
Page &amp;P of &amp;N</oddHeader>
  </headerFooter>
  <colBreaks count="2" manualBreakCount="2">
    <brk id="10" max="28" man="1"/>
    <brk id="1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382068A-4699-49A1-952C-DA11188FD586}"/>
</file>

<file path=customXml/itemProps2.xml><?xml version="1.0" encoding="utf-8"?>
<ds:datastoreItem xmlns:ds="http://schemas.openxmlformats.org/officeDocument/2006/customXml" ds:itemID="{ED1D031F-01FA-41AD-9A39-C9FA8B057DC1}"/>
</file>

<file path=customXml/itemProps3.xml><?xml version="1.0" encoding="utf-8"?>
<ds:datastoreItem xmlns:ds="http://schemas.openxmlformats.org/officeDocument/2006/customXml" ds:itemID="{C021354E-CD1B-4D01-BB56-F8764141A7A3}"/>
</file>

<file path=customXml/itemProps4.xml><?xml version="1.0" encoding="utf-8"?>
<ds:datastoreItem xmlns:ds="http://schemas.openxmlformats.org/officeDocument/2006/customXml" ds:itemID="{B20A673C-77BA-41FB-B31E-731BD486E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Capital Structure</vt:lpstr>
      <vt:lpstr>Weighted Ratio</vt:lpstr>
      <vt:lpstr>'Weighted Ratio'!Print_Titles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2023-10-30T21:01:06Z</dcterms:created>
  <dcterms:modified xsi:type="dcterms:W3CDTF">2024-03-15T18:59:07Z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{AA53648A-386F-4638-B261-E80CA84E9582}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_docset_NoMedatataSyncRequired">
    <vt:lpwstr>False</vt:lpwstr>
  </property>
</Properties>
</file>