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3\2023 WA Sch 66-166 Insurance Tracker\For Filing\Natural Gas\"/>
    </mc:Choice>
  </mc:AlternateContent>
  <xr:revisionPtr revIDLastSave="0" documentId="13_ncr:1_{C7A4C4F6-3342-4258-B4D0-88373EC011C1}" xr6:coauthVersionLast="47" xr6:coauthVersionMax="47" xr10:uidLastSave="{00000000-0000-0000-0000-000000000000}"/>
  <bookViews>
    <workbookView xWindow="28680" yWindow="-90" windowWidth="29040" windowHeight="16440" xr2:uid="{1FA0B0A0-6986-41C4-A6DD-5AFE1D5CCAEF}"/>
  </bookViews>
  <sheets>
    <sheet name="Rate Design" sheetId="2" r:id="rId1"/>
    <sheet name="Deferral Balance" sheetId="1" r:id="rId2"/>
    <sheet name="Deferral Schedule" sheetId="11" r:id="rId3"/>
    <sheet name="Forecasted Revenue" sheetId="6" r:id="rId4"/>
    <sheet name="Therm Forecast" sheetId="3" r:id="rId5"/>
    <sheet name="CF WA Gas" sheetId="9" r:id="rId6"/>
    <sheet name="Tables for Cust Notice" sheetId="1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ctual">#REF!</definedName>
    <definedName name="AllocFactors">[1]Factors!$D$111:$AP$120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g1Row">MAX([2]Detail!$A:$A)</definedName>
    <definedName name="_xlnm.Print_Area" localSheetId="3">'Forecasted Revenue'!$A$1:$S$39</definedName>
    <definedName name="_xlnm.Print_Area" localSheetId="0">'Rate Design'!$A$1:$I$46</definedName>
    <definedName name="_xlnm.Print_Area" localSheetId="4">'Therm Forecast'!$A$1:$N$30</definedName>
    <definedName name="PrintAll">#REF!</definedName>
    <definedName name="Recover">[3]Macro1!$A$85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E16" i="6"/>
  <c r="F16" i="6"/>
  <c r="G16" i="6"/>
  <c r="D16" i="6"/>
  <c r="C52" i="2"/>
  <c r="H10" i="2" l="1"/>
  <c r="H12" i="2"/>
  <c r="H8" i="2"/>
  <c r="H9" i="2" s="1"/>
  <c r="H11" i="2" s="1"/>
  <c r="H16" i="2" s="1"/>
  <c r="H18" i="2" s="1"/>
  <c r="H19" i="2" s="1"/>
  <c r="H23" i="2" s="1"/>
  <c r="D23" i="10" s="1"/>
  <c r="H13" i="2" l="1"/>
  <c r="H14" i="2"/>
  <c r="I6" i="6" l="1"/>
  <c r="J6" i="6"/>
  <c r="K6" i="6"/>
  <c r="L6" i="6"/>
  <c r="M6" i="6"/>
  <c r="N6" i="6"/>
  <c r="O6" i="6"/>
  <c r="P6" i="6"/>
  <c r="Q6" i="6"/>
  <c r="R6" i="6"/>
  <c r="S6" i="6"/>
  <c r="H6" i="6"/>
  <c r="E8" i="2" l="1"/>
  <c r="E10" i="2"/>
  <c r="E12" i="2"/>
  <c r="D8" i="2" l="1"/>
  <c r="H5" i="6" l="1"/>
  <c r="G24" i="6" l="1"/>
  <c r="D24" i="6"/>
  <c r="E24" i="6"/>
  <c r="F24" i="6"/>
  <c r="I5" i="6"/>
  <c r="J5" i="6"/>
  <c r="K5" i="6"/>
  <c r="L5" i="6"/>
  <c r="M5" i="6"/>
  <c r="N5" i="6"/>
  <c r="O5" i="6"/>
  <c r="P5" i="6"/>
  <c r="Q5" i="6"/>
  <c r="R5" i="6"/>
  <c r="S5" i="6"/>
  <c r="I7" i="6"/>
  <c r="J7" i="6"/>
  <c r="K7" i="6"/>
  <c r="L7" i="6"/>
  <c r="M7" i="6"/>
  <c r="N7" i="6"/>
  <c r="O7" i="6"/>
  <c r="P7" i="6"/>
  <c r="Q7" i="6"/>
  <c r="R7" i="6"/>
  <c r="S7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7" i="6"/>
  <c r="H8" i="6"/>
  <c r="H9" i="6"/>
  <c r="B25" i="3" l="1"/>
  <c r="N19" i="3"/>
  <c r="D12" i="2" s="1"/>
  <c r="B13" i="3"/>
  <c r="N7" i="3"/>
  <c r="D10" i="2" s="1"/>
  <c r="N8" i="3"/>
  <c r="N9" i="3"/>
  <c r="N10" i="3"/>
  <c r="F10" i="2" s="1"/>
  <c r="N11" i="3"/>
  <c r="G10" i="2" s="1"/>
  <c r="N12" i="3"/>
  <c r="D9" i="11" l="1"/>
  <c r="C30" i="2"/>
  <c r="B15" i="1"/>
  <c r="B14" i="1"/>
  <c r="B13" i="1"/>
  <c r="B12" i="1"/>
  <c r="B11" i="1"/>
  <c r="B10" i="1"/>
  <c r="B9" i="1"/>
  <c r="B8" i="1"/>
  <c r="B7" i="1"/>
  <c r="B6" i="1"/>
  <c r="B5" i="1"/>
  <c r="G4" i="1"/>
  <c r="G5" i="1" s="1"/>
  <c r="G6" i="1" s="1"/>
  <c r="G7" i="1" s="1"/>
  <c r="G8" i="1" s="1"/>
  <c r="G9" i="1" s="1"/>
  <c r="G10" i="1" s="1"/>
  <c r="B4" i="1"/>
  <c r="E9" i="2"/>
  <c r="F8" i="2"/>
  <c r="G8" i="2"/>
  <c r="G9" i="2" s="1"/>
  <c r="D9" i="2"/>
  <c r="F9" i="2" l="1"/>
  <c r="C8" i="2"/>
  <c r="H32" i="11"/>
  <c r="C22" i="2" l="1"/>
  <c r="I31" i="11"/>
  <c r="G34" i="11" l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T7" i="6" l="1"/>
  <c r="D16" i="11"/>
  <c r="F16" i="11" s="1"/>
  <c r="D6" i="11" l="1"/>
  <c r="D8" i="11" s="1"/>
  <c r="N20" i="3" l="1"/>
  <c r="N21" i="3"/>
  <c r="N22" i="3"/>
  <c r="F12" i="2" s="1"/>
  <c r="N23" i="3"/>
  <c r="G12" i="2" s="1"/>
  <c r="N24" i="3"/>
  <c r="C25" i="3"/>
  <c r="D25" i="3"/>
  <c r="E25" i="3"/>
  <c r="F25" i="3"/>
  <c r="G25" i="3"/>
  <c r="H25" i="3"/>
  <c r="I25" i="3"/>
  <c r="J25" i="3"/>
  <c r="K25" i="3"/>
  <c r="L25" i="3"/>
  <c r="M25" i="3"/>
  <c r="G19" i="11" l="1"/>
  <c r="C13" i="3" l="1"/>
  <c r="D13" i="3"/>
  <c r="E13" i="3"/>
  <c r="F13" i="3"/>
  <c r="G13" i="3"/>
  <c r="H13" i="3"/>
  <c r="I13" i="3"/>
  <c r="J13" i="3"/>
  <c r="K13" i="3"/>
  <c r="L13" i="3"/>
  <c r="M13" i="3"/>
  <c r="N25" i="3" l="1"/>
  <c r="E19" i="9" l="1"/>
  <c r="E21" i="9" s="1"/>
  <c r="C29" i="6" l="1"/>
  <c r="G23" i="11"/>
  <c r="C33" i="2"/>
  <c r="E25" i="9"/>
  <c r="S29" i="6" l="1"/>
  <c r="A1" i="9" l="1"/>
  <c r="M18" i="3" l="1"/>
  <c r="L18" i="3"/>
  <c r="K18" i="3"/>
  <c r="J18" i="3"/>
  <c r="I18" i="3"/>
  <c r="H18" i="3"/>
  <c r="G18" i="3"/>
  <c r="F18" i="3"/>
  <c r="E18" i="3"/>
  <c r="D18" i="3"/>
  <c r="C18" i="3"/>
  <c r="B18" i="3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G18" i="6"/>
  <c r="F18" i="6"/>
  <c r="E18" i="6"/>
  <c r="D18" i="6"/>
  <c r="G17" i="6"/>
  <c r="F17" i="6"/>
  <c r="E17" i="6"/>
  <c r="D17" i="6"/>
  <c r="G15" i="6"/>
  <c r="F15" i="6"/>
  <c r="E15" i="6"/>
  <c r="D15" i="6"/>
  <c r="G14" i="6"/>
  <c r="F14" i="6"/>
  <c r="E14" i="6"/>
  <c r="D14" i="6"/>
  <c r="A19" i="2"/>
  <c r="N13" i="3" l="1"/>
  <c r="P10" i="6"/>
  <c r="P11" i="6" s="1"/>
  <c r="L10" i="6"/>
  <c r="L11" i="6" s="1"/>
  <c r="I10" i="6"/>
  <c r="I11" i="6" s="1"/>
  <c r="Q10" i="6"/>
  <c r="Q11" i="6" s="1"/>
  <c r="M10" i="6"/>
  <c r="M11" i="6" s="1"/>
  <c r="K10" i="6"/>
  <c r="K11" i="6" s="1"/>
  <c r="O10" i="6"/>
  <c r="O11" i="6" s="1"/>
  <c r="S10" i="6"/>
  <c r="S11" i="6" s="1"/>
  <c r="C12" i="2" l="1"/>
  <c r="H10" i="6"/>
  <c r="H11" i="6" s="1"/>
  <c r="C10" i="2"/>
  <c r="R10" i="6"/>
  <c r="R11" i="6" s="1"/>
  <c r="J10" i="6"/>
  <c r="J11" i="6" s="1"/>
  <c r="N10" i="6"/>
  <c r="N11" i="6" s="1"/>
  <c r="F26" i="6"/>
  <c r="F34" i="6" s="1"/>
  <c r="F23" i="6"/>
  <c r="F31" i="6" s="1"/>
  <c r="E25" i="6"/>
  <c r="E33" i="6" s="1"/>
  <c r="G26" i="6"/>
  <c r="G34" i="6" s="1"/>
  <c r="F25" i="6"/>
  <c r="F33" i="6" s="1"/>
  <c r="E26" i="6"/>
  <c r="E34" i="6" s="1"/>
  <c r="G25" i="6"/>
  <c r="G33" i="6" s="1"/>
  <c r="G23" i="6"/>
  <c r="G31" i="6" s="1"/>
  <c r="E23" i="6" l="1"/>
  <c r="E31" i="6" s="1"/>
  <c r="D25" i="6"/>
  <c r="D33" i="6" s="1"/>
  <c r="T8" i="6"/>
  <c r="D26" i="6"/>
  <c r="D34" i="6" s="1"/>
  <c r="T9" i="6"/>
  <c r="G22" i="6"/>
  <c r="E10" i="6"/>
  <c r="E22" i="6"/>
  <c r="E30" i="6" s="1"/>
  <c r="F10" i="6"/>
  <c r="D22" i="6"/>
  <c r="D30" i="6" s="1"/>
  <c r="F22" i="6"/>
  <c r="G10" i="6" l="1"/>
  <c r="T5" i="6"/>
  <c r="D23" i="6"/>
  <c r="D31" i="6" s="1"/>
  <c r="D35" i="6" s="1"/>
  <c r="T6" i="6"/>
  <c r="G30" i="6"/>
  <c r="G35" i="6" s="1"/>
  <c r="G27" i="6"/>
  <c r="F27" i="6"/>
  <c r="F30" i="6"/>
  <c r="F35" i="6" s="1"/>
  <c r="D10" i="6"/>
  <c r="E27" i="6"/>
  <c r="E35" i="6"/>
  <c r="T10" i="6" l="1"/>
  <c r="D27" i="6"/>
  <c r="G11" i="2" l="1"/>
  <c r="F11" i="2"/>
  <c r="F13" i="2" s="1"/>
  <c r="D11" i="2"/>
  <c r="E11" i="2"/>
  <c r="J18" i="6" l="1"/>
  <c r="J26" i="6" s="1"/>
  <c r="J34" i="6" s="1"/>
  <c r="G13" i="2"/>
  <c r="G14" i="2"/>
  <c r="E14" i="2"/>
  <c r="E13" i="2"/>
  <c r="D16" i="2"/>
  <c r="D25" i="2" s="1"/>
  <c r="D13" i="2"/>
  <c r="D14" i="2"/>
  <c r="K16" i="6"/>
  <c r="K24" i="6" s="1"/>
  <c r="K32" i="6" s="1"/>
  <c r="O16" i="6"/>
  <c r="O24" i="6" s="1"/>
  <c r="O32" i="6" s="1"/>
  <c r="M16" i="6"/>
  <c r="M24" i="6" s="1"/>
  <c r="M32" i="6" s="1"/>
  <c r="H16" i="6"/>
  <c r="H24" i="6" s="1"/>
  <c r="H32" i="6" s="1"/>
  <c r="F16" i="2"/>
  <c r="F18" i="2" s="1"/>
  <c r="F19" i="2" s="1"/>
  <c r="F23" i="2" s="1"/>
  <c r="D21" i="10" s="1"/>
  <c r="R16" i="6"/>
  <c r="R24" i="6" s="1"/>
  <c r="R32" i="6" s="1"/>
  <c r="F14" i="2"/>
  <c r="P16" i="6"/>
  <c r="P24" i="6" s="1"/>
  <c r="P32" i="6" s="1"/>
  <c r="Q16" i="6"/>
  <c r="Q24" i="6" s="1"/>
  <c r="Q32" i="6" s="1"/>
  <c r="J16" i="6"/>
  <c r="J24" i="6" s="1"/>
  <c r="J32" i="6" s="1"/>
  <c r="N16" i="6"/>
  <c r="N24" i="6" s="1"/>
  <c r="N32" i="6" s="1"/>
  <c r="L16" i="6"/>
  <c r="L24" i="6" s="1"/>
  <c r="L32" i="6" s="1"/>
  <c r="I16" i="6"/>
  <c r="I24" i="6" s="1"/>
  <c r="I32" i="6" s="1"/>
  <c r="S16" i="6"/>
  <c r="S24" i="6" s="1"/>
  <c r="S32" i="6" s="1"/>
  <c r="G16" i="2"/>
  <c r="E16" i="2"/>
  <c r="D26" i="2" l="1"/>
  <c r="C44" i="2"/>
  <c r="C46" i="2" s="1"/>
  <c r="K18" i="6"/>
  <c r="K26" i="6" s="1"/>
  <c r="K34" i="6" s="1"/>
  <c r="Q18" i="6"/>
  <c r="Q26" i="6" s="1"/>
  <c r="Q34" i="6" s="1"/>
  <c r="S18" i="6"/>
  <c r="S26" i="6" s="1"/>
  <c r="S34" i="6" s="1"/>
  <c r="H18" i="6"/>
  <c r="H26" i="6" s="1"/>
  <c r="H34" i="6" s="1"/>
  <c r="O18" i="6"/>
  <c r="O26" i="6" s="1"/>
  <c r="O34" i="6" s="1"/>
  <c r="M18" i="6"/>
  <c r="M26" i="6" s="1"/>
  <c r="M34" i="6" s="1"/>
  <c r="R18" i="6"/>
  <c r="R26" i="6" s="1"/>
  <c r="R34" i="6" s="1"/>
  <c r="N18" i="6"/>
  <c r="N26" i="6" s="1"/>
  <c r="N34" i="6" s="1"/>
  <c r="L18" i="6"/>
  <c r="L26" i="6" s="1"/>
  <c r="L34" i="6" s="1"/>
  <c r="I18" i="6"/>
  <c r="I26" i="6" s="1"/>
  <c r="I34" i="6" s="1"/>
  <c r="P18" i="6"/>
  <c r="P26" i="6" s="1"/>
  <c r="P34" i="6" s="1"/>
  <c r="N15" i="6"/>
  <c r="N23" i="6" s="1"/>
  <c r="N31" i="6" s="1"/>
  <c r="M15" i="6"/>
  <c r="M23" i="6" s="1"/>
  <c r="M31" i="6" s="1"/>
  <c r="S15" i="6"/>
  <c r="S23" i="6" s="1"/>
  <c r="S31" i="6" s="1"/>
  <c r="K15" i="6"/>
  <c r="K23" i="6" s="1"/>
  <c r="K31" i="6" s="1"/>
  <c r="Q15" i="6"/>
  <c r="Q23" i="6" s="1"/>
  <c r="Q31" i="6" s="1"/>
  <c r="L15" i="6"/>
  <c r="L23" i="6" s="1"/>
  <c r="L31" i="6" s="1"/>
  <c r="I15" i="6"/>
  <c r="I23" i="6" s="1"/>
  <c r="I31" i="6" s="1"/>
  <c r="H15" i="6"/>
  <c r="P15" i="6"/>
  <c r="P23" i="6" s="1"/>
  <c r="P31" i="6" s="1"/>
  <c r="E18" i="2"/>
  <c r="E19" i="2" s="1"/>
  <c r="E23" i="2" s="1"/>
  <c r="D20" i="10" s="1"/>
  <c r="R15" i="6"/>
  <c r="R23" i="6" s="1"/>
  <c r="R31" i="6" s="1"/>
  <c r="O15" i="6"/>
  <c r="O23" i="6" s="1"/>
  <c r="O31" i="6" s="1"/>
  <c r="J15" i="6"/>
  <c r="J23" i="6" s="1"/>
  <c r="J31" i="6" s="1"/>
  <c r="M17" i="6"/>
  <c r="M25" i="6" s="1"/>
  <c r="M33" i="6" s="1"/>
  <c r="O17" i="6"/>
  <c r="O25" i="6" s="1"/>
  <c r="O33" i="6" s="1"/>
  <c r="G18" i="2"/>
  <c r="G19" i="2" s="1"/>
  <c r="G23" i="2" s="1"/>
  <c r="D22" i="10" s="1"/>
  <c r="Q17" i="6"/>
  <c r="Q25" i="6" s="1"/>
  <c r="Q33" i="6" s="1"/>
  <c r="R17" i="6"/>
  <c r="R25" i="6" s="1"/>
  <c r="R33" i="6" s="1"/>
  <c r="S17" i="6"/>
  <c r="S25" i="6" s="1"/>
  <c r="S33" i="6" s="1"/>
  <c r="H17" i="6"/>
  <c r="H25" i="6" s="1"/>
  <c r="H33" i="6" s="1"/>
  <c r="L17" i="6"/>
  <c r="L25" i="6" s="1"/>
  <c r="L33" i="6" s="1"/>
  <c r="P17" i="6"/>
  <c r="P25" i="6" s="1"/>
  <c r="P33" i="6" s="1"/>
  <c r="J17" i="6"/>
  <c r="J25" i="6" s="1"/>
  <c r="J33" i="6" s="1"/>
  <c r="K17" i="6"/>
  <c r="K25" i="6" s="1"/>
  <c r="K33" i="6" s="1"/>
  <c r="N17" i="6"/>
  <c r="N25" i="6" s="1"/>
  <c r="N33" i="6" s="1"/>
  <c r="I17" i="6"/>
  <c r="I25" i="6" s="1"/>
  <c r="I33" i="6" s="1"/>
  <c r="J14" i="6"/>
  <c r="J22" i="6" s="1"/>
  <c r="P14" i="6"/>
  <c r="P22" i="6" s="1"/>
  <c r="R14" i="6"/>
  <c r="R22" i="6" s="1"/>
  <c r="L14" i="6"/>
  <c r="L22" i="6" s="1"/>
  <c r="Q14" i="6"/>
  <c r="Q22" i="6" s="1"/>
  <c r="K14" i="6"/>
  <c r="K22" i="6" s="1"/>
  <c r="I14" i="6"/>
  <c r="I22" i="6" s="1"/>
  <c r="N14" i="6"/>
  <c r="N22" i="6" s="1"/>
  <c r="H14" i="6"/>
  <c r="H22" i="6" s="1"/>
  <c r="D18" i="2"/>
  <c r="D19" i="2" s="1"/>
  <c r="D23" i="2" s="1"/>
  <c r="O14" i="6"/>
  <c r="O22" i="6" s="1"/>
  <c r="M14" i="6"/>
  <c r="M22" i="6" s="1"/>
  <c r="S14" i="6"/>
  <c r="S22" i="6" s="1"/>
  <c r="H23" i="6" l="1"/>
  <c r="H31" i="6" s="1"/>
  <c r="H27" i="6"/>
  <c r="H30" i="6"/>
  <c r="M27" i="6"/>
  <c r="M30" i="6"/>
  <c r="M35" i="6" s="1"/>
  <c r="O30" i="6"/>
  <c r="O35" i="6" s="1"/>
  <c r="O27" i="6"/>
  <c r="P30" i="6"/>
  <c r="P35" i="6" s="1"/>
  <c r="P27" i="6"/>
  <c r="L30" i="6"/>
  <c r="L35" i="6" s="1"/>
  <c r="L27" i="6"/>
  <c r="R30" i="6"/>
  <c r="R35" i="6" s="1"/>
  <c r="R27" i="6"/>
  <c r="C19" i="2"/>
  <c r="C23" i="2" s="1"/>
  <c r="D24" i="10" s="1"/>
  <c r="D19" i="10"/>
  <c r="J30" i="6"/>
  <c r="J35" i="6" s="1"/>
  <c r="J27" i="6"/>
  <c r="N30" i="6"/>
  <c r="N35" i="6" s="1"/>
  <c r="N27" i="6"/>
  <c r="I30" i="6"/>
  <c r="I35" i="6" s="1"/>
  <c r="I27" i="6"/>
  <c r="K30" i="6"/>
  <c r="K35" i="6" s="1"/>
  <c r="K27" i="6"/>
  <c r="S27" i="6"/>
  <c r="S30" i="6"/>
  <c r="S35" i="6" s="1"/>
  <c r="Q27" i="6"/>
  <c r="Q30" i="6"/>
  <c r="Q35" i="6" s="1"/>
  <c r="H35" i="6" l="1"/>
  <c r="J33" i="11" s="1"/>
  <c r="F6" i="11"/>
  <c r="N6" i="11"/>
  <c r="J41" i="11"/>
  <c r="I6" i="11"/>
  <c r="J36" i="11"/>
  <c r="J42" i="11"/>
  <c r="O6" i="11"/>
  <c r="U35" i="6"/>
  <c r="J35" i="11"/>
  <c r="H6" i="11"/>
  <c r="D44" i="2"/>
  <c r="U27" i="6"/>
  <c r="J40" i="11"/>
  <c r="M6" i="11"/>
  <c r="J37" i="11"/>
  <c r="J6" i="11"/>
  <c r="G6" i="11"/>
  <c r="J34" i="11"/>
  <c r="J38" i="11"/>
  <c r="K6" i="11"/>
  <c r="Q6" i="11"/>
  <c r="J44" i="11"/>
  <c r="L6" i="11"/>
  <c r="J39" i="11"/>
  <c r="P6" i="11"/>
  <c r="J43" i="11"/>
  <c r="U37" i="6" l="1"/>
  <c r="R6" i="11"/>
  <c r="F7" i="11"/>
  <c r="F8" i="11" s="1"/>
  <c r="F9" i="11" s="1"/>
  <c r="I33" i="11"/>
  <c r="J46" i="11"/>
  <c r="G7" i="11" l="1"/>
  <c r="G8" i="11" s="1"/>
  <c r="G9" i="11" s="1"/>
  <c r="H33" i="11"/>
  <c r="H7" i="11" l="1"/>
  <c r="I34" i="11"/>
  <c r="H34" i="11" l="1"/>
  <c r="H8" i="11"/>
  <c r="H9" i="11" s="1"/>
  <c r="I7" i="11" l="1"/>
  <c r="I35" i="11"/>
  <c r="H35" i="11" s="1"/>
  <c r="I36" i="11" l="1"/>
  <c r="H36" i="11" s="1"/>
  <c r="I8" i="11"/>
  <c r="I9" i="11" s="1"/>
  <c r="I37" i="11" l="1"/>
  <c r="H37" i="11" s="1"/>
  <c r="J7" i="11"/>
  <c r="I38" i="11" l="1"/>
  <c r="H38" i="11" s="1"/>
  <c r="J8" i="11"/>
  <c r="J9" i="11" s="1"/>
  <c r="I39" i="11" l="1"/>
  <c r="H39" i="11" s="1"/>
  <c r="K7" i="11"/>
  <c r="I40" i="11" l="1"/>
  <c r="H40" i="11" s="1"/>
  <c r="K8" i="11"/>
  <c r="K9" i="11" s="1"/>
  <c r="I41" i="11" l="1"/>
  <c r="H41" i="11" s="1"/>
  <c r="L7" i="11"/>
  <c r="L8" i="11" s="1"/>
  <c r="L9" i="11" s="1"/>
  <c r="M7" i="11" l="1"/>
  <c r="M8" i="11" s="1"/>
  <c r="M9" i="11" s="1"/>
  <c r="I42" i="11"/>
  <c r="H42" i="11" s="1"/>
  <c r="I43" i="11" l="1"/>
  <c r="H43" i="11" s="1"/>
  <c r="N7" i="11"/>
  <c r="N8" i="11" s="1"/>
  <c r="N9" i="11" s="1"/>
  <c r="O7" i="11" l="1"/>
  <c r="O8" i="11" s="1"/>
  <c r="O9" i="11" s="1"/>
  <c r="I44" i="11"/>
  <c r="I46" i="11" s="1"/>
  <c r="P7" i="11" l="1"/>
  <c r="P8" i="11" s="1"/>
  <c r="P9" i="11" s="1"/>
  <c r="H44" i="11"/>
  <c r="Q7" i="11" l="1"/>
  <c r="Q8" i="11" l="1"/>
  <c r="Q9" i="11" s="1"/>
  <c r="R7" i="11"/>
  <c r="G20" i="11"/>
  <c r="G21" i="11" s="1"/>
  <c r="G24" i="11" s="1"/>
  <c r="C31" i="2" l="1"/>
  <c r="C32" i="2" s="1"/>
  <c r="C34" i="2" s="1"/>
</calcChain>
</file>

<file path=xl/sharedStrings.xml><?xml version="1.0" encoding="utf-8"?>
<sst xmlns="http://schemas.openxmlformats.org/spreadsheetml/2006/main" count="189" uniqueCount="147">
  <si>
    <t>Total</t>
  </si>
  <si>
    <t xml:space="preserve"> </t>
  </si>
  <si>
    <t>RESIDENTIAL</t>
  </si>
  <si>
    <t>DESCRIPTION</t>
  </si>
  <si>
    <t>TOTAL</t>
  </si>
  <si>
    <t>Line No.</t>
  </si>
  <si>
    <t>A</t>
  </si>
  <si>
    <t>B</t>
  </si>
  <si>
    <t>C</t>
  </si>
  <si>
    <t>D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</si>
  <si>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</si>
  <si>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</si>
  <si>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</si>
  <si>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</si>
  <si>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</si>
  <si>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</si>
  <si>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</si>
  <si>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</si>
  <si>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</si>
  <si>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</si>
  <si>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</si>
  <si>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</si>
  <si>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</si>
  <si>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</si>
  <si>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</si>
  <si>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</si>
  <si>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</si>
  <si>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</si>
  <si>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</si>
  <si>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</si>
  <si>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</si>
  <si>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</si>
  <si>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Total Forecasted Usage</t>
  </si>
  <si>
    <t>Interest</t>
  </si>
  <si>
    <t>Present Bill</t>
  </si>
  <si>
    <t>Basic Charge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</si>
  <si>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</si>
  <si>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</si>
  <si>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</si>
  <si>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</si>
  <si>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</si>
  <si>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</si>
  <si>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</si>
  <si>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</si>
  <si>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</si>
  <si>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Proposed Bill after Rate Adjustment</t>
  </si>
  <si>
    <t>Schedule No.</t>
  </si>
  <si>
    <t>Rate Schedule</t>
  </si>
  <si>
    <t>Residential</t>
  </si>
  <si>
    <t>Large General Service Schedule</t>
  </si>
  <si>
    <t>Overall</t>
  </si>
  <si>
    <t>Present</t>
  </si>
  <si>
    <t>Proposed</t>
  </si>
  <si>
    <t>Change in Billed Revenue</t>
  </si>
  <si>
    <t>Plus Bill Impact</t>
  </si>
  <si>
    <t>Amortization</t>
  </si>
  <si>
    <t>Conversion Factor</t>
  </si>
  <si>
    <t xml:space="preserve">  </t>
  </si>
  <si>
    <t>Avg Monthly Impact Per Customer</t>
  </si>
  <si>
    <t>Avg Annual Impact Per Customer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</si>
  <si>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</si>
  <si>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</si>
  <si>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</si>
  <si>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</si>
  <si>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</si>
  <si>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</si>
  <si>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</si>
  <si>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</si>
  <si>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</si>
  <si>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</si>
  <si>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</si>
  <si>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</si>
  <si>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</si>
  <si>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Monthly Rate</t>
  </si>
  <si>
    <t>Revenue Conversion</t>
  </si>
  <si>
    <t>Total to Recover</t>
  </si>
  <si>
    <t>Total To Collect</t>
  </si>
  <si>
    <t>July 31 Balance</t>
  </si>
  <si>
    <t>Date</t>
  </si>
  <si>
    <t>Unamortized Balance (1)</t>
  </si>
  <si>
    <t>Interest (2)</t>
  </si>
  <si>
    <t>Annual Total</t>
  </si>
  <si>
    <t>Allocation</t>
  </si>
  <si>
    <t>Line</t>
  </si>
  <si>
    <t xml:space="preserve">Change in Revenue </t>
  </si>
  <si>
    <t>Weighted Average Cost of Debt</t>
  </si>
  <si>
    <t>Actual Cost of Debt</t>
  </si>
  <si>
    <t>Tax Rate</t>
  </si>
  <si>
    <t>Monthly After Tax Rate</t>
  </si>
  <si>
    <t>TWELVE MONTHS ENDED SEPTEMBER 30, 2021</t>
  </si>
  <si>
    <t>EREV Feb Mid-month 06.14.23</t>
  </si>
  <si>
    <t>{a}</t>
  </si>
  <si>
    <t>{b}</t>
  </si>
  <si>
    <t>{c}</t>
  </si>
  <si>
    <t>As of 6/30/2023</t>
  </si>
  <si>
    <t xml:space="preserve">Insurance Allocation </t>
  </si>
  <si>
    <t>Insurance Deferral</t>
  </si>
  <si>
    <t>[1]</t>
  </si>
  <si>
    <t>[5]</t>
  </si>
  <si>
    <t>[3]</t>
  </si>
  <si>
    <t>[4]</t>
  </si>
  <si>
    <t>adjustment with 2023 rates</t>
  </si>
  <si>
    <t xml:space="preserve">Annual total per approved Order 10/04. Per Liz Andrews, spread the approved baseline straightline over 12-months consistent with how prepaid insurance is expensed throughout the year. </t>
  </si>
  <si>
    <t xml:space="preserve">Currently debit 182.3 and credit 407.4 consistent with Order 10/04. </t>
  </si>
  <si>
    <t>Return on Insurance Costs</t>
  </si>
  <si>
    <t>Total Insurance Costs</t>
  </si>
  <si>
    <t>Grossed up Insurance Deferral Costs</t>
  </si>
  <si>
    <t>Expected Insurance tariff rider amortization revenue</t>
  </si>
  <si>
    <t>Expected Insurance interest</t>
  </si>
  <si>
    <t>Current Rate Revenue</t>
  </si>
  <si>
    <t>[2]=([1]+[5])*[3]*[4]</t>
  </si>
  <si>
    <r>
      <t>GD.WA Insurance Expense Base</t>
    </r>
    <r>
      <rPr>
        <b/>
        <sz val="11"/>
        <color rgb="FFFF0000"/>
        <rFont val="Calibri"/>
        <family val="2"/>
        <scheme val="minor"/>
      </rPr>
      <t xml:space="preserve"> {a}</t>
    </r>
  </si>
  <si>
    <t>Total Monthly Insurance Expense</t>
  </si>
  <si>
    <r>
      <t xml:space="preserve">JP Annual Insurance Expense </t>
    </r>
    <r>
      <rPr>
        <b/>
        <sz val="11"/>
        <color rgb="FFFF0000"/>
        <rFont val="Calibri"/>
        <family val="2"/>
        <scheme val="minor"/>
      </rPr>
      <t>{c}</t>
    </r>
  </si>
  <si>
    <t xml:space="preserve">Monthly GD.WA. Insurance Allocation </t>
  </si>
  <si>
    <r>
      <t xml:space="preserve">Insurance Deferral </t>
    </r>
    <r>
      <rPr>
        <b/>
        <sz val="11"/>
        <color rgb="FFFF0000"/>
        <rFont val="Calibri"/>
        <family val="2"/>
        <scheme val="minor"/>
      </rPr>
      <t>{b}</t>
    </r>
  </si>
  <si>
    <t>182359.GD.WA Total Balance</t>
  </si>
  <si>
    <t>Allocated to Washington Gas (per Rates - see allocation tabs)</t>
  </si>
  <si>
    <t>Property insurance expense for Jackson Prairie Natural Gas storage facility. Annual invoice in May</t>
  </si>
  <si>
    <t>Project number: 02807125</t>
  </si>
  <si>
    <t>Gas Insurance deferral balance</t>
  </si>
  <si>
    <t>WA101</t>
  </si>
  <si>
    <t>WA111</t>
  </si>
  <si>
    <t>WA112</t>
  </si>
  <si>
    <t>WA132</t>
  </si>
  <si>
    <t>WA146</t>
  </si>
  <si>
    <t>WA148</t>
  </si>
  <si>
    <t>Insurance Amortization Rates</t>
  </si>
  <si>
    <t xml:space="preserve">Gross Insurance Amortization </t>
  </si>
  <si>
    <t xml:space="preserve">Net Insurance Amortization  </t>
  </si>
  <si>
    <t>SCHEDULE 101</t>
  </si>
  <si>
    <t>SCHEDULE 132</t>
  </si>
  <si>
    <t>SCH. 146</t>
  </si>
  <si>
    <t>SCH. 148</t>
  </si>
  <si>
    <t>2</t>
  </si>
  <si>
    <t>Residential Bill Impact (64 Therms)</t>
  </si>
  <si>
    <t xml:space="preserve">Residential Bill </t>
  </si>
  <si>
    <t>SCH. 111/112</t>
  </si>
  <si>
    <t>WA111/112</t>
  </si>
  <si>
    <t>Property Insurance</t>
  </si>
  <si>
    <t>Source: COS Results tab, UG-220054 Property Insurance Natural Gas COS Model.xlsm</t>
  </si>
  <si>
    <t>111/112</t>
  </si>
  <si>
    <t>Interuptible Service Schedule</t>
  </si>
  <si>
    <t>Transportation Service Schedule</t>
  </si>
  <si>
    <t>Table 2 - Impact by Rate Schedule</t>
  </si>
  <si>
    <t>Total Rebate Amount (Grossed Up)</t>
  </si>
  <si>
    <t>Per Therm  (67 Therms)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</si>
</sst>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mmm\ yy"/>
    <numFmt numFmtId="170" formatCode="0.000000"/>
    <numFmt numFmtId="171" formatCode="0.0%"/>
    <numFmt numFmtId="172" formatCode="0.00000"/>
    <numFmt numFmtId="173" formatCode="0.0000000"/>
    <numFmt numFmtId="174" formatCode="0.000%"/>
    <numFmt numFmtId="175" formatCode="_(&quot;$&quot;* #,##0.000_);_(&quot;$&quot;* \(#,##0.000\);_(&quot;$&quot;* &quot;-&quot;??_);_(@_)"/>
    <numFmt numFmtId="176" formatCode="_(* #,##0.00000_);_(* \(#,##0.00000\);_(* &quot;-&quot;??_);_(@_)"/>
    <numFmt numFmtId="177" formatCode="0000"/>
    <numFmt numFmtId="178" formatCode="000000"/>
    <numFmt numFmtId="179" formatCode="d\.mmm\.yy"/>
    <numFmt numFmtId="180" formatCode="_-* #,##0.00\ _D_M_-;\-* #,##0.00\ _D_M_-;_-* &quot;-&quot;??\ _D_M_-;_-@_-"/>
    <numFmt numFmtId="181" formatCode="_(* #,##0.000_);_(* \(#,##0.000\);_(* &quot;-&quot;??_);_(@_)"/>
    <numFmt numFmtId="182" formatCode="#.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&quot;$&quot;#,##0\ ;\(&quot;$&quot;#,##0\)"/>
    <numFmt numFmtId="186" formatCode="mmmm\ d\,\ yyyy"/>
    <numFmt numFmtId="187" formatCode="[Blue]#,##0_);[Magenta]\(#,##0\)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0.0000_);\(0.0000\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\ &quot; HR&quot;"/>
    <numFmt numFmtId="196" formatCode="0000000"/>
    <numFmt numFmtId="197" formatCode="0.0000%"/>
    <numFmt numFmtId="198" formatCode="0.00000%"/>
    <numFmt numFmtId="199" formatCode="mmm\-yyyy"/>
    <numFmt numFmtId="200" formatCode="m/yy"/>
    <numFmt numFmtId="201" formatCode="_(&quot;$&quot;* #,##0.0000_);_(&quot;$&quot;* \(#,##0.0000\);_(&quot;$&quot;* &quot;-&quot;????_);_(@_)"/>
    <numFmt numFmtId="202" formatCode="_(* #,##0.0_);_(* \(#,##0.0\);_(* &quot;-&quot;_);_(@_)"/>
    <numFmt numFmtId="203" formatCode="0.000000%"/>
    <numFmt numFmtId="204" formatCode="_(&quot;$&quot;* #,##0.0000_);_(&quot;$&quot;* \(#,##0.0000\);_(&quot;$&quot;* &quot;-&quot;??_);_(@_)"/>
    <numFmt numFmtId="205" formatCode="_(&quot;$&quot;* #,##0.0000000000_);_(&quot;$&quot;* \(#,##0.0000000000\);_(&quot;$&quot;* &quot;-&quot;??_);_(@_)"/>
  </numFmts>
  <fonts count="14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9"/>
      <name val="Arial"/>
      <family val="2"/>
    </font>
    <font>
      <b/>
      <sz val="12"/>
      <color rgb="FF0000FF"/>
      <name val="Times New Roman"/>
      <family val="1"/>
    </font>
  </fonts>
  <fills count="10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91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0" fontId="11" fillId="0" borderId="0"/>
    <xf numFmtId="3" fontId="16" fillId="0" borderId="0"/>
    <xf numFmtId="3" fontId="16" fillId="0" borderId="0"/>
    <xf numFmtId="0" fontId="1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177" fontId="54" fillId="0" borderId="0">
      <alignment horizontal="left"/>
    </xf>
    <xf numFmtId="178" fontId="55" fillId="0" borderId="0">
      <alignment horizontal="left"/>
    </xf>
    <xf numFmtId="0" fontId="56" fillId="0" borderId="28"/>
    <xf numFmtId="0" fontId="5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70" fontId="53" fillId="0" borderId="0">
      <alignment horizontal="left" wrapText="1"/>
    </xf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170" fontId="53" fillId="0" borderId="0">
      <alignment horizontal="left" wrapText="1"/>
    </xf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170" fontId="53" fillId="0" borderId="0">
      <alignment horizontal="left" wrapText="1"/>
    </xf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70" fontId="53" fillId="0" borderId="0">
      <alignment horizontal="left" wrapText="1"/>
    </xf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170" fontId="53" fillId="0" borderId="0">
      <alignment horizontal="left" wrapText="1"/>
    </xf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170" fontId="53" fillId="0" borderId="0">
      <alignment horizontal="left" wrapText="1"/>
    </xf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70" fontId="53" fillId="0" borderId="0">
      <alignment horizontal="left" wrapText="1"/>
    </xf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70" fontId="53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6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37" fillId="4" borderId="0" applyNumberFormat="0" applyBorder="0" applyAlignment="0" applyProtection="0"/>
    <xf numFmtId="0" fontId="37" fillId="41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0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7" fillId="0" borderId="28"/>
    <xf numFmtId="179" fontId="61" fillId="0" borderId="0" applyFill="0" applyBorder="0" applyAlignment="0"/>
    <xf numFmtId="179" fontId="61" fillId="0" borderId="0" applyFill="0" applyBorder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179" fontId="61" fillId="0" borderId="0" applyFill="0" applyBorder="0" applyAlignment="0"/>
    <xf numFmtId="41" fontId="17" fillId="68" borderId="0"/>
    <xf numFmtId="0" fontId="62" fillId="69" borderId="29" applyNumberFormat="0" applyAlignment="0" applyProtection="0"/>
    <xf numFmtId="170" fontId="53" fillId="0" borderId="0">
      <alignment horizontal="left" wrapText="1"/>
    </xf>
    <xf numFmtId="0" fontId="62" fillId="69" borderId="29" applyNumberFormat="0" applyAlignment="0" applyProtection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41" fontId="17" fillId="68" borderId="0"/>
    <xf numFmtId="41" fontId="17" fillId="68" borderId="0"/>
    <xf numFmtId="0" fontId="63" fillId="70" borderId="22" applyNumberFormat="0" applyAlignment="0" applyProtection="0"/>
    <xf numFmtId="0" fontId="40" fillId="7" borderId="22" applyNumberFormat="0" applyAlignment="0" applyProtection="0"/>
    <xf numFmtId="0" fontId="64" fillId="71" borderId="30" applyNumberFormat="0" applyAlignment="0" applyProtection="0"/>
    <xf numFmtId="0" fontId="64" fillId="71" borderId="30" applyNumberFormat="0" applyAlignment="0" applyProtection="0"/>
    <xf numFmtId="170" fontId="53" fillId="0" borderId="0">
      <alignment horizontal="left" wrapText="1"/>
    </xf>
    <xf numFmtId="0" fontId="64" fillId="71" borderId="30" applyNumberFormat="0" applyAlignment="0" applyProtection="0"/>
    <xf numFmtId="170" fontId="53" fillId="0" borderId="0">
      <alignment horizontal="left" wrapText="1"/>
    </xf>
    <xf numFmtId="0" fontId="29" fillId="8" borderId="25" applyNumberFormat="0" applyAlignment="0" applyProtection="0"/>
    <xf numFmtId="0" fontId="64" fillId="71" borderId="30" applyNumberFormat="0" applyAlignment="0" applyProtection="0"/>
    <xf numFmtId="41" fontId="17" fillId="34" borderId="0"/>
    <xf numFmtId="41" fontId="17" fillId="34" borderId="0"/>
    <xf numFmtId="170" fontId="53" fillId="0" borderId="0">
      <alignment horizontal="left" wrapText="1"/>
    </xf>
    <xf numFmtId="41" fontId="17" fillId="34" borderId="0"/>
    <xf numFmtId="41" fontId="17" fillId="34" borderId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3" fontId="68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70" fontId="53" fillId="0" borderId="0">
      <alignment horizontal="left" wrapText="1"/>
    </xf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82" fontId="75" fillId="0" borderId="0">
      <protection locked="0"/>
    </xf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0" fontId="77" fillId="0" borderId="0" applyNumberFormat="0" applyAlignment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8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66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8" fontId="65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84" fontId="17" fillId="0" borderId="0" applyFont="0" applyFill="0" applyBorder="0" applyAlignment="0" applyProtection="0"/>
    <xf numFmtId="185" fontId="8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5" fontId="68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170" fontId="53" fillId="0" borderId="0">
      <alignment horizontal="left" wrapText="1"/>
    </xf>
    <xf numFmtId="186" fontId="68" fillId="0" borderId="0" applyFill="0" applyBorder="0" applyAlignment="0" applyProtection="0"/>
    <xf numFmtId="0" fontId="73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80" fillId="0" borderId="0" applyFont="0" applyFill="0" applyBorder="0" applyAlignment="0" applyProtection="0"/>
    <xf numFmtId="0" fontId="57" fillId="0" borderId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170" fontId="17" fillId="0" borderId="0"/>
    <xf numFmtId="170" fontId="17" fillId="0" borderId="0"/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87" fontId="82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17" fillId="0" borderId="0"/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53" fillId="0" borderId="0">
      <alignment horizontal="left" wrapText="1"/>
    </xf>
    <xf numFmtId="0" fontId="4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0" fontId="69" fillId="0" borderId="0"/>
    <xf numFmtId="0" fontId="69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36" fillId="3" borderId="0" applyNumberFormat="0" applyBorder="0" applyAlignment="0" applyProtection="0"/>
    <xf numFmtId="0" fontId="36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4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170" fontId="53" fillId="0" borderId="0">
      <alignment horizontal="left" wrapText="1"/>
    </xf>
    <xf numFmtId="38" fontId="48" fillId="34" borderId="0" applyNumberFormat="0" applyBorder="0" applyAlignment="0" applyProtection="0"/>
    <xf numFmtId="0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0" fontId="85" fillId="0" borderId="28"/>
    <xf numFmtId="189" fontId="46" fillId="0" borderId="0" applyNumberFormat="0" applyFill="0" applyBorder="0" applyProtection="0">
      <alignment horizontal="right"/>
    </xf>
    <xf numFmtId="0" fontId="86" fillId="0" borderId="1" applyNumberFormat="0" applyAlignment="0" applyProtection="0">
      <alignment horizontal="left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4" fontId="45" fillId="75" borderId="31">
      <alignment horizontal="center" vertical="center" wrapText="1"/>
    </xf>
    <xf numFmtId="0" fontId="73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9" fillId="0" borderId="0" applyNumberFormat="0" applyFill="0" applyBorder="0" applyAlignment="0" applyProtection="0"/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89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48" fillId="0" borderId="0" applyNumberFormat="0" applyFill="0" applyBorder="0" applyAlignment="0" applyProtection="0"/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48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5" fillId="0" borderId="21" applyNumberFormat="0" applyFill="0" applyAlignment="0" applyProtection="0"/>
    <xf numFmtId="0" fontId="93" fillId="0" borderId="37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94" fillId="0" borderId="0"/>
    <xf numFmtId="38" fontId="94" fillId="0" borderId="0"/>
    <xf numFmtId="38" fontId="94" fillId="0" borderId="0"/>
    <xf numFmtId="38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38" fontId="94" fillId="0" borderId="0"/>
    <xf numFmtId="38" fontId="94" fillId="0" borderId="0"/>
    <xf numFmtId="38" fontId="94" fillId="0" borderId="0"/>
    <xf numFmtId="40" fontId="94" fillId="0" borderId="0"/>
    <xf numFmtId="40" fontId="94" fillId="0" borderId="0"/>
    <xf numFmtId="40" fontId="94" fillId="0" borderId="0"/>
    <xf numFmtId="40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40" fontId="94" fillId="0" borderId="0"/>
    <xf numFmtId="40" fontId="94" fillId="0" borderId="0"/>
    <xf numFmtId="40" fontId="94" fillId="0" borderId="0"/>
    <xf numFmtId="0" fontId="47" fillId="0" borderId="0" applyNumberFormat="0" applyFill="0" applyBorder="0" applyAlignment="0" applyProtection="0">
      <alignment vertical="top"/>
      <protection locked="0"/>
    </xf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1" fontId="44" fillId="76" borderId="38">
      <alignment horizontal="lef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0" fontId="85" fillId="0" borderId="39"/>
    <xf numFmtId="0" fontId="48" fillId="34" borderId="0"/>
    <xf numFmtId="0" fontId="48" fillId="34" borderId="0"/>
    <xf numFmtId="0" fontId="48" fillId="34" borderId="0"/>
    <xf numFmtId="0" fontId="48" fillId="34" borderId="0"/>
    <xf numFmtId="170" fontId="53" fillId="0" borderId="0">
      <alignment horizontal="left" wrapText="1"/>
    </xf>
    <xf numFmtId="3" fontId="96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41" fillId="0" borderId="24" applyNumberFormat="0" applyFill="0" applyAlignment="0" applyProtection="0"/>
    <xf numFmtId="0" fontId="98" fillId="0" borderId="41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50" fillId="5" borderId="0" applyNumberFormat="0" applyBorder="0" applyAlignment="0" applyProtection="0"/>
    <xf numFmtId="0" fontId="100" fillId="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1" fillId="4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37" fontId="102" fillId="0" borderId="0"/>
    <xf numFmtId="37" fontId="102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37" fontId="102" fillId="0" borderId="0"/>
    <xf numFmtId="191" fontId="103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3" fontId="53" fillId="0" borderId="0"/>
    <xf numFmtId="193" fontId="53" fillId="0" borderId="0"/>
    <xf numFmtId="191" fontId="103" fillId="0" borderId="0"/>
    <xf numFmtId="0" fontId="17" fillId="0" borderId="0"/>
    <xf numFmtId="191" fontId="103" fillId="0" borderId="0"/>
    <xf numFmtId="194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3" fontId="53" fillId="0" borderId="0"/>
    <xf numFmtId="195" fontId="17" fillId="0" borderId="0"/>
    <xf numFmtId="196" fontId="6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7" fillId="0" borderId="0" applyFill="0" applyBorder="0" applyAlignment="0" applyProtection="0"/>
    <xf numFmtId="0" fontId="11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7" fillId="0" borderId="0"/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192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170" fontId="17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04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6" fillId="0" borderId="0"/>
    <xf numFmtId="170" fontId="53" fillId="0" borderId="0">
      <alignment horizontal="left" wrapText="1"/>
    </xf>
    <xf numFmtId="0" fontId="58" fillId="0" borderId="0"/>
    <xf numFmtId="0" fontId="58" fillId="0" borderId="0"/>
    <xf numFmtId="0" fontId="66" fillId="0" borderId="0"/>
    <xf numFmtId="0" fontId="58" fillId="0" borderId="0"/>
    <xf numFmtId="0" fontId="58" fillId="0" borderId="0"/>
    <xf numFmtId="0" fontId="66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97" fontId="17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53" fillId="0" borderId="0"/>
    <xf numFmtId="199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5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78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200" fontId="17" fillId="0" borderId="0">
      <alignment horizontal="left" wrapText="1"/>
    </xf>
    <xf numFmtId="0" fontId="17" fillId="0" borderId="0"/>
    <xf numFmtId="0" fontId="11" fillId="0" borderId="0"/>
    <xf numFmtId="0" fontId="17" fillId="0" borderId="0"/>
    <xf numFmtId="0" fontId="17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3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0" fontId="104" fillId="0" borderId="0"/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170" fontId="53" fillId="0" borderId="0">
      <alignment horizontal="left" wrapText="1"/>
    </xf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70" fontId="53" fillId="0" borderId="0">
      <alignment horizontal="left" wrapTex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39" fillId="7" borderId="23" applyNumberFormat="0" applyAlignment="0" applyProtection="0"/>
    <xf numFmtId="0" fontId="39" fillId="70" borderId="23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6" fillId="70" borderId="45" applyNumberFormat="0" applyAlignment="0" applyProtection="0"/>
    <xf numFmtId="0" fontId="39" fillId="70" borderId="23" applyNumberFormat="0" applyAlignment="0" applyProtection="0"/>
    <xf numFmtId="0" fontId="39" fillId="70" borderId="23" applyNumberFormat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17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41" fontId="17" fillId="77" borderId="38"/>
    <xf numFmtId="41" fontId="17" fillId="77" borderId="38"/>
    <xf numFmtId="170" fontId="53" fillId="0" borderId="0">
      <alignment horizontal="left" wrapText="1"/>
    </xf>
    <xf numFmtId="41" fontId="17" fillId="77" borderId="38"/>
    <xf numFmtId="41" fontId="17" fillId="77" borderId="38"/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" fontId="66" fillId="0" borderId="0" applyFont="0" applyFill="0" applyBorder="0" applyAlignment="0" applyProtection="0"/>
    <xf numFmtId="0" fontId="107" fillId="0" borderId="31">
      <alignment horizontal="center"/>
    </xf>
    <xf numFmtId="0" fontId="107" fillId="0" borderId="31">
      <alignment horizontal="center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07" fillId="0" borderId="31">
      <alignment horizontal="center"/>
    </xf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66" fillId="0" borderId="0" applyFont="0" applyFill="0" applyBorder="0" applyAlignment="0" applyProtection="0"/>
    <xf numFmtId="0" fontId="66" fillId="78" borderId="0" applyNumberFormat="0" applyFont="0" applyBorder="0" applyAlignment="0" applyProtection="0"/>
    <xf numFmtId="0" fontId="66" fillId="78" borderId="0" applyNumberFormat="0" applyFon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78" borderId="0" applyNumberFormat="0" applyFont="0" applyBorder="0" applyAlignment="0" applyProtection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108" fillId="0" borderId="0" applyFill="0" applyBorder="0" applyAlignment="0" applyProtection="0"/>
    <xf numFmtId="0" fontId="109" fillId="0" borderId="0"/>
    <xf numFmtId="0" fontId="110" fillId="0" borderId="0"/>
    <xf numFmtId="0" fontId="110" fillId="0" borderId="0"/>
    <xf numFmtId="0" fontId="109" fillId="0" borderId="0"/>
    <xf numFmtId="0" fontId="110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17" fillId="68" borderId="0"/>
    <xf numFmtId="0" fontId="70" fillId="79" borderId="0"/>
    <xf numFmtId="0" fontId="111" fillId="79" borderId="39"/>
    <xf numFmtId="0" fontId="112" fillId="80" borderId="46"/>
    <xf numFmtId="0" fontId="113" fillId="79" borderId="47"/>
    <xf numFmtId="42" fontId="17" fillId="68" borderId="0"/>
    <xf numFmtId="170" fontId="53" fillId="0" borderId="0">
      <alignment horizontal="left" wrapText="1"/>
    </xf>
    <xf numFmtId="42" fontId="17" fillId="68" borderId="0"/>
    <xf numFmtId="170" fontId="53" fillId="0" borderId="0">
      <alignment horizontal="left" wrapText="1"/>
    </xf>
    <xf numFmtId="42" fontId="17" fillId="68" borderId="0"/>
    <xf numFmtId="42" fontId="17" fillId="68" borderId="0"/>
    <xf numFmtId="42" fontId="17" fillId="68" borderId="48">
      <alignment vertical="center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201" fontId="17" fillId="68" borderId="0"/>
    <xf numFmtId="201" fontId="17" fillId="68" borderId="0"/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201" fontId="17" fillId="68" borderId="0"/>
    <xf numFmtId="42" fontId="17" fillId="68" borderId="0"/>
    <xf numFmtId="168" fontId="94" fillId="0" borderId="0" applyBorder="0" applyAlignment="0"/>
    <xf numFmtId="168" fontId="94" fillId="0" borderId="0" applyBorder="0" applyAlignment="0"/>
    <xf numFmtId="168" fontId="94" fillId="0" borderId="0" applyBorder="0" applyAlignment="0"/>
    <xf numFmtId="42" fontId="17" fillId="68" borderId="3">
      <alignment horizontal="left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68" fontId="94" fillId="0" borderId="0" applyBorder="0" applyAlignment="0"/>
    <xf numFmtId="14" fontId="53" fillId="0" borderId="0" applyNumberFormat="0" applyFill="0" applyBorder="0" applyAlignment="0" applyProtection="0">
      <alignment horizontal="left"/>
    </xf>
    <xf numFmtId="14" fontId="53" fillId="0" borderId="0" applyNumberFormat="0" applyFill="0" applyBorder="0" applyAlignment="0" applyProtection="0">
      <alignment horizontal="lef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4" fontId="115" fillId="76" borderId="45" applyNumberFormat="0" applyProtection="0">
      <alignment vertical="center"/>
    </xf>
    <xf numFmtId="170" fontId="53" fillId="0" borderId="0">
      <alignment horizontal="left" wrapTex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170" fontId="53" fillId="0" borderId="0">
      <alignment horizontal="left" wrapTex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2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4" fillId="65" borderId="50" applyBorder="0"/>
    <xf numFmtId="4" fontId="115" fillId="98" borderId="45" applyNumberFormat="0" applyProtection="0">
      <alignment vertical="center"/>
    </xf>
    <xf numFmtId="170" fontId="53" fillId="0" borderId="0">
      <alignment horizontal="left" wrapTex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170" fontId="53" fillId="0" borderId="0">
      <alignment horizontal="left" wrapTex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20" fillId="0" borderId="0"/>
    <xf numFmtId="0" fontId="120" fillId="0" borderId="0"/>
    <xf numFmtId="0" fontId="121" fillId="0" borderId="0" applyNumberFormat="0" applyProtection="0">
      <alignment horizontal="left" indent="5"/>
    </xf>
    <xf numFmtId="0" fontId="48" fillId="99" borderId="15"/>
    <xf numFmtId="4" fontId="122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22" fillId="94" borderId="45" applyNumberFormat="0" applyProtection="0">
      <alignment horizontal="right" vertical="center"/>
    </xf>
    <xf numFmtId="39" fontId="17" fillId="100" borderId="0"/>
    <xf numFmtId="39" fontId="17" fillId="100" borderId="0"/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39" fontId="17" fillId="100" borderId="0"/>
    <xf numFmtId="0" fontId="123" fillId="0" borderId="0" applyNumberFormat="0" applyFill="0" applyBorder="0" applyAlignment="0" applyProtection="0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170" fontId="53" fillId="0" borderId="0">
      <alignment horizontal="left" wrapText="1"/>
    </xf>
    <xf numFmtId="38" fontId="48" fillId="0" borderId="51"/>
    <xf numFmtId="0" fontId="48" fillId="0" borderId="51"/>
    <xf numFmtId="38" fontId="48" fillId="0" borderId="51"/>
    <xf numFmtId="38" fontId="48" fillId="0" borderId="51"/>
    <xf numFmtId="38" fontId="48" fillId="0" borderId="51"/>
    <xf numFmtId="38" fontId="94" fillId="0" borderId="3"/>
    <xf numFmtId="38" fontId="94" fillId="0" borderId="3"/>
    <xf numFmtId="38" fontId="94" fillId="0" borderId="3"/>
    <xf numFmtId="38" fontId="94" fillId="0" borderId="3"/>
    <xf numFmtId="170" fontId="53" fillId="0" borderId="0">
      <alignment horizontal="left" wrapText="1"/>
    </xf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38" fontId="94" fillId="0" borderId="3"/>
    <xf numFmtId="39" fontId="53" fillId="101" borderId="0"/>
    <xf numFmtId="39" fontId="53" fillId="101" borderId="0"/>
    <xf numFmtId="170" fontId="17" fillId="0" borderId="0">
      <alignment horizontal="left" wrapText="1"/>
    </xf>
    <xf numFmtId="174" fontId="17" fillId="0" borderId="0">
      <alignment horizontal="left" wrapText="1"/>
    </xf>
    <xf numFmtId="197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0" fontId="53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71" fontId="17" fillId="0" borderId="0">
      <alignment horizontal="left" wrapText="1"/>
    </xf>
    <xf numFmtId="171" fontId="17" fillId="0" borderId="0">
      <alignment horizontal="left" wrapText="1"/>
    </xf>
    <xf numFmtId="198" fontId="17" fillId="0" borderId="0">
      <alignment horizontal="left" wrapText="1"/>
    </xf>
    <xf numFmtId="170" fontId="17" fillId="0" borderId="0">
      <alignment horizontal="left" wrapText="1"/>
    </xf>
    <xf numFmtId="171" fontId="17" fillId="0" borderId="0">
      <alignment horizontal="left" wrapText="1"/>
    </xf>
    <xf numFmtId="170" fontId="17" fillId="0" borderId="0">
      <alignment horizontal="left" wrapText="1"/>
    </xf>
    <xf numFmtId="0" fontId="17" fillId="0" borderId="0">
      <alignment horizontal="left" wrapText="1"/>
    </xf>
    <xf numFmtId="0" fontId="115" fillId="0" borderId="0" applyNumberFormat="0" applyBorder="0" applyAlignment="0"/>
    <xf numFmtId="0" fontId="124" fillId="0" borderId="0" applyNumberFormat="0" applyBorder="0" applyAlignment="0"/>
    <xf numFmtId="0" fontId="117" fillId="0" borderId="0" applyNumberFormat="0" applyBorder="0" applyAlignment="0"/>
    <xf numFmtId="0" fontId="125" fillId="0" borderId="0"/>
    <xf numFmtId="0" fontId="85" fillId="0" borderId="47"/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0" fontId="128" fillId="0" borderId="0"/>
    <xf numFmtId="0" fontId="17" fillId="0" borderId="0" applyNumberFormat="0" applyBorder="0" applyAlignment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0" fillId="0" borderId="0"/>
    <xf numFmtId="0" fontId="111" fillId="79" borderId="0"/>
    <xf numFmtId="165" fontId="131" fillId="68" borderId="0">
      <alignment horizontal="left" vertical="center"/>
    </xf>
    <xf numFmtId="165" fontId="132" fillId="0" borderId="0">
      <alignment horizontal="left" vertical="center"/>
    </xf>
    <xf numFmtId="165" fontId="132" fillId="0" borderId="0">
      <alignment horizontal="left" vertical="center"/>
    </xf>
    <xf numFmtId="0" fontId="45" fillId="68" borderId="0">
      <alignment horizontal="left" wrapText="1"/>
    </xf>
    <xf numFmtId="0" fontId="45" fillId="68" borderId="0">
      <alignment horizontal="left" wrapText="1"/>
    </xf>
    <xf numFmtId="0" fontId="45" fillId="68" borderId="0">
      <alignment horizontal="left" wrapText="1"/>
    </xf>
    <xf numFmtId="170" fontId="53" fillId="0" borderId="0">
      <alignment horizontal="left" wrapText="1"/>
    </xf>
    <xf numFmtId="0" fontId="133" fillId="0" borderId="0">
      <alignment horizontal="left" vertical="center"/>
    </xf>
    <xf numFmtId="0" fontId="133" fillId="0" borderId="0">
      <alignment horizontal="left" vertical="center"/>
    </xf>
    <xf numFmtId="0" fontId="73" fillId="0" borderId="52" applyNumberFormat="0" applyFon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71" fillId="0" borderId="55"/>
    <xf numFmtId="0" fontId="72" fillId="0" borderId="55"/>
    <xf numFmtId="0" fontId="72" fillId="0" borderId="55"/>
    <xf numFmtId="0" fontId="71" fillId="0" borderId="55"/>
    <xf numFmtId="0" fontId="72" fillId="0" borderId="55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53" fillId="0" borderId="0">
      <alignment horizontal="left" wrapText="1"/>
    </xf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68" borderId="9" applyNumberFormat="0">
      <alignment horizontal="center" vertical="center" wrapText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readingOrder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3" fontId="16" fillId="0" borderId="0"/>
    <xf numFmtId="9" fontId="17" fillId="0" borderId="0" applyFont="0" applyFill="0" applyBorder="0" applyAlignment="0" applyProtection="0"/>
    <xf numFmtId="0" fontId="17" fillId="89" borderId="0" applyNumberFormat="0" applyFont="0" applyFill="0" applyBorder="0" applyAlignment="0" applyProtection="0"/>
    <xf numFmtId="168" fontId="68" fillId="76" borderId="0" applyFont="0" applyFill="0" applyBorder="0" applyAlignment="0" applyProtection="0">
      <alignment wrapText="1"/>
    </xf>
    <xf numFmtId="3" fontId="16" fillId="0" borderId="0"/>
    <xf numFmtId="0" fontId="17" fillId="0" borderId="0">
      <alignment readingOrder="1"/>
    </xf>
    <xf numFmtId="38" fontId="136" fillId="0" borderId="0" applyNumberFormat="0" applyFont="0" applyFill="0" applyBorder="0">
      <alignment horizontal="left" indent="4"/>
      <protection locked="0"/>
    </xf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35" fillId="0" borderId="0"/>
    <xf numFmtId="0" fontId="68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4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  <xf numFmtId="0" fontId="52" fillId="0" borderId="0"/>
    <xf numFmtId="0" fontId="138" fillId="77" borderId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70" borderId="15" applyNumberFormat="0">
      <protection locked="0"/>
    </xf>
    <xf numFmtId="0" fontId="17" fillId="70" borderId="15" applyNumberFormat="0">
      <protection locked="0"/>
    </xf>
    <xf numFmtId="0" fontId="48" fillId="99" borderId="15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0" fontId="48" fillId="68" borderId="56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17" fillId="92" borderId="45" applyNumberFormat="0" applyProtection="0">
      <alignment horizontal="left" vertical="center" indent="1"/>
    </xf>
    <xf numFmtId="38" fontId="94" fillId="0" borderId="3"/>
    <xf numFmtId="38" fontId="94" fillId="0" borderId="3"/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38" fontId="94" fillId="0" borderId="3"/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38" fontId="94" fillId="0" borderId="3"/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201" fontId="114" fillId="68" borderId="3">
      <alignment horizontal="left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42" fontId="17" fillId="68" borderId="3">
      <alignment horizontal="left"/>
    </xf>
    <xf numFmtId="4" fontId="122" fillId="94" borderId="45" applyNumberFormat="0" applyProtection="0">
      <alignment horizontal="right" vertical="center"/>
    </xf>
    <xf numFmtId="42" fontId="17" fillId="68" borderId="3">
      <alignment horizontal="left"/>
    </xf>
    <xf numFmtId="0" fontId="48" fillId="99" borderId="15"/>
    <xf numFmtId="42" fontId="17" fillId="68" borderId="3">
      <alignment horizontal="left"/>
    </xf>
    <xf numFmtId="42" fontId="17" fillId="68" borderId="3">
      <alignment horizontal="left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13" fillId="79" borderId="47"/>
    <xf numFmtId="0" fontId="112" fillId="80" borderId="46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38" fontId="94" fillId="0" borderId="3"/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5" fillId="96" borderId="45" applyNumberFormat="0" applyProtection="0">
      <alignment horizontal="left" vertical="center" indent="1"/>
    </xf>
    <xf numFmtId="38" fontId="94" fillId="0" borderId="3"/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38" fontId="94" fillId="0" borderId="3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201" fontId="114" fillId="68" borderId="3">
      <alignment horizontal="left"/>
    </xf>
    <xf numFmtId="4" fontId="117" fillId="92" borderId="45" applyNumberFormat="0" applyProtection="0">
      <alignment horizontal="left" vertical="center" indent="1"/>
    </xf>
    <xf numFmtId="38" fontId="94" fillId="0" borderId="3"/>
    <xf numFmtId="42" fontId="17" fillId="68" borderId="3">
      <alignment horizontal="left"/>
    </xf>
    <xf numFmtId="42" fontId="17" fillId="68" borderId="3">
      <alignment horizontal="left"/>
    </xf>
    <xf numFmtId="4" fontId="117" fillId="92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13" fillId="79" borderId="47"/>
    <xf numFmtId="0" fontId="112" fillId="80" borderId="46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0" fontId="48" fillId="99" borderId="15"/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70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201" fontId="114" fillId="68" borderId="3">
      <alignment horizontal="left"/>
    </xf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0" fontId="58" fillId="40" borderId="44" applyNumberFormat="0" applyFont="0" applyAlignment="0" applyProtection="0"/>
    <xf numFmtId="0" fontId="17" fillId="40" borderId="44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9" fontId="11" fillId="0" borderId="0" applyFont="0" applyFill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9" fontId="11" fillId="0" borderId="0" applyFont="0" applyFill="0" applyBorder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2" fillId="80" borderId="46"/>
    <xf numFmtId="0" fontId="113" fillId="79" borderId="47"/>
    <xf numFmtId="4" fontId="115" fillId="94" borderId="49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201" fontId="114" fillId="68" borderId="3">
      <alignment horizontal="left"/>
    </xf>
    <xf numFmtId="201" fontId="114" fillId="68" borderId="3">
      <alignment horizontal="left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12" fillId="80" borderId="46"/>
    <xf numFmtId="0" fontId="113" fillId="79" borderId="47"/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94" borderId="49" applyNumberFormat="0" applyProtection="0">
      <alignment horizontal="left" vertical="center" indent="1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94" fillId="65" borderId="50" applyBorder="0"/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94" fillId="65" borderId="50" applyBorder="0"/>
    <xf numFmtId="4" fontId="115" fillId="76" borderId="45" applyNumberFormat="0" applyProtection="0">
      <alignment vertical="center"/>
    </xf>
    <xf numFmtId="0" fontId="17" fillId="34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94" fillId="65" borderId="50" applyBorder="0"/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7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4" fontId="115" fillId="83" borderId="45" applyNumberFormat="0" applyProtection="0">
      <alignment horizontal="right" vertical="center"/>
    </xf>
    <xf numFmtId="0" fontId="58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0" fontId="48" fillId="68" borderId="56" applyNumberFormat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48" fillId="99" borderId="15"/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22" fillId="94" borderId="45" applyNumberFormat="0" applyProtection="0">
      <alignment horizontal="right" vertical="center"/>
    </xf>
    <xf numFmtId="38" fontId="94" fillId="0" borderId="3"/>
    <xf numFmtId="4" fontId="122" fillId="94" borderId="45" applyNumberFormat="0" applyProtection="0">
      <alignment horizontal="right" vertical="center"/>
    </xf>
    <xf numFmtId="38" fontId="94" fillId="0" borderId="3"/>
    <xf numFmtId="38" fontId="94" fillId="0" borderId="3"/>
    <xf numFmtId="0" fontId="94" fillId="0" borderId="3"/>
    <xf numFmtId="0" fontId="94" fillId="0" borderId="3"/>
    <xf numFmtId="0" fontId="85" fillId="0" borderId="47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58" fillId="40" borderId="44" applyNumberFormat="0" applyFont="0" applyAlignment="0" applyProtection="0"/>
    <xf numFmtId="4" fontId="117" fillId="92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85" fillId="0" borderId="47"/>
    <xf numFmtId="0" fontId="62" fillId="69" borderId="29" applyNumberFormat="0" applyAlignment="0" applyProtection="0"/>
    <xf numFmtId="0" fontId="62" fillId="69" borderId="29" applyNumberForma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4" fontId="116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201" fontId="114" fillId="68" borderId="3">
      <alignment horizontal="left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7" fillId="97" borderId="45" applyNumberFormat="0" applyProtection="0">
      <alignment horizontal="left" vertical="center" inden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10" fontId="48" fillId="68" borderId="15" applyNumberFormat="0" applyBorder="0" applyAlignment="0" applyProtection="0"/>
    <xf numFmtId="0" fontId="17" fillId="81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2" fontId="17" fillId="68" borderId="3">
      <alignment horizontal="left"/>
    </xf>
    <xf numFmtId="0" fontId="106" fillId="69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10" fontId="48" fillId="68" borderId="56" applyNumberFormat="0" applyBorder="0" applyAlignment="0" applyProtection="0"/>
    <xf numFmtId="38" fontId="94" fillId="0" borderId="3"/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56" applyNumberFormat="0">
      <protection locked="0"/>
    </xf>
    <xf numFmtId="0" fontId="17" fillId="70" borderId="56" applyNumberFormat="0">
      <protection locked="0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0" fontId="106" fillId="69" borderId="45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18" fillId="0" borderId="54" applyNumberFormat="0" applyFill="0" applyAlignment="0" applyProtection="0"/>
    <xf numFmtId="0" fontId="17" fillId="40" borderId="44" applyNumberFormat="0" applyFont="0" applyAlignment="0" applyProtection="0"/>
    <xf numFmtId="0" fontId="85" fillId="0" borderId="47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8" fillId="0" borderId="54" applyNumberFormat="0" applyFill="0" applyAlignment="0" applyProtection="0"/>
    <xf numFmtId="10" fontId="48" fillId="68" borderId="15" applyNumberFormat="0" applyBorder="0" applyAlignment="0" applyProtection="0"/>
    <xf numFmtId="4" fontId="115" fillId="91" borderId="45" applyNumberFormat="0" applyProtection="0">
      <alignment horizontal="right" vertical="center"/>
    </xf>
    <xf numFmtId="0" fontId="62" fillId="69" borderId="29" applyNumberFormat="0" applyAlignment="0" applyProtection="0"/>
    <xf numFmtId="0" fontId="62" fillId="69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85" fillId="0" borderId="47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>
      <alignment readingOrder="1"/>
    </xf>
    <xf numFmtId="0" fontId="43" fillId="0" borderId="0">
      <alignment readingOrder="1"/>
    </xf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9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1" fillId="0" borderId="0"/>
  </cellStyleXfs>
  <cellXfs count="188">
    <xf numFmtId="0" fontId="0" fillId="0" borderId="0" xfId="0"/>
    <xf numFmtId="0" fontId="15" fillId="0" borderId="0" xfId="0" applyFont="1"/>
    <xf numFmtId="0" fontId="18" fillId="0" borderId="0" xfId="0" applyFont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0" xfId="0" applyFont="1"/>
    <xf numFmtId="0" fontId="19" fillId="0" borderId="7" xfId="4" applyFont="1" applyBorder="1" applyAlignment="1">
      <alignment horizontal="center"/>
    </xf>
    <xf numFmtId="0" fontId="19" fillId="0" borderId="8" xfId="4" applyFont="1" applyBorder="1" applyAlignment="1">
      <alignment horizontal="center"/>
    </xf>
    <xf numFmtId="0" fontId="19" fillId="0" borderId="8" xfId="0" applyFont="1" applyBorder="1"/>
    <xf numFmtId="0" fontId="19" fillId="0" borderId="9" xfId="4" applyFont="1" applyBorder="1" applyAlignment="1">
      <alignment horizontal="center"/>
    </xf>
    <xf numFmtId="0" fontId="19" fillId="0" borderId="10" xfId="4" applyFont="1" applyBorder="1" applyAlignment="1">
      <alignment horizontal="center"/>
    </xf>
    <xf numFmtId="0" fontId="19" fillId="0" borderId="12" xfId="4" applyFont="1" applyBorder="1" applyAlignment="1">
      <alignment horizontal="center"/>
    </xf>
    <xf numFmtId="0" fontId="19" fillId="0" borderId="13" xfId="4" applyFont="1" applyBorder="1" applyAlignment="1">
      <alignment horizontal="center" wrapText="1"/>
    </xf>
    <xf numFmtId="0" fontId="19" fillId="0" borderId="14" xfId="4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/>
    <xf numFmtId="10" fontId="19" fillId="0" borderId="7" xfId="0" applyNumberFormat="1" applyFont="1" applyBorder="1"/>
    <xf numFmtId="49" fontId="18" fillId="0" borderId="8" xfId="0" applyNumberFormat="1" applyFont="1" applyBorder="1" applyAlignment="1">
      <alignment horizontal="center"/>
    </xf>
    <xf numFmtId="37" fontId="19" fillId="0" borderId="7" xfId="5" applyNumberFormat="1" applyFont="1" applyBorder="1"/>
    <xf numFmtId="0" fontId="19" fillId="0" borderId="7" xfId="0" applyFont="1" applyBorder="1"/>
    <xf numFmtId="37" fontId="19" fillId="0" borderId="7" xfId="6" applyNumberFormat="1" applyFont="1" applyBorder="1"/>
    <xf numFmtId="167" fontId="19" fillId="0" borderId="7" xfId="0" applyNumberFormat="1" applyFont="1" applyBorder="1"/>
    <xf numFmtId="166" fontId="19" fillId="0" borderId="11" xfId="0" applyNumberFormat="1" applyFont="1" applyBorder="1"/>
    <xf numFmtId="166" fontId="19" fillId="0" borderId="10" xfId="0" applyNumberFormat="1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171" fontId="15" fillId="0" borderId="0" xfId="3" applyNumberFormat="1" applyFont="1"/>
    <xf numFmtId="44" fontId="15" fillId="0" borderId="0" xfId="2" applyFont="1"/>
    <xf numFmtId="44" fontId="15" fillId="0" borderId="0" xfId="0" applyNumberFormat="1" applyFont="1"/>
    <xf numFmtId="0" fontId="21" fillId="0" borderId="0" xfId="0" applyFont="1"/>
    <xf numFmtId="17" fontId="15" fillId="0" borderId="0" xfId="0" applyNumberFormat="1" applyFont="1" applyAlignment="1">
      <alignment horizontal="center"/>
    </xf>
    <xf numFmtId="168" fontId="15" fillId="0" borderId="0" xfId="0" applyNumberFormat="1" applyFont="1"/>
    <xf numFmtId="168" fontId="15" fillId="0" borderId="3" xfId="0" applyNumberFormat="1" applyFont="1" applyBorder="1"/>
    <xf numFmtId="172" fontId="15" fillId="0" borderId="0" xfId="0" applyNumberFormat="1" applyFont="1"/>
    <xf numFmtId="10" fontId="15" fillId="0" borderId="0" xfId="0" applyNumberFormat="1" applyFont="1"/>
    <xf numFmtId="166" fontId="15" fillId="0" borderId="0" xfId="2" applyNumberFormat="1" applyFont="1"/>
    <xf numFmtId="166" fontId="15" fillId="0" borderId="0" xfId="0" applyNumberFormat="1" applyFont="1"/>
    <xf numFmtId="166" fontId="15" fillId="0" borderId="9" xfId="2" applyNumberFormat="1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6" fontId="19" fillId="0" borderId="7" xfId="2" applyNumberFormat="1" applyFont="1" applyFill="1" applyBorder="1"/>
    <xf numFmtId="44" fontId="19" fillId="0" borderId="7" xfId="2" applyFont="1" applyFill="1" applyBorder="1"/>
    <xf numFmtId="0" fontId="14" fillId="0" borderId="0" xfId="0" applyFont="1"/>
    <xf numFmtId="169" fontId="22" fillId="0" borderId="0" xfId="0" applyNumberFormat="1" applyFont="1" applyAlignment="1">
      <alignment readingOrder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 indent="1" readingOrder="1"/>
    </xf>
    <xf numFmtId="168" fontId="14" fillId="0" borderId="0" xfId="0" applyNumberFormat="1" applyFont="1"/>
    <xf numFmtId="168" fontId="19" fillId="0" borderId="0" xfId="0" applyNumberFormat="1" applyFont="1"/>
    <xf numFmtId="0" fontId="22" fillId="0" borderId="0" xfId="5" applyFont="1"/>
    <xf numFmtId="170" fontId="19" fillId="0" borderId="0" xfId="5" applyNumberFormat="1" applyFont="1"/>
    <xf numFmtId="0" fontId="19" fillId="0" borderId="0" xfId="5" applyFont="1"/>
    <xf numFmtId="0" fontId="25" fillId="0" borderId="0" xfId="5" applyFont="1"/>
    <xf numFmtId="44" fontId="19" fillId="0" borderId="0" xfId="2" applyFont="1"/>
    <xf numFmtId="167" fontId="15" fillId="0" borderId="0" xfId="2" applyNumberFormat="1" applyFont="1"/>
    <xf numFmtId="167" fontId="19" fillId="0" borderId="0" xfId="2" applyNumberFormat="1" applyFont="1"/>
    <xf numFmtId="0" fontId="24" fillId="0" borderId="0" xfId="0" applyFont="1"/>
    <xf numFmtId="0" fontId="24" fillId="0" borderId="0" xfId="5" applyFont="1"/>
    <xf numFmtId="0" fontId="27" fillId="0" borderId="0" xfId="0" applyFont="1"/>
    <xf numFmtId="0" fontId="27" fillId="0" borderId="0" xfId="5" applyFont="1"/>
    <xf numFmtId="168" fontId="14" fillId="0" borderId="0" xfId="1" applyNumberFormat="1" applyFont="1"/>
    <xf numFmtId="168" fontId="23" fillId="0" borderId="0" xfId="1" applyNumberFormat="1" applyFont="1" applyFill="1"/>
    <xf numFmtId="2" fontId="14" fillId="0" borderId="0" xfId="0" applyNumberFormat="1" applyFont="1"/>
    <xf numFmtId="3" fontId="23" fillId="0" borderId="0" xfId="4" applyNumberFormat="1" applyFont="1"/>
    <xf numFmtId="167" fontId="22" fillId="0" borderId="15" xfId="2" applyNumberFormat="1" applyFont="1" applyFill="1" applyBorder="1"/>
    <xf numFmtId="0" fontId="15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44" fontId="28" fillId="0" borderId="0" xfId="2" applyFont="1"/>
    <xf numFmtId="10" fontId="19" fillId="0" borderId="0" xfId="5" applyNumberFormat="1" applyFont="1"/>
    <xf numFmtId="10" fontId="19" fillId="0" borderId="7" xfId="3" applyNumberFormat="1" applyFont="1" applyFill="1" applyBorder="1"/>
    <xf numFmtId="0" fontId="30" fillId="0" borderId="0" xfId="0" applyFont="1"/>
    <xf numFmtId="0" fontId="30" fillId="0" borderId="0" xfId="0" applyFont="1" applyAlignment="1">
      <alignment wrapText="1"/>
    </xf>
    <xf numFmtId="170" fontId="15" fillId="0" borderId="0" xfId="0" applyNumberFormat="1" applyFont="1"/>
    <xf numFmtId="170" fontId="26" fillId="0" borderId="18" xfId="5" applyNumberFormat="1" applyFont="1" applyBorder="1"/>
    <xf numFmtId="170" fontId="22" fillId="0" borderId="0" xfId="5" applyNumberFormat="1" applyFont="1"/>
    <xf numFmtId="0" fontId="30" fillId="2" borderId="6" xfId="0" quotePrefix="1" applyFont="1" applyFill="1" applyBorder="1" applyAlignment="1">
      <alignment horizontal="center"/>
    </xf>
    <xf numFmtId="0" fontId="30" fillId="2" borderId="0" xfId="0" applyFont="1" applyFill="1"/>
    <xf numFmtId="0" fontId="31" fillId="2" borderId="13" xfId="0" applyFont="1" applyFill="1" applyBorder="1"/>
    <xf numFmtId="0" fontId="32" fillId="2" borderId="14" xfId="0" applyFont="1" applyFill="1" applyBorder="1"/>
    <xf numFmtId="0" fontId="12" fillId="0" borderId="0" xfId="0" applyFont="1"/>
    <xf numFmtId="3" fontId="14" fillId="0" borderId="0" xfId="0" applyNumberFormat="1" applyFont="1"/>
    <xf numFmtId="0" fontId="10" fillId="0" borderId="0" xfId="0" applyFont="1"/>
    <xf numFmtId="175" fontId="15" fillId="0" borderId="0" xfId="0" applyNumberFormat="1" applyFont="1"/>
    <xf numFmtId="14" fontId="22" fillId="0" borderId="0" xfId="5" applyNumberFormat="1" applyFont="1"/>
    <xf numFmtId="170" fontId="19" fillId="0" borderId="14" xfId="5" applyNumberFormat="1" applyFont="1" applyBorder="1"/>
    <xf numFmtId="4" fontId="26" fillId="0" borderId="0" xfId="5" applyNumberFormat="1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" fontId="19" fillId="0" borderId="0" xfId="0" quotePrefix="1" applyNumberFormat="1" applyFont="1" applyAlignment="1">
      <alignment horizontal="center"/>
    </xf>
    <xf numFmtId="171" fontId="19" fillId="0" borderId="0" xfId="0" applyNumberFormat="1" applyFont="1"/>
    <xf numFmtId="0" fontId="19" fillId="0" borderId="0" xfId="0" quotePrefix="1" applyFont="1" applyAlignment="1">
      <alignment horizontal="center"/>
    </xf>
    <xf numFmtId="0" fontId="30" fillId="2" borderId="14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1" fillId="2" borderId="0" xfId="0" applyFont="1" applyFill="1"/>
    <xf numFmtId="171" fontId="32" fillId="2" borderId="0" xfId="0" applyNumberFormat="1" applyFont="1" applyFill="1"/>
    <xf numFmtId="0" fontId="9" fillId="0" borderId="0" xfId="0" applyFont="1"/>
    <xf numFmtId="166" fontId="15" fillId="0" borderId="48" xfId="2" applyNumberFormat="1" applyFont="1" applyBorder="1"/>
    <xf numFmtId="0" fontId="18" fillId="102" borderId="9" xfId="8436" applyFont="1" applyFill="1" applyBorder="1" applyAlignment="1">
      <alignment horizontal="center" wrapText="1"/>
    </xf>
    <xf numFmtId="17" fontId="18" fillId="0" borderId="0" xfId="8436" applyNumberFormat="1" applyFont="1"/>
    <xf numFmtId="43" fontId="0" fillId="0" borderId="0" xfId="7203" applyFont="1"/>
    <xf numFmtId="43" fontId="0" fillId="0" borderId="0" xfId="0" applyNumberFormat="1"/>
    <xf numFmtId="17" fontId="18" fillId="0" borderId="0" xfId="8436" applyNumberFormat="1" applyFont="1" applyAlignment="1">
      <alignment horizontal="right"/>
    </xf>
    <xf numFmtId="166" fontId="15" fillId="0" borderId="0" xfId="2" applyNumberFormat="1" applyFont="1" applyBorder="1"/>
    <xf numFmtId="0" fontId="8" fillId="0" borderId="0" xfId="0" applyFont="1"/>
    <xf numFmtId="0" fontId="141" fillId="0" borderId="0" xfId="0" applyFont="1"/>
    <xf numFmtId="0" fontId="141" fillId="0" borderId="9" xfId="0" applyFont="1" applyBorder="1"/>
    <xf numFmtId="166" fontId="141" fillId="0" borderId="0" xfId="2" applyNumberFormat="1" applyFont="1"/>
    <xf numFmtId="166" fontId="141" fillId="0" borderId="0" xfId="2" applyNumberFormat="1" applyFont="1" applyBorder="1"/>
    <xf numFmtId="166" fontId="141" fillId="0" borderId="0" xfId="0" applyNumberFormat="1" applyFont="1"/>
    <xf numFmtId="166" fontId="141" fillId="0" borderId="0" xfId="2" applyNumberFormat="1" applyFont="1" applyFill="1"/>
    <xf numFmtId="166" fontId="141" fillId="0" borderId="0" xfId="2" applyNumberFormat="1" applyFont="1" applyFill="1" applyBorder="1"/>
    <xf numFmtId="166" fontId="142" fillId="0" borderId="0" xfId="2" applyNumberFormat="1" applyFont="1" applyFill="1"/>
    <xf numFmtId="10" fontId="141" fillId="0" borderId="0" xfId="3" applyNumberFormat="1" applyFont="1"/>
    <xf numFmtId="203" fontId="141" fillId="0" borderId="0" xfId="3" applyNumberFormat="1" applyFont="1"/>
    <xf numFmtId="166" fontId="141" fillId="0" borderId="9" xfId="2" applyNumberFormat="1" applyFont="1" applyFill="1" applyBorder="1"/>
    <xf numFmtId="172" fontId="141" fillId="0" borderId="9" xfId="0" applyNumberFormat="1" applyFont="1" applyBorder="1"/>
    <xf numFmtId="0" fontId="141" fillId="0" borderId="0" xfId="0" applyFont="1" applyAlignment="1">
      <alignment horizontal="center" wrapText="1"/>
    </xf>
    <xf numFmtId="0" fontId="141" fillId="0" borderId="0" xfId="0" applyFont="1" applyAlignment="1">
      <alignment horizontal="center"/>
    </xf>
    <xf numFmtId="166" fontId="141" fillId="0" borderId="0" xfId="2" applyNumberFormat="1" applyFont="1" applyAlignment="1">
      <alignment horizontal="center" wrapText="1"/>
    </xf>
    <xf numFmtId="10" fontId="142" fillId="0" borderId="0" xfId="0" applyNumberFormat="1" applyFont="1" applyAlignment="1">
      <alignment horizontal="center" wrapText="1"/>
    </xf>
    <xf numFmtId="17" fontId="142" fillId="0" borderId="0" xfId="0" applyNumberFormat="1" applyFont="1"/>
    <xf numFmtId="5" fontId="141" fillId="0" borderId="0" xfId="0" applyNumberFormat="1" applyFont="1"/>
    <xf numFmtId="17" fontId="141" fillId="0" borderId="0" xfId="0" applyNumberFormat="1" applyFont="1"/>
    <xf numFmtId="168" fontId="141" fillId="0" borderId="0" xfId="1" applyNumberFormat="1" applyFont="1" applyFill="1" applyBorder="1"/>
    <xf numFmtId="168" fontId="141" fillId="0" borderId="0" xfId="0" applyNumberFormat="1" applyFont="1"/>
    <xf numFmtId="0" fontId="19" fillId="0" borderId="6" xfId="0" quotePrefix="1" applyFont="1" applyBorder="1" applyAlignment="1">
      <alignment horizontal="center"/>
    </xf>
    <xf numFmtId="0" fontId="7" fillId="0" borderId="0" xfId="0" applyFont="1"/>
    <xf numFmtId="43" fontId="0" fillId="0" borderId="0" xfId="1" applyFont="1"/>
    <xf numFmtId="0" fontId="143" fillId="0" borderId="0" xfId="0" applyFont="1" applyAlignment="1">
      <alignment horizontal="center"/>
    </xf>
    <xf numFmtId="0" fontId="6" fillId="0" borderId="0" xfId="0" applyFont="1"/>
    <xf numFmtId="166" fontId="19" fillId="0" borderId="0" xfId="2" applyNumberFormat="1" applyFont="1"/>
    <xf numFmtId="44" fontId="141" fillId="0" borderId="0" xfId="0" applyNumberFormat="1" applyFont="1"/>
    <xf numFmtId="198" fontId="141" fillId="0" borderId="56" xfId="8693" applyNumberFormat="1" applyFont="1" applyBorder="1"/>
    <xf numFmtId="0" fontId="0" fillId="0" borderId="56" xfId="0" applyBorder="1" applyAlignment="1">
      <alignment wrapText="1"/>
    </xf>
    <xf numFmtId="174" fontId="144" fillId="0" borderId="56" xfId="8693" applyNumberFormat="1" applyFont="1" applyFill="1" applyBorder="1"/>
    <xf numFmtId="10" fontId="141" fillId="0" borderId="58" xfId="3" applyNumberFormat="1" applyFont="1" applyFill="1" applyBorder="1"/>
    <xf numFmtId="203" fontId="141" fillId="0" borderId="57" xfId="3" applyNumberFormat="1" applyFont="1" applyBorder="1"/>
    <xf numFmtId="3" fontId="23" fillId="0" borderId="0" xfId="4" applyNumberFormat="1" applyFont="1" applyFill="1"/>
    <xf numFmtId="0" fontId="5" fillId="0" borderId="0" xfId="0" applyFont="1"/>
    <xf numFmtId="167" fontId="23" fillId="0" borderId="7" xfId="0" applyNumberFormat="1" applyFont="1" applyFill="1" applyBorder="1"/>
    <xf numFmtId="44" fontId="23" fillId="0" borderId="0" xfId="2" applyFont="1"/>
    <xf numFmtId="167" fontId="23" fillId="0" borderId="0" xfId="2" applyNumberFormat="1" applyFont="1" applyFill="1"/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/>
    <xf numFmtId="0" fontId="27" fillId="0" borderId="0" xfId="0" applyFont="1" applyAlignment="1">
      <alignment horizontal="center"/>
    </xf>
    <xf numFmtId="4" fontId="0" fillId="0" borderId="0" xfId="0" applyNumberFormat="1"/>
    <xf numFmtId="0" fontId="27" fillId="0" borderId="0" xfId="12490" applyFont="1"/>
    <xf numFmtId="0" fontId="19" fillId="0" borderId="0" xfId="12490" applyFont="1"/>
    <xf numFmtId="43" fontId="0" fillId="0" borderId="48" xfId="1" applyFont="1" applyBorder="1"/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 wrapText="1"/>
    </xf>
    <xf numFmtId="43" fontId="0" fillId="103" borderId="0" xfId="0" applyNumberFormat="1" applyFill="1"/>
    <xf numFmtId="0" fontId="19" fillId="0" borderId="0" xfId="12490" applyFont="1" applyAlignment="1">
      <alignment horizontal="right"/>
    </xf>
    <xf numFmtId="43" fontId="18" fillId="0" borderId="0" xfId="1" applyFont="1"/>
    <xf numFmtId="0" fontId="0" fillId="0" borderId="0" xfId="0" applyAlignment="1">
      <alignment horizontal="left" wrapText="1"/>
    </xf>
    <xf numFmtId="166" fontId="21" fillId="0" borderId="17" xfId="2" applyNumberFormat="1" applyFont="1" applyFill="1" applyBorder="1"/>
    <xf numFmtId="0" fontId="3" fillId="0" borderId="0" xfId="0" applyFont="1" applyFill="1"/>
    <xf numFmtId="0" fontId="15" fillId="0" borderId="0" xfId="0" applyFont="1" applyFill="1"/>
    <xf numFmtId="204" fontId="23" fillId="0" borderId="0" xfId="2" applyNumberFormat="1" applyFont="1" applyFill="1"/>
    <xf numFmtId="0" fontId="3" fillId="0" borderId="0" xfId="0" applyFont="1"/>
    <xf numFmtId="166" fontId="142" fillId="0" borderId="0" xfId="0" applyNumberFormat="1" applyFont="1" applyFill="1"/>
    <xf numFmtId="205" fontId="23" fillId="0" borderId="7" xfId="0" applyNumberFormat="1" applyFont="1" applyFill="1" applyBorder="1"/>
    <xf numFmtId="166" fontId="23" fillId="0" borderId="0" xfId="2" applyNumberFormat="1" applyFont="1" applyFill="1"/>
    <xf numFmtId="0" fontId="2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4" fontId="15" fillId="0" borderId="0" xfId="3" applyNumberFormat="1" applyFont="1"/>
    <xf numFmtId="174" fontId="13" fillId="0" borderId="0" xfId="3" applyNumberFormat="1" applyFont="1"/>
    <xf numFmtId="175" fontId="15" fillId="0" borderId="0" xfId="2" applyNumberFormat="1" applyFont="1"/>
    <xf numFmtId="174" fontId="30" fillId="2" borderId="8" xfId="3" applyNumberFormat="1" applyFont="1" applyFill="1" applyBorder="1"/>
    <xf numFmtId="174" fontId="32" fillId="2" borderId="16" xfId="0" applyNumberFormat="1" applyFont="1" applyFill="1" applyBorder="1"/>
    <xf numFmtId="0" fontId="0" fillId="0" borderId="0" xfId="0" applyAlignment="1">
      <alignment horizontal="left" vertical="top" wrapText="1"/>
    </xf>
    <xf numFmtId="0" fontId="17" fillId="0" borderId="0" xfId="8436" applyAlignment="1">
      <alignment horizontal="left" vertical="top" wrapText="1"/>
    </xf>
    <xf numFmtId="0" fontId="0" fillId="0" borderId="0" xfId="0" applyAlignment="1">
      <alignment horizontal="left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40" fillId="2" borderId="9" xfId="0" applyFont="1" applyFill="1" applyBorder="1" applyAlignment="1">
      <alignment horizontal="center" vertical="center"/>
    </xf>
    <xf numFmtId="0" fontId="1" fillId="0" borderId="0" xfId="0" applyFont="1"/>
  </cellXfs>
  <cellStyles count="12491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rmal_Incent2007recon" xfId="12490" xr:uid="{5D9E49F6-E92A-44E1-AB5A-2ADCD9E7E5CC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2%20Base%20Case%20Electric%20CO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00900%20Allowed%20Revenue%20Electric%20COS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ID%20DSM/2022.07.29%20ID%20DSM%20Schedule%2091%20(AVU-E-22-09)/For%20Filing/Avista%20Electric%20DSM%20Sch%2091%20Workpapers%20(July202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-RR Cross-Reference "/>
      <sheetName val="B - COS Results"/>
      <sheetName val="C-COS Allocation Factors"/>
      <sheetName val="D-Summary of Adjustments"/>
      <sheetName val="E-Summary of Results"/>
      <sheetName val="E2-Summary of Avg Cust Unit"/>
      <sheetName val="Index"/>
      <sheetName val="Print"/>
      <sheetName val="Detail"/>
      <sheetName val="Summary"/>
      <sheetName val="Factors"/>
      <sheetName val="Allocator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Substations "/>
      <sheetName val="DA Sch 25"/>
      <sheetName val="Area Lights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AMI Costs and Benefit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Electric - Sched 91"/>
      <sheetName val="Revenue By Month"/>
      <sheetName val="DSM Balance"/>
      <sheetName val="Rev Conv Factor"/>
      <sheetName val="Billing Determinants"/>
      <sheetName val="Base Reven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3"/>
  <sheetViews>
    <sheetView tabSelected="1" topLeftCell="A10" workbookViewId="0">
      <selection activeCell="E41" sqref="E41"/>
    </sheetView>
  </sheetViews>
  <sheetFormatPr defaultColWidth="9.1796875" defaultRowHeight="14.5"/>
  <cols>
    <col min="1" max="1" width="9.1796875" style="1"/>
    <col min="2" max="2" width="43.54296875" style="1" customWidth="1"/>
    <col min="3" max="3" width="17.81640625" style="1" customWidth="1"/>
    <col min="4" max="5" width="17" style="1" customWidth="1"/>
    <col min="6" max="6" width="15.81640625" style="1" bestFit="1" customWidth="1"/>
    <col min="7" max="8" width="17" style="1" customWidth="1"/>
    <col min="9" max="9" width="4.81640625" style="1" customWidth="1"/>
    <col min="10" max="11" width="9.1796875" style="1"/>
    <col min="12" max="12" width="10.54296875" style="1" customWidth="1"/>
    <col min="13" max="13" width="30" style="1" customWidth="1"/>
    <col min="14" max="14" width="15.54296875" style="1" customWidth="1"/>
    <col min="15" max="15" width="13.1796875" style="1" customWidth="1"/>
    <col min="16" max="16384" width="9.1796875" style="1"/>
  </cols>
  <sheetData>
    <row r="1" spans="1:11">
      <c r="C1" s="2" t="s">
        <v>95</v>
      </c>
      <c r="D1" s="2"/>
    </row>
    <row r="3" spans="1:11">
      <c r="A3" s="3"/>
      <c r="B3" s="4"/>
      <c r="C3" s="5"/>
      <c r="D3" s="5"/>
      <c r="E3" s="5"/>
      <c r="F3" s="5"/>
      <c r="G3" s="5"/>
      <c r="H3" s="5"/>
      <c r="I3" s="6"/>
    </row>
    <row r="4" spans="1:11">
      <c r="A4" s="7"/>
      <c r="B4" s="8"/>
      <c r="C4" s="9" t="s">
        <v>1</v>
      </c>
      <c r="D4" s="9" t="s">
        <v>2</v>
      </c>
      <c r="E4" s="9"/>
      <c r="F4" s="9"/>
      <c r="G4" s="9"/>
      <c r="H4" s="9"/>
      <c r="I4" s="11"/>
    </row>
    <row r="5" spans="1:11">
      <c r="A5" s="7"/>
      <c r="B5" s="12" t="s">
        <v>3</v>
      </c>
      <c r="C5" s="13" t="s">
        <v>4</v>
      </c>
      <c r="D5" s="13" t="s">
        <v>130</v>
      </c>
      <c r="E5" s="13" t="s">
        <v>137</v>
      </c>
      <c r="F5" s="13" t="s">
        <v>131</v>
      </c>
      <c r="G5" s="13" t="s">
        <v>132</v>
      </c>
      <c r="H5" s="13" t="s">
        <v>133</v>
      </c>
      <c r="I5" s="14"/>
    </row>
    <row r="6" spans="1:11">
      <c r="A6" s="15" t="s">
        <v>5</v>
      </c>
      <c r="B6" s="16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8" t="s">
        <v>13</v>
      </c>
    </row>
    <row r="7" spans="1:11">
      <c r="A7" s="19">
        <v>1</v>
      </c>
      <c r="B7" s="20" t="s">
        <v>82</v>
      </c>
      <c r="C7" s="9"/>
      <c r="D7" s="9"/>
      <c r="E7" s="9"/>
      <c r="F7" s="9"/>
      <c r="G7" s="9"/>
      <c r="H7" s="9"/>
      <c r="I7" s="10"/>
    </row>
    <row r="8" spans="1:11" ht="15" thickBot="1">
      <c r="A8" s="133" t="s">
        <v>134</v>
      </c>
      <c r="B8" s="8" t="s">
        <v>109</v>
      </c>
      <c r="C8" s="21">
        <f>SUM(D8:H8)</f>
        <v>1</v>
      </c>
      <c r="D8" s="75">
        <f>D52/$C$52</f>
        <v>0.8075089750675718</v>
      </c>
      <c r="E8" s="75">
        <f>E52/$C$52</f>
        <v>0.13961507024090763</v>
      </c>
      <c r="F8" s="75">
        <f t="shared" ref="F8:G8" si="0">F52/$C$52</f>
        <v>1.8999897318886707E-3</v>
      </c>
      <c r="G8" s="75">
        <f t="shared" si="0"/>
        <v>5.0975964959631956E-2</v>
      </c>
      <c r="H8" s="75">
        <f>H52/$C$52</f>
        <v>0</v>
      </c>
      <c r="I8" s="22" t="s">
        <v>14</v>
      </c>
      <c r="J8" s="31">
        <v>1</v>
      </c>
      <c r="K8" s="134"/>
    </row>
    <row r="9" spans="1:11" ht="15" thickBot="1">
      <c r="A9" s="19">
        <v>3</v>
      </c>
      <c r="B9" s="8" t="s">
        <v>145</v>
      </c>
      <c r="C9" s="164">
        <v>-9875</v>
      </c>
      <c r="D9" s="45">
        <f t="shared" ref="D9:H9" si="1">$C$9*D8</f>
        <v>-7974.1511287922713</v>
      </c>
      <c r="E9" s="45">
        <f t="shared" si="1"/>
        <v>-1378.698818628963</v>
      </c>
      <c r="F9" s="45">
        <f t="shared" si="1"/>
        <v>-18.762398602400623</v>
      </c>
      <c r="G9" s="45">
        <f t="shared" si="1"/>
        <v>-503.38765397636558</v>
      </c>
      <c r="H9" s="45">
        <f t="shared" si="1"/>
        <v>0</v>
      </c>
      <c r="I9" s="11"/>
    </row>
    <row r="10" spans="1:11">
      <c r="A10" s="19">
        <v>5</v>
      </c>
      <c r="B10" s="8" t="s">
        <v>15</v>
      </c>
      <c r="C10" s="23">
        <f>SUM(D10:H10)</f>
        <v>279849929.77867186</v>
      </c>
      <c r="D10" s="23">
        <f>'Therm Forecast'!N7</f>
        <v>136079643.457452</v>
      </c>
      <c r="E10" s="23">
        <f>'Therm Forecast'!N8+'Therm Forecast'!N9</f>
        <v>61164730.745119214</v>
      </c>
      <c r="F10" s="23">
        <f>'Therm Forecast'!N10</f>
        <v>2519394.5761006647</v>
      </c>
      <c r="G10" s="23">
        <f>'Therm Forecast'!N11</f>
        <v>32071739</v>
      </c>
      <c r="H10" s="23">
        <f>'Therm Forecast'!N12</f>
        <v>48014422</v>
      </c>
      <c r="I10" s="22" t="s">
        <v>16</v>
      </c>
    </row>
    <row r="11" spans="1:11">
      <c r="A11" s="19">
        <v>6</v>
      </c>
      <c r="B11" s="8" t="s">
        <v>17</v>
      </c>
      <c r="C11" s="24"/>
      <c r="D11" s="68">
        <f t="shared" ref="D11:H11" si="2">D9/D10</f>
        <v>-5.859914772105901E-5</v>
      </c>
      <c r="E11" s="68">
        <f t="shared" si="2"/>
        <v>-2.2540748595365632E-5</v>
      </c>
      <c r="F11" s="68">
        <f t="shared" si="2"/>
        <v>-7.447185439066752E-6</v>
      </c>
      <c r="G11" s="68">
        <f t="shared" si="2"/>
        <v>-1.5695676931530454E-5</v>
      </c>
      <c r="H11" s="68">
        <f t="shared" si="2"/>
        <v>0</v>
      </c>
      <c r="I11" s="11"/>
    </row>
    <row r="12" spans="1:11">
      <c r="A12" s="19">
        <v>7</v>
      </c>
      <c r="B12" s="8" t="s">
        <v>18</v>
      </c>
      <c r="C12" s="25">
        <f>SUM(D12:H12)</f>
        <v>2133407.3268797132</v>
      </c>
      <c r="D12" s="25">
        <f>'Therm Forecast'!N19</f>
        <v>2092181.6761460332</v>
      </c>
      <c r="E12" s="25">
        <f>'Therm Forecast'!N20+'Therm Forecast'!N21</f>
        <v>40685.650733680159</v>
      </c>
      <c r="F12" s="25">
        <f>'Therm Forecast'!N22</f>
        <v>60</v>
      </c>
      <c r="G12" s="25">
        <f>'Therm Forecast'!N23</f>
        <v>420</v>
      </c>
      <c r="H12" s="25">
        <f>'Therm Forecast'!N24</f>
        <v>60</v>
      </c>
      <c r="I12" s="22"/>
    </row>
    <row r="13" spans="1:11">
      <c r="A13" s="19">
        <v>8</v>
      </c>
      <c r="B13" s="8" t="s">
        <v>58</v>
      </c>
      <c r="C13" s="24"/>
      <c r="D13" s="46">
        <f t="shared" ref="D13:G13" si="3">(D10/D12)*D11</f>
        <v>-3.8114047263243874E-3</v>
      </c>
      <c r="E13" s="46">
        <f t="shared" si="3"/>
        <v>-3.3886610973820723E-2</v>
      </c>
      <c r="F13" s="46">
        <f t="shared" si="3"/>
        <v>-0.3127066433733437</v>
      </c>
      <c r="G13" s="46">
        <f t="shared" si="3"/>
        <v>-1.1985420332770611</v>
      </c>
      <c r="H13" s="46">
        <f t="shared" ref="H13" si="4">(H10/H12)*H11</f>
        <v>0</v>
      </c>
      <c r="I13" s="11"/>
    </row>
    <row r="14" spans="1:11">
      <c r="A14" s="19">
        <v>9</v>
      </c>
      <c r="B14" s="8" t="s">
        <v>59</v>
      </c>
      <c r="C14" s="24"/>
      <c r="D14" s="46">
        <f t="shared" ref="D14:G14" si="5">(D10/(D12/12))*D11</f>
        <v>-4.573685671589265E-2</v>
      </c>
      <c r="E14" s="46">
        <f t="shared" si="5"/>
        <v>-0.40663933168584865</v>
      </c>
      <c r="F14" s="46">
        <f t="shared" si="5"/>
        <v>-3.7524797204801241</v>
      </c>
      <c r="G14" s="46">
        <f t="shared" si="5"/>
        <v>-14.382504399324732</v>
      </c>
      <c r="H14" s="46">
        <f t="shared" ref="H14" si="6">(H10/(H12/12))*H11</f>
        <v>0</v>
      </c>
      <c r="I14" s="11"/>
    </row>
    <row r="15" spans="1:11">
      <c r="A15" s="19">
        <v>10</v>
      </c>
      <c r="B15" s="8"/>
      <c r="C15" s="7"/>
      <c r="D15" s="24"/>
      <c r="E15" s="24"/>
      <c r="F15" s="24"/>
      <c r="G15" s="24"/>
      <c r="H15" s="24"/>
      <c r="I15" s="24"/>
    </row>
    <row r="16" spans="1:11">
      <c r="A16" s="19">
        <v>11</v>
      </c>
      <c r="B16" s="8" t="s">
        <v>19</v>
      </c>
      <c r="C16" s="7"/>
      <c r="D16" s="26">
        <f>D11</f>
        <v>-5.859914772105901E-5</v>
      </c>
      <c r="E16" s="26">
        <f t="shared" ref="E16:H16" si="7">E11</f>
        <v>-2.2540748595365632E-5</v>
      </c>
      <c r="F16" s="26">
        <f t="shared" ref="F16" si="8">F11</f>
        <v>-7.447185439066752E-6</v>
      </c>
      <c r="G16" s="26">
        <f t="shared" si="7"/>
        <v>-1.5695676931530454E-5</v>
      </c>
      <c r="H16" s="26">
        <f t="shared" si="7"/>
        <v>0</v>
      </c>
      <c r="I16" s="24"/>
    </row>
    <row r="17" spans="1:12">
      <c r="A17" s="19">
        <v>12</v>
      </c>
      <c r="B17" s="8" t="s">
        <v>20</v>
      </c>
      <c r="C17" s="7"/>
      <c r="D17" s="170">
        <v>0</v>
      </c>
      <c r="E17" s="147">
        <v>0</v>
      </c>
      <c r="F17" s="147">
        <v>0</v>
      </c>
      <c r="G17" s="147">
        <v>0</v>
      </c>
      <c r="H17" s="147">
        <v>0</v>
      </c>
      <c r="I17" s="24"/>
    </row>
    <row r="18" spans="1:12">
      <c r="A18" s="19">
        <v>13</v>
      </c>
      <c r="B18" s="8" t="s">
        <v>21</v>
      </c>
      <c r="C18" s="7"/>
      <c r="D18" s="26">
        <f t="shared" ref="D18:H18" si="9">D16-D17</f>
        <v>-5.859914772105901E-5</v>
      </c>
      <c r="E18" s="26">
        <f t="shared" si="9"/>
        <v>-2.2540748595365632E-5</v>
      </c>
      <c r="F18" s="26">
        <f t="shared" ref="F18" si="10">F16-F17</f>
        <v>-7.447185439066752E-6</v>
      </c>
      <c r="G18" s="26">
        <f t="shared" si="9"/>
        <v>-1.5695676931530454E-5</v>
      </c>
      <c r="H18" s="26">
        <f t="shared" si="9"/>
        <v>0</v>
      </c>
      <c r="I18" s="24"/>
      <c r="L18" s="31"/>
    </row>
    <row r="19" spans="1:12">
      <c r="A19" s="43">
        <f t="shared" ref="A19" si="11">A18+1</f>
        <v>14</v>
      </c>
      <c r="B19" s="44" t="s">
        <v>84</v>
      </c>
      <c r="C19" s="27">
        <f>SUM(D19:H19)</f>
        <v>-9875.0000000000018</v>
      </c>
      <c r="D19" s="28">
        <f>D18*D10</f>
        <v>-7974.1511287922713</v>
      </c>
      <c r="E19" s="28">
        <f t="shared" ref="E19:H19" si="12">E18*E10</f>
        <v>-1378.698818628963</v>
      </c>
      <c r="F19" s="28">
        <f t="shared" ref="F19" si="13">F18*F10</f>
        <v>-18.762398602400623</v>
      </c>
      <c r="G19" s="28">
        <f t="shared" si="12"/>
        <v>-503.38765397636558</v>
      </c>
      <c r="H19" s="28">
        <f t="shared" si="12"/>
        <v>0</v>
      </c>
      <c r="I19" s="29"/>
    </row>
    <row r="20" spans="1:12">
      <c r="A20" s="19"/>
      <c r="B20" s="8"/>
      <c r="C20" s="8"/>
      <c r="D20" s="8"/>
      <c r="E20" s="8"/>
      <c r="F20" s="8"/>
      <c r="G20" s="8"/>
      <c r="H20" s="8"/>
      <c r="I20" s="8"/>
    </row>
    <row r="21" spans="1:12">
      <c r="A21" s="30"/>
      <c r="B21" s="8"/>
      <c r="C21" s="8"/>
      <c r="D21" s="8"/>
      <c r="E21" s="8"/>
      <c r="F21" s="8"/>
      <c r="G21" s="8"/>
      <c r="H21" s="8"/>
      <c r="I21" s="8"/>
    </row>
    <row r="22" spans="1:12">
      <c r="B22" s="8" t="s">
        <v>28</v>
      </c>
      <c r="C22" s="171">
        <f>SUM(D22:H22)</f>
        <v>274078000</v>
      </c>
      <c r="D22" s="171">
        <v>208751000</v>
      </c>
      <c r="E22" s="171">
        <v>59624000</v>
      </c>
      <c r="F22" s="171">
        <v>863000</v>
      </c>
      <c r="G22" s="171">
        <v>3490000</v>
      </c>
      <c r="H22" s="171">
        <v>1350000</v>
      </c>
      <c r="I22" s="8"/>
    </row>
    <row r="23" spans="1:12">
      <c r="B23" s="8" t="s">
        <v>29</v>
      </c>
      <c r="C23" s="175">
        <f t="shared" ref="C23:H23" si="14">C19/C22</f>
        <v>-3.602988930158569E-5</v>
      </c>
      <c r="D23" s="175">
        <f>D19/D22</f>
        <v>-3.8199343374605494E-5</v>
      </c>
      <c r="E23" s="175">
        <f t="shared" si="14"/>
        <v>-2.312321915049247E-5</v>
      </c>
      <c r="F23" s="175">
        <f t="shared" si="14"/>
        <v>-2.1740902204403967E-5</v>
      </c>
      <c r="G23" s="175">
        <f t="shared" si="14"/>
        <v>-1.4423715013649443E-4</v>
      </c>
      <c r="H23" s="175">
        <f t="shared" si="14"/>
        <v>0</v>
      </c>
    </row>
    <row r="25" spans="1:12">
      <c r="B25" s="165" t="s">
        <v>135</v>
      </c>
      <c r="C25" s="166"/>
      <c r="D25" s="167">
        <f>D16*64</f>
        <v>-3.7503454541477767E-3</v>
      </c>
    </row>
    <row r="26" spans="1:12">
      <c r="B26" s="1" t="s">
        <v>30</v>
      </c>
      <c r="D26" s="176">
        <f>D25/C42</f>
        <v>-3.8749811219504139E-5</v>
      </c>
    </row>
    <row r="27" spans="1:12">
      <c r="D27" s="177"/>
    </row>
    <row r="28" spans="1:12">
      <c r="D28" s="88"/>
    </row>
    <row r="30" spans="1:12">
      <c r="B30" s="152" t="s">
        <v>96</v>
      </c>
      <c r="C30" s="40">
        <f>'Deferral Balance'!G10</f>
        <v>-9443.1019142521545</v>
      </c>
      <c r="F30" s="58"/>
    </row>
    <row r="31" spans="1:12">
      <c r="B31" s="152" t="s">
        <v>104</v>
      </c>
      <c r="C31" s="40">
        <f>'Deferral Schedule'!R7</f>
        <v>0</v>
      </c>
      <c r="D31" s="33"/>
      <c r="F31" s="58"/>
    </row>
    <row r="32" spans="1:12">
      <c r="B32" s="152" t="s">
        <v>105</v>
      </c>
      <c r="C32" s="40">
        <f>SUM(C30:C31)</f>
        <v>-9443.1019142521545</v>
      </c>
      <c r="F32" s="58"/>
    </row>
    <row r="33" spans="1:21">
      <c r="B33" s="103" t="s">
        <v>56</v>
      </c>
      <c r="C33" s="38">
        <f>'CF WA Gas'!E21</f>
        <v>0.95628199999999997</v>
      </c>
    </row>
    <row r="34" spans="1:21" ht="15" thickBot="1">
      <c r="B34" s="152" t="s">
        <v>106</v>
      </c>
      <c r="C34" s="104">
        <f>(C32)/C33</f>
        <v>-9874.8088056160777</v>
      </c>
      <c r="D34" s="41"/>
      <c r="E34" s="103" t="s">
        <v>57</v>
      </c>
      <c r="F34" s="32"/>
    </row>
    <row r="35" spans="1:21" ht="15" thickTop="1">
      <c r="B35" s="103"/>
      <c r="C35" s="110"/>
      <c r="E35" s="103"/>
      <c r="F35" s="32"/>
    </row>
    <row r="36" spans="1:21">
      <c r="B36" s="103"/>
      <c r="C36" s="110"/>
      <c r="E36" s="103"/>
      <c r="F36" s="32"/>
    </row>
    <row r="37" spans="1:21">
      <c r="B37" s="103"/>
      <c r="C37" s="110"/>
      <c r="E37" s="103"/>
      <c r="F37" s="32"/>
    </row>
    <row r="39" spans="1:21">
      <c r="B39" s="60" t="s">
        <v>34</v>
      </c>
      <c r="L39" s="70"/>
      <c r="M39" s="71"/>
      <c r="N39" s="71"/>
      <c r="O39" s="70"/>
    </row>
    <row r="40" spans="1:21">
      <c r="B40" s="1" t="s">
        <v>35</v>
      </c>
      <c r="C40" s="148">
        <v>9.5</v>
      </c>
      <c r="L40" s="72"/>
      <c r="M40" s="73"/>
      <c r="N40" s="73"/>
      <c r="O40" s="73"/>
    </row>
    <row r="41" spans="1:21">
      <c r="B41" s="187" t="s">
        <v>146</v>
      </c>
      <c r="C41" s="149">
        <v>1.30274</v>
      </c>
      <c r="F41" s="8"/>
      <c r="G41" s="8"/>
      <c r="H41" s="8"/>
      <c r="I41" s="8"/>
      <c r="J41" s="8"/>
      <c r="K41" s="8"/>
      <c r="L41" s="8"/>
      <c r="M41" s="59"/>
      <c r="N41" s="59"/>
      <c r="O41" s="59"/>
      <c r="P41" s="8"/>
      <c r="Q41" s="8"/>
      <c r="R41" s="8"/>
      <c r="S41" s="8"/>
      <c r="T41" s="8"/>
      <c r="U41" s="8"/>
    </row>
    <row r="42" spans="1:21">
      <c r="B42" s="168" t="s">
        <v>136</v>
      </c>
      <c r="C42" s="32">
        <f>C40+(C41*67)</f>
        <v>96.783580000000001</v>
      </c>
      <c r="F42" s="8"/>
      <c r="G42" s="8"/>
      <c r="H42" s="8"/>
      <c r="I42" s="8"/>
      <c r="J42" s="8"/>
      <c r="K42" s="8"/>
      <c r="L42" s="8"/>
      <c r="M42" s="59"/>
      <c r="N42" s="59"/>
      <c r="O42" s="59"/>
      <c r="P42" s="8"/>
      <c r="Q42" s="8"/>
      <c r="R42" s="8"/>
      <c r="S42" s="8"/>
      <c r="T42" s="8"/>
      <c r="U42" s="8"/>
    </row>
    <row r="43" spans="1:2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B44" s="87" t="s">
        <v>54</v>
      </c>
      <c r="C44" s="88">
        <f>D25</f>
        <v>-3.7503454541477767E-3</v>
      </c>
      <c r="D44" s="175">
        <f>C44/C42</f>
        <v>-3.8749811219504139E-5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>
      <c r="F45" s="8"/>
      <c r="G45" s="8"/>
      <c r="H45" s="8"/>
      <c r="I45" s="8"/>
      <c r="J45" s="8"/>
      <c r="K45" s="8"/>
      <c r="L45" s="92"/>
      <c r="M45" s="93"/>
      <c r="N45" s="92"/>
      <c r="O45" s="8"/>
      <c r="P45" s="8"/>
      <c r="Q45" s="8"/>
      <c r="R45" s="8"/>
      <c r="S45" s="8"/>
      <c r="T45" s="8"/>
      <c r="U45" s="8"/>
    </row>
    <row r="46" spans="1:21">
      <c r="B46" s="1" t="s">
        <v>45</v>
      </c>
      <c r="C46" s="33">
        <f>SUM(C42:C45)</f>
        <v>96.77982965454585</v>
      </c>
      <c r="F46" s="8"/>
      <c r="G46" s="8"/>
      <c r="H46" s="8"/>
      <c r="I46" s="8"/>
      <c r="J46" s="8"/>
      <c r="K46" s="8"/>
      <c r="L46" s="94"/>
      <c r="M46" s="8"/>
      <c r="N46" s="95"/>
      <c r="O46" s="8"/>
      <c r="P46" s="8"/>
      <c r="Q46" s="8"/>
      <c r="R46" s="8"/>
      <c r="S46" s="8"/>
      <c r="T46" s="8"/>
      <c r="U46" s="8"/>
    </row>
    <row r="47" spans="1:21">
      <c r="F47" s="8"/>
      <c r="G47" s="8"/>
      <c r="H47" s="8"/>
      <c r="I47" s="8"/>
      <c r="J47" s="8"/>
      <c r="K47" s="8"/>
      <c r="L47" s="96"/>
      <c r="M47" s="8"/>
      <c r="N47" s="95"/>
      <c r="O47" s="8"/>
      <c r="P47" s="8"/>
      <c r="Q47" s="8"/>
      <c r="R47" s="8"/>
      <c r="S47" s="8"/>
      <c r="T47" s="8"/>
      <c r="U47" s="8"/>
    </row>
    <row r="48" spans="1:21">
      <c r="A48" s="172" t="s">
        <v>140</v>
      </c>
      <c r="F48" s="8"/>
      <c r="G48" s="8"/>
      <c r="H48" s="8"/>
      <c r="I48" s="8"/>
      <c r="J48" s="8"/>
      <c r="K48" s="8"/>
      <c r="L48" s="96"/>
      <c r="M48" s="8"/>
      <c r="N48" s="95"/>
      <c r="O48" s="8"/>
      <c r="P48" s="8"/>
      <c r="Q48" s="8"/>
      <c r="R48" s="8"/>
      <c r="S48" s="8"/>
      <c r="T48" s="8"/>
      <c r="U48" s="8"/>
    </row>
    <row r="49" spans="1:21">
      <c r="A49" s="137" t="s">
        <v>83</v>
      </c>
      <c r="F49" s="8"/>
      <c r="G49" s="8"/>
      <c r="H49" s="8"/>
      <c r="I49" s="8"/>
      <c r="J49" s="8"/>
      <c r="K49" s="8"/>
      <c r="L49" s="96"/>
      <c r="M49" s="8"/>
      <c r="N49" s="95"/>
      <c r="O49" s="8"/>
      <c r="P49" s="8"/>
      <c r="Q49" s="8"/>
      <c r="R49" s="8"/>
      <c r="S49" s="8"/>
      <c r="T49" s="8"/>
      <c r="U49" s="8"/>
    </row>
    <row r="50" spans="1:21">
      <c r="A50" s="136"/>
      <c r="C50" s="173" t="s">
        <v>0</v>
      </c>
      <c r="D50" s="173" t="s">
        <v>130</v>
      </c>
      <c r="E50" s="174" t="s">
        <v>137</v>
      </c>
      <c r="F50" s="30" t="s">
        <v>131</v>
      </c>
      <c r="G50" s="30" t="s">
        <v>132</v>
      </c>
      <c r="H50" s="30" t="s">
        <v>133</v>
      </c>
      <c r="I50" s="8"/>
      <c r="J50" s="8"/>
      <c r="K50" s="8"/>
      <c r="L50" s="96"/>
      <c r="M50" s="8"/>
      <c r="N50" s="95"/>
      <c r="O50" s="8"/>
      <c r="P50" s="8"/>
      <c r="Q50" s="8"/>
      <c r="R50" s="8"/>
      <c r="S50" s="8"/>
      <c r="T50" s="8"/>
      <c r="U50" s="8"/>
    </row>
    <row r="51" spans="1:21">
      <c r="A51" s="136"/>
      <c r="F51" s="8"/>
      <c r="G51" s="8"/>
      <c r="H51" s="8"/>
      <c r="I51" s="8"/>
      <c r="J51" s="8"/>
      <c r="K51" s="8"/>
      <c r="L51" s="96"/>
      <c r="M51" s="8"/>
      <c r="N51" s="95"/>
      <c r="O51" s="8"/>
      <c r="P51" s="8"/>
      <c r="Q51" s="8"/>
      <c r="R51" s="8"/>
      <c r="S51" s="8"/>
      <c r="T51" s="8"/>
      <c r="U51" s="8"/>
    </row>
    <row r="52" spans="1:21">
      <c r="A52" s="136">
        <v>91</v>
      </c>
      <c r="B52" s="172" t="s">
        <v>139</v>
      </c>
      <c r="C52" s="40">
        <f>SUM(D52:H52)</f>
        <v>840999.99999999988</v>
      </c>
      <c r="D52" s="40">
        <v>679115.04803182778</v>
      </c>
      <c r="E52" s="40">
        <v>117416.27407260329</v>
      </c>
      <c r="F52" s="138">
        <v>1597.8913645183718</v>
      </c>
      <c r="G52" s="138">
        <v>42870.786531050471</v>
      </c>
      <c r="H52" s="138">
        <v>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</sheetData>
  <phoneticPr fontId="48" type="noConversion"/>
  <pageMargins left="0.7" right="0.7" top="0.75" bottom="0.75" header="0.3" footer="0.3"/>
  <pageSetup scale="65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43"/>
  <sheetViews>
    <sheetView workbookViewId="0">
      <selection activeCell="G13" sqref="G13"/>
    </sheetView>
  </sheetViews>
  <sheetFormatPr defaultColWidth="8.7265625" defaultRowHeight="12.5"/>
  <cols>
    <col min="1" max="1" width="8.7265625" style="150"/>
    <col min="2" max="2" width="18.453125" style="150" customWidth="1"/>
    <col min="3" max="4" width="18" style="150" customWidth="1"/>
    <col min="5" max="5" width="23.453125" style="150" customWidth="1"/>
    <col min="6" max="7" width="18.54296875" style="150" customWidth="1"/>
    <col min="8" max="8" width="11.26953125" style="150" bestFit="1" customWidth="1"/>
    <col min="9" max="9" width="25" style="150" bestFit="1" customWidth="1"/>
    <col min="10" max="10" width="39.54296875" style="150" customWidth="1"/>
    <col min="11" max="16384" width="8.7265625" style="150"/>
  </cols>
  <sheetData>
    <row r="1" spans="1:11" ht="14.5">
      <c r="C1" s="153" t="s">
        <v>97</v>
      </c>
      <c r="D1" s="153" t="s">
        <v>98</v>
      </c>
      <c r="E1" s="153" t="s">
        <v>110</v>
      </c>
    </row>
    <row r="2" spans="1:11" ht="29">
      <c r="B2" s="105" t="s">
        <v>111</v>
      </c>
      <c r="C2" s="105" t="s">
        <v>112</v>
      </c>
      <c r="D2" s="105" t="s">
        <v>113</v>
      </c>
      <c r="E2" s="105" t="s">
        <v>114</v>
      </c>
      <c r="F2" s="105" t="s">
        <v>115</v>
      </c>
      <c r="G2" s="105" t="s">
        <v>116</v>
      </c>
    </row>
    <row r="4" spans="1:11" ht="14.5">
      <c r="A4" s="106">
        <v>44927</v>
      </c>
      <c r="B4" s="107">
        <f t="shared" ref="B4:B15" si="0">$B$16/12</f>
        <v>145497.25</v>
      </c>
      <c r="C4" s="154">
        <v>964891.24000000011</v>
      </c>
      <c r="D4" s="154">
        <v>0</v>
      </c>
      <c r="E4" s="135">
        <v>145599.7651403397</v>
      </c>
      <c r="F4" s="108">
        <v>102.51514033970307</v>
      </c>
      <c r="G4" s="108">
        <f>F4</f>
        <v>102.51514033970307</v>
      </c>
      <c r="J4" s="2" t="s">
        <v>117</v>
      </c>
      <c r="K4" s="156"/>
    </row>
    <row r="5" spans="1:11" ht="14.5">
      <c r="A5" s="106">
        <v>44958</v>
      </c>
      <c r="B5" s="107">
        <f t="shared" si="0"/>
        <v>145497.25</v>
      </c>
      <c r="C5" s="154">
        <v>964891.24000000011</v>
      </c>
      <c r="D5" s="154">
        <v>0</v>
      </c>
      <c r="E5" s="135">
        <v>145599.7651403397</v>
      </c>
      <c r="F5" s="108">
        <v>102.51514033970307</v>
      </c>
      <c r="G5" s="108">
        <f>G4+F5</f>
        <v>205.03028067940613</v>
      </c>
      <c r="J5" s="150">
        <v>0.20707999999999999</v>
      </c>
      <c r="K5" s="155" t="s">
        <v>99</v>
      </c>
    </row>
    <row r="6" spans="1:11" ht="14.5">
      <c r="A6" s="106">
        <v>44986</v>
      </c>
      <c r="B6" s="107">
        <f t="shared" si="0"/>
        <v>145497.25</v>
      </c>
      <c r="C6" s="154">
        <v>964891.17000000016</v>
      </c>
      <c r="D6" s="154">
        <v>0</v>
      </c>
      <c r="E6" s="135">
        <v>145599.75457750823</v>
      </c>
      <c r="F6" s="108">
        <v>102.50457750822534</v>
      </c>
      <c r="G6" s="108">
        <f>G5+F6</f>
        <v>307.53485818763147</v>
      </c>
      <c r="J6" s="161">
        <v>0.71745999999999999</v>
      </c>
      <c r="K6" s="155" t="s">
        <v>100</v>
      </c>
    </row>
    <row r="7" spans="1:11" ht="14.5">
      <c r="A7" s="106">
        <v>45017</v>
      </c>
      <c r="B7" s="107">
        <f t="shared" si="0"/>
        <v>145497.25</v>
      </c>
      <c r="C7" s="154">
        <v>964818.71</v>
      </c>
      <c r="D7" s="154">
        <v>0</v>
      </c>
      <c r="E7" s="135">
        <v>145588.82053795567</v>
      </c>
      <c r="F7" s="108">
        <v>91.570537955674808</v>
      </c>
      <c r="G7" s="108">
        <f>G6+F7</f>
        <v>399.10539614330628</v>
      </c>
    </row>
    <row r="8" spans="1:11" ht="14.5">
      <c r="A8" s="106">
        <v>45047</v>
      </c>
      <c r="B8" s="107">
        <f t="shared" si="0"/>
        <v>145497.25</v>
      </c>
      <c r="C8" s="154">
        <v>987237.11</v>
      </c>
      <c r="D8" s="154">
        <v>24989.97</v>
      </c>
      <c r="E8" s="135">
        <v>152742.6294353049</v>
      </c>
      <c r="F8" s="108">
        <v>7245.3794353049016</v>
      </c>
      <c r="G8" s="108">
        <f t="shared" ref="G8" si="1">G7+F8</f>
        <v>7644.4848314482078</v>
      </c>
    </row>
    <row r="9" spans="1:11" ht="14.5">
      <c r="A9" s="106">
        <v>45078</v>
      </c>
      <c r="B9" s="107">
        <f t="shared" si="0"/>
        <v>145497.25</v>
      </c>
      <c r="C9" s="154">
        <v>969302.32</v>
      </c>
      <c r="D9" s="154">
        <v>0</v>
      </c>
      <c r="E9" s="135">
        <v>146265.38649266458</v>
      </c>
      <c r="F9" s="108">
        <v>768.13649266457651</v>
      </c>
      <c r="G9" s="108">
        <f>G8+F9</f>
        <v>8412.6213241127844</v>
      </c>
      <c r="H9" s="162">
        <v>-13586.074676931312</v>
      </c>
      <c r="I9" s="108" t="s">
        <v>101</v>
      </c>
    </row>
    <row r="10" spans="1:11" ht="14.5">
      <c r="A10" s="106">
        <v>45108</v>
      </c>
      <c r="B10" s="107">
        <f t="shared" si="0"/>
        <v>145497.25</v>
      </c>
      <c r="C10" s="154">
        <v>950569.19</v>
      </c>
      <c r="D10" s="154">
        <v>0</v>
      </c>
      <c r="E10" s="135">
        <v>141227.60143856637</v>
      </c>
      <c r="F10" s="108">
        <v>-4269.648561433627</v>
      </c>
      <c r="G10" s="160">
        <f>G9+F10+H9</f>
        <v>-9443.1019142521545</v>
      </c>
    </row>
    <row r="11" spans="1:11" ht="14.5">
      <c r="A11" s="106">
        <v>45139</v>
      </c>
      <c r="B11" s="107">
        <f t="shared" si="0"/>
        <v>145497.25</v>
      </c>
      <c r="G11" s="108"/>
    </row>
    <row r="12" spans="1:11" ht="14.5">
      <c r="A12" s="106">
        <v>45170</v>
      </c>
      <c r="B12" s="107">
        <f t="shared" si="0"/>
        <v>145497.25</v>
      </c>
      <c r="G12" s="108"/>
    </row>
    <row r="13" spans="1:11" ht="14.5">
      <c r="A13" s="106">
        <v>45200</v>
      </c>
      <c r="B13" s="107">
        <f t="shared" si="0"/>
        <v>145497.25</v>
      </c>
      <c r="G13" s="108"/>
    </row>
    <row r="14" spans="1:11" ht="14.5">
      <c r="A14" s="106">
        <v>45231</v>
      </c>
      <c r="B14" s="107">
        <f t="shared" si="0"/>
        <v>145497.25</v>
      </c>
      <c r="G14" s="108"/>
    </row>
    <row r="15" spans="1:11" ht="14.5">
      <c r="A15" s="106">
        <v>45261</v>
      </c>
      <c r="B15" s="107">
        <f t="shared" si="0"/>
        <v>145497.25</v>
      </c>
      <c r="G15" s="108"/>
    </row>
    <row r="16" spans="1:11" ht="15" thickBot="1">
      <c r="A16" s="109" t="s">
        <v>0</v>
      </c>
      <c r="B16" s="157">
        <v>1745967</v>
      </c>
    </row>
    <row r="17" spans="1:8" ht="13" thickTop="1"/>
    <row r="19" spans="1:8" ht="14.5" customHeight="1">
      <c r="A19" s="158" t="s">
        <v>91</v>
      </c>
      <c r="B19" s="180" t="s">
        <v>102</v>
      </c>
      <c r="C19" s="180"/>
      <c r="D19" s="180"/>
      <c r="E19" s="180"/>
      <c r="F19" s="180"/>
      <c r="G19" s="151"/>
    </row>
    <row r="20" spans="1:8" ht="14.5" customHeight="1">
      <c r="A20" s="159" t="s">
        <v>92</v>
      </c>
      <c r="B20" s="181" t="s">
        <v>103</v>
      </c>
      <c r="C20" s="181"/>
      <c r="D20" s="181"/>
      <c r="E20" s="181"/>
      <c r="F20" s="181"/>
      <c r="G20" s="181"/>
      <c r="H20" s="181"/>
    </row>
    <row r="21" spans="1:8" ht="14.5" customHeight="1">
      <c r="A21" s="159" t="s">
        <v>93</v>
      </c>
      <c r="B21" s="182" t="s">
        <v>118</v>
      </c>
      <c r="C21" s="182"/>
      <c r="D21" s="182"/>
      <c r="E21" s="182"/>
      <c r="F21" s="182"/>
      <c r="G21" s="163"/>
    </row>
    <row r="22" spans="1:8">
      <c r="A22" s="150" t="s">
        <v>119</v>
      </c>
    </row>
    <row r="39" s="150" customFormat="1" ht="14.5" customHeight="1"/>
    <row r="43" s="150" customFormat="1" ht="14.5" customHeight="1"/>
  </sheetData>
  <mergeCells count="3">
    <mergeCell ref="B19:F19"/>
    <mergeCell ref="B20:H20"/>
    <mergeCell ref="B21:F21"/>
  </mergeCells>
  <pageMargins left="0.7" right="0.7" top="0.75" bottom="0.75" header="0.3" footer="0.3"/>
  <pageSetup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zoomScale="85" zoomScaleNormal="85" workbookViewId="0">
      <selection activeCell="J33" sqref="J33"/>
    </sheetView>
  </sheetViews>
  <sheetFormatPr defaultColWidth="9.1796875" defaultRowHeight="15.5"/>
  <cols>
    <col min="1" max="1" width="9.1796875" style="112"/>
    <col min="2" max="2" width="41.26953125" style="112" bestFit="1" customWidth="1"/>
    <col min="3" max="3" width="10.54296875" style="112" bestFit="1" customWidth="1"/>
    <col min="4" max="4" width="14.1796875" style="112" bestFit="1" customWidth="1"/>
    <col min="5" max="5" width="10.453125" style="112" bestFit="1" customWidth="1"/>
    <col min="6" max="6" width="15.54296875" style="112" bestFit="1" customWidth="1"/>
    <col min="7" max="7" width="15.453125" style="112" bestFit="1" customWidth="1"/>
    <col min="8" max="8" width="14.1796875" style="112" bestFit="1" customWidth="1"/>
    <col min="9" max="9" width="14.26953125" style="112" bestFit="1" customWidth="1"/>
    <col min="10" max="14" width="13.7265625" style="112" bestFit="1" customWidth="1"/>
    <col min="15" max="15" width="13.1796875" style="112" bestFit="1" customWidth="1"/>
    <col min="16" max="16" width="15" style="112" bestFit="1" customWidth="1"/>
    <col min="17" max="17" width="14.1796875" style="112" bestFit="1" customWidth="1"/>
    <col min="18" max="18" width="13.7265625" style="112" bestFit="1" customWidth="1"/>
    <col min="19" max="16384" width="9.1796875" style="112"/>
  </cols>
  <sheetData>
    <row r="4" spans="2:18">
      <c r="D4" s="112">
        <v>2023</v>
      </c>
      <c r="H4" s="112">
        <v>2024</v>
      </c>
    </row>
    <row r="5" spans="2:18">
      <c r="B5" s="113"/>
      <c r="C5" s="113"/>
      <c r="D5" s="113" t="s">
        <v>66</v>
      </c>
      <c r="F5" s="113" t="s">
        <v>70</v>
      </c>
      <c r="G5" s="113" t="s">
        <v>71</v>
      </c>
      <c r="H5" s="113" t="s">
        <v>60</v>
      </c>
      <c r="I5" s="113" t="s">
        <v>61</v>
      </c>
      <c r="J5" s="113" t="s">
        <v>62</v>
      </c>
      <c r="K5" s="113" t="s">
        <v>63</v>
      </c>
      <c r="L5" s="113" t="s">
        <v>64</v>
      </c>
      <c r="M5" s="113" t="s">
        <v>65</v>
      </c>
      <c r="N5" s="113" t="s">
        <v>66</v>
      </c>
      <c r="O5" s="113" t="s">
        <v>67</v>
      </c>
      <c r="P5" s="113" t="s">
        <v>68</v>
      </c>
      <c r="Q5" s="113" t="s">
        <v>69</v>
      </c>
      <c r="R5" s="112" t="s">
        <v>0</v>
      </c>
    </row>
    <row r="6" spans="2:18">
      <c r="B6" s="112" t="s">
        <v>107</v>
      </c>
      <c r="C6" s="114"/>
      <c r="D6" s="117">
        <f>-'[4]Revenue By Month'!H44</f>
        <v>0</v>
      </c>
      <c r="E6" s="115"/>
      <c r="F6" s="114">
        <f>'Forecasted Revenue'!H35</f>
        <v>-1157.1733037003992</v>
      </c>
      <c r="G6" s="114">
        <f>'Forecasted Revenue'!I35</f>
        <v>-1680.3352866767875</v>
      </c>
      <c r="H6" s="114">
        <f>'Forecasted Revenue'!J35</f>
        <v>-1531.5055205676729</v>
      </c>
      <c r="I6" s="114">
        <f>'Forecasted Revenue'!K35</f>
        <v>-1350.7209370028625</v>
      </c>
      <c r="J6" s="114">
        <f>'Forecasted Revenue'!L35</f>
        <v>-1052.0906516823284</v>
      </c>
      <c r="K6" s="114">
        <f>'Forecasted Revenue'!M35</f>
        <v>-684.46179444723589</v>
      </c>
      <c r="L6" s="114">
        <f>'Forecasted Revenue'!N35</f>
        <v>-388.73893705736441</v>
      </c>
      <c r="M6" s="114">
        <f>'Forecasted Revenue'!O35</f>
        <v>-262.45145718714554</v>
      </c>
      <c r="N6" s="114">
        <f>'Forecasted Revenue'!P35</f>
        <v>-201.91708176405115</v>
      </c>
      <c r="O6" s="114">
        <f>'Forecasted Revenue'!Q35</f>
        <v>-209.89420860247529</v>
      </c>
      <c r="P6" s="114">
        <f>'Forecasted Revenue'!R35</f>
        <v>-281.49476049984628</v>
      </c>
      <c r="Q6" s="114">
        <f>'Forecasted Revenue'!S35</f>
        <v>-642.50081081182975</v>
      </c>
      <c r="R6" s="116">
        <f>SUM(F6:Q6)</f>
        <v>-9443.2847499999971</v>
      </c>
    </row>
    <row r="7" spans="2:18">
      <c r="B7" s="112" t="s">
        <v>108</v>
      </c>
      <c r="C7" s="117"/>
      <c r="D7" s="117"/>
      <c r="E7" s="118"/>
      <c r="F7" s="118">
        <f>(D9-(0.5*F6))*$F$16</f>
        <v>0</v>
      </c>
      <c r="G7" s="118">
        <f>(F9-(0.5*G6))*$F$16</f>
        <v>0</v>
      </c>
      <c r="H7" s="118">
        <f t="shared" ref="H7:Q7" si="0">(G9-(0.5*H6))*$F$16</f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>(O9-(0.5*P6))*$F$16</f>
        <v>0</v>
      </c>
      <c r="Q7" s="118">
        <f t="shared" si="0"/>
        <v>0</v>
      </c>
      <c r="R7" s="116">
        <f>SUM(F7:Q7)</f>
        <v>0</v>
      </c>
    </row>
    <row r="8" spans="2:18">
      <c r="B8" s="112" t="s">
        <v>72</v>
      </c>
      <c r="C8" s="117"/>
      <c r="D8" s="117">
        <f>D6+D7</f>
        <v>0</v>
      </c>
      <c r="E8" s="118"/>
      <c r="F8" s="117">
        <f>F6-F7</f>
        <v>-1157.1733037003992</v>
      </c>
      <c r="G8" s="117">
        <f t="shared" ref="G8:Q8" si="1">G6-G7</f>
        <v>-1680.3352866767875</v>
      </c>
      <c r="H8" s="117">
        <f t="shared" si="1"/>
        <v>-1531.5055205676729</v>
      </c>
      <c r="I8" s="117">
        <f t="shared" si="1"/>
        <v>-1350.7209370028625</v>
      </c>
      <c r="J8" s="117">
        <f t="shared" si="1"/>
        <v>-1052.0906516823284</v>
      </c>
      <c r="K8" s="117">
        <f t="shared" si="1"/>
        <v>-684.46179444723589</v>
      </c>
      <c r="L8" s="117">
        <f t="shared" si="1"/>
        <v>-388.73893705736441</v>
      </c>
      <c r="M8" s="117">
        <f t="shared" si="1"/>
        <v>-262.45145718714554</v>
      </c>
      <c r="N8" s="117">
        <f t="shared" si="1"/>
        <v>-201.91708176405115</v>
      </c>
      <c r="O8" s="117">
        <f t="shared" si="1"/>
        <v>-209.89420860247529</v>
      </c>
      <c r="P8" s="117">
        <f t="shared" si="1"/>
        <v>-281.49476049984628</v>
      </c>
      <c r="Q8" s="117">
        <f t="shared" si="1"/>
        <v>-642.50081081182975</v>
      </c>
    </row>
    <row r="9" spans="2:18">
      <c r="B9" s="112" t="s">
        <v>120</v>
      </c>
      <c r="C9" s="119"/>
      <c r="D9" s="119">
        <f>'Deferral Balance'!G10</f>
        <v>-9443.1019142521545</v>
      </c>
      <c r="E9" s="115"/>
      <c r="F9" s="114">
        <f>D9-F8</f>
        <v>-8285.9286105517549</v>
      </c>
      <c r="G9" s="114">
        <f t="shared" ref="G9:Q9" si="2">F9-G8</f>
        <v>-6605.5933238749676</v>
      </c>
      <c r="H9" s="114">
        <f t="shared" si="2"/>
        <v>-5074.087803307295</v>
      </c>
      <c r="I9" s="114">
        <f t="shared" si="2"/>
        <v>-3723.3668663044327</v>
      </c>
      <c r="J9" s="114">
        <f t="shared" si="2"/>
        <v>-2671.2762146221044</v>
      </c>
      <c r="K9" s="114">
        <f t="shared" si="2"/>
        <v>-1986.8144201748685</v>
      </c>
      <c r="L9" s="114">
        <f t="shared" si="2"/>
        <v>-1598.0754831175041</v>
      </c>
      <c r="M9" s="114">
        <f t="shared" si="2"/>
        <v>-1335.6240259303586</v>
      </c>
      <c r="N9" s="114">
        <f t="shared" si="2"/>
        <v>-1133.7069441663075</v>
      </c>
      <c r="O9" s="114">
        <f t="shared" si="2"/>
        <v>-923.81273556383223</v>
      </c>
      <c r="P9" s="114">
        <f t="shared" si="2"/>
        <v>-642.31797506398595</v>
      </c>
      <c r="Q9" s="114">
        <f t="shared" si="2"/>
        <v>0.18283574784379653</v>
      </c>
    </row>
    <row r="15" spans="2:18" ht="26">
      <c r="C15" s="141" t="s">
        <v>86</v>
      </c>
      <c r="D15" s="141" t="s">
        <v>73</v>
      </c>
      <c r="E15" s="141" t="s">
        <v>87</v>
      </c>
      <c r="F15" s="141" t="s">
        <v>88</v>
      </c>
    </row>
    <row r="16" spans="2:18">
      <c r="B16" s="112" t="s">
        <v>85</v>
      </c>
      <c r="C16" s="143">
        <v>0</v>
      </c>
      <c r="D16" s="144">
        <f>C16/12</f>
        <v>0</v>
      </c>
      <c r="E16" s="142">
        <v>0.21</v>
      </c>
      <c r="F16" s="140">
        <f>D16*(1-E16)</f>
        <v>0</v>
      </c>
      <c r="G16" s="112" t="s">
        <v>94</v>
      </c>
      <c r="R16" s="139"/>
    </row>
    <row r="17" spans="3:10">
      <c r="C17" s="120"/>
      <c r="D17" s="121"/>
    </row>
    <row r="19" spans="3:10">
      <c r="F19" s="112" t="s">
        <v>77</v>
      </c>
      <c r="G19" s="117">
        <f>D9</f>
        <v>-9443.1019142521545</v>
      </c>
    </row>
    <row r="20" spans="3:10">
      <c r="F20" s="112" t="s">
        <v>33</v>
      </c>
      <c r="G20" s="122">
        <f>SUM(F7:Q7)</f>
        <v>0</v>
      </c>
    </row>
    <row r="21" spans="3:10">
      <c r="F21" s="112" t="s">
        <v>75</v>
      </c>
      <c r="G21" s="117">
        <f>SUM(G19:G20)</f>
        <v>-9443.1019142521545</v>
      </c>
    </row>
    <row r="22" spans="3:10">
      <c r="G22" s="117"/>
    </row>
    <row r="23" spans="3:10">
      <c r="F23" s="112" t="s">
        <v>74</v>
      </c>
      <c r="G23" s="123">
        <f>'CF WA Gas'!E21</f>
        <v>0.95628199999999997</v>
      </c>
    </row>
    <row r="24" spans="3:10">
      <c r="F24" s="112" t="s">
        <v>76</v>
      </c>
      <c r="G24" s="117">
        <f>G21/G23</f>
        <v>-9874.8088056160777</v>
      </c>
    </row>
    <row r="30" spans="3:10" ht="31">
      <c r="F30" s="124" t="s">
        <v>5</v>
      </c>
      <c r="G30" s="124" t="s">
        <v>78</v>
      </c>
      <c r="H30" s="124" t="s">
        <v>79</v>
      </c>
      <c r="I30" s="124" t="s">
        <v>80</v>
      </c>
      <c r="J30" s="124" t="s">
        <v>55</v>
      </c>
    </row>
    <row r="31" spans="3:10">
      <c r="F31" s="125">
        <v>1</v>
      </c>
      <c r="G31" s="124"/>
      <c r="H31" s="126"/>
      <c r="I31" s="127">
        <f>C16*(1-E16)</f>
        <v>0</v>
      </c>
      <c r="J31" s="124"/>
    </row>
    <row r="32" spans="3:10">
      <c r="F32" s="125">
        <v>2</v>
      </c>
      <c r="G32" s="128"/>
      <c r="H32" s="169">
        <f>D9</f>
        <v>-9443.1019142521545</v>
      </c>
      <c r="I32" s="129"/>
    </row>
    <row r="33" spans="6:10">
      <c r="F33" s="125">
        <v>3</v>
      </c>
      <c r="G33" s="130">
        <v>45231</v>
      </c>
      <c r="H33" s="129">
        <f>H32+I33-J33</f>
        <v>-8285.9286105517549</v>
      </c>
      <c r="I33" s="129">
        <f>(H32-(J33*0.5))*($I$31/12)</f>
        <v>0</v>
      </c>
      <c r="J33" s="131">
        <f>'Forecasted Revenue'!H35</f>
        <v>-1157.1733037003992</v>
      </c>
    </row>
    <row r="34" spans="6:10">
      <c r="F34" s="125">
        <v>4</v>
      </c>
      <c r="G34" s="130">
        <f t="shared" ref="G34:G44" si="3">G33+31</f>
        <v>45262</v>
      </c>
      <c r="H34" s="129">
        <f t="shared" ref="H34:H44" si="4">H33+I34-J34</f>
        <v>-6605.5933238749676</v>
      </c>
      <c r="I34" s="129">
        <f t="shared" ref="I34:I44" si="5">(H33-J34*0.5)*($I$31/12)</f>
        <v>0</v>
      </c>
      <c r="J34" s="131">
        <f>'Forecasted Revenue'!I35</f>
        <v>-1680.3352866767875</v>
      </c>
    </row>
    <row r="35" spans="6:10">
      <c r="F35" s="125">
        <v>5</v>
      </c>
      <c r="G35" s="130">
        <f t="shared" si="3"/>
        <v>45293</v>
      </c>
      <c r="H35" s="129">
        <f t="shared" si="4"/>
        <v>-5074.087803307295</v>
      </c>
      <c r="I35" s="129">
        <f t="shared" si="5"/>
        <v>0</v>
      </c>
      <c r="J35" s="131">
        <f>'Forecasted Revenue'!J35</f>
        <v>-1531.5055205676729</v>
      </c>
    </row>
    <row r="36" spans="6:10">
      <c r="F36" s="125">
        <v>6</v>
      </c>
      <c r="G36" s="130">
        <f t="shared" si="3"/>
        <v>45324</v>
      </c>
      <c r="H36" s="129">
        <f t="shared" si="4"/>
        <v>-3723.3668663044327</v>
      </c>
      <c r="I36" s="129">
        <f t="shared" si="5"/>
        <v>0</v>
      </c>
      <c r="J36" s="131">
        <f>'Forecasted Revenue'!K35</f>
        <v>-1350.7209370028625</v>
      </c>
    </row>
    <row r="37" spans="6:10">
      <c r="F37" s="125">
        <v>7</v>
      </c>
      <c r="G37" s="130">
        <f t="shared" si="3"/>
        <v>45355</v>
      </c>
      <c r="H37" s="129">
        <f t="shared" si="4"/>
        <v>-2671.2762146221044</v>
      </c>
      <c r="I37" s="129">
        <f t="shared" si="5"/>
        <v>0</v>
      </c>
      <c r="J37" s="131">
        <f>'Forecasted Revenue'!L35</f>
        <v>-1052.0906516823284</v>
      </c>
    </row>
    <row r="38" spans="6:10">
      <c r="F38" s="125">
        <v>8</v>
      </c>
      <c r="G38" s="130">
        <f t="shared" si="3"/>
        <v>45386</v>
      </c>
      <c r="H38" s="129">
        <f t="shared" si="4"/>
        <v>-1986.8144201748685</v>
      </c>
      <c r="I38" s="129">
        <f t="shared" si="5"/>
        <v>0</v>
      </c>
      <c r="J38" s="131">
        <f>'Forecasted Revenue'!M35</f>
        <v>-684.46179444723589</v>
      </c>
    </row>
    <row r="39" spans="6:10">
      <c r="F39" s="125">
        <v>9</v>
      </c>
      <c r="G39" s="130">
        <f t="shared" si="3"/>
        <v>45417</v>
      </c>
      <c r="H39" s="129">
        <f t="shared" si="4"/>
        <v>-1598.0754831175041</v>
      </c>
      <c r="I39" s="129">
        <f t="shared" si="5"/>
        <v>0</v>
      </c>
      <c r="J39" s="131">
        <f>'Forecasted Revenue'!N35</f>
        <v>-388.73893705736441</v>
      </c>
    </row>
    <row r="40" spans="6:10">
      <c r="F40" s="125">
        <v>10</v>
      </c>
      <c r="G40" s="130">
        <f t="shared" si="3"/>
        <v>45448</v>
      </c>
      <c r="H40" s="129">
        <f t="shared" si="4"/>
        <v>-1335.6240259303586</v>
      </c>
      <c r="I40" s="129">
        <f t="shared" si="5"/>
        <v>0</v>
      </c>
      <c r="J40" s="131">
        <f>'Forecasted Revenue'!O35</f>
        <v>-262.45145718714554</v>
      </c>
    </row>
    <row r="41" spans="6:10">
      <c r="F41" s="125">
        <v>11</v>
      </c>
      <c r="G41" s="130">
        <f t="shared" si="3"/>
        <v>45479</v>
      </c>
      <c r="H41" s="129">
        <f t="shared" si="4"/>
        <v>-1133.7069441663075</v>
      </c>
      <c r="I41" s="129">
        <f t="shared" si="5"/>
        <v>0</v>
      </c>
      <c r="J41" s="131">
        <f>'Forecasted Revenue'!P35</f>
        <v>-201.91708176405115</v>
      </c>
    </row>
    <row r="42" spans="6:10">
      <c r="F42" s="125">
        <v>12</v>
      </c>
      <c r="G42" s="130">
        <f t="shared" si="3"/>
        <v>45510</v>
      </c>
      <c r="H42" s="129">
        <f t="shared" si="4"/>
        <v>-923.81273556383223</v>
      </c>
      <c r="I42" s="129">
        <f t="shared" si="5"/>
        <v>0</v>
      </c>
      <c r="J42" s="131">
        <f>'Forecasted Revenue'!Q35</f>
        <v>-209.89420860247529</v>
      </c>
    </row>
    <row r="43" spans="6:10">
      <c r="F43" s="125">
        <v>13</v>
      </c>
      <c r="G43" s="130">
        <f t="shared" si="3"/>
        <v>45541</v>
      </c>
      <c r="H43" s="129">
        <f>H42+I43-J43</f>
        <v>-642.31797506398595</v>
      </c>
      <c r="I43" s="129">
        <f t="shared" si="5"/>
        <v>0</v>
      </c>
      <c r="J43" s="131">
        <f>'Forecasted Revenue'!R35</f>
        <v>-281.49476049984628</v>
      </c>
    </row>
    <row r="44" spans="6:10">
      <c r="F44" s="125">
        <v>14</v>
      </c>
      <c r="G44" s="130">
        <f t="shared" si="3"/>
        <v>45572</v>
      </c>
      <c r="H44" s="129">
        <f t="shared" si="4"/>
        <v>0.18283574784379653</v>
      </c>
      <c r="I44" s="129">
        <f t="shared" si="5"/>
        <v>0</v>
      </c>
      <c r="J44" s="131">
        <f>'Forecasted Revenue'!S35</f>
        <v>-642.50081081182975</v>
      </c>
    </row>
    <row r="46" spans="6:10">
      <c r="F46" s="125">
        <v>15</v>
      </c>
      <c r="G46" s="112" t="s">
        <v>81</v>
      </c>
      <c r="I46" s="129">
        <f>SUM(I33:I45)</f>
        <v>0</v>
      </c>
      <c r="J46" s="132">
        <f>SUM(J33:J45)</f>
        <v>-9443.2847499999971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39"/>
  <sheetViews>
    <sheetView workbookViewId="0">
      <selection activeCell="F15" sqref="F15"/>
    </sheetView>
  </sheetViews>
  <sheetFormatPr defaultColWidth="9.1796875" defaultRowHeight="14.5"/>
  <cols>
    <col min="1" max="1" width="8.26953125" style="1" customWidth="1"/>
    <col min="2" max="2" width="28" style="1" customWidth="1"/>
    <col min="3" max="3" width="8.54296875" style="1" bestFit="1" customWidth="1"/>
    <col min="4" max="7" width="13.453125" style="1" bestFit="1" customWidth="1"/>
    <col min="8" max="8" width="14.26953125" style="1" bestFit="1" customWidth="1"/>
    <col min="9" max="19" width="13.453125" style="1" bestFit="1" customWidth="1"/>
    <col min="20" max="20" width="14.26953125" style="1" bestFit="1" customWidth="1"/>
    <col min="21" max="21" width="12.54296875" style="1" bestFit="1" customWidth="1"/>
    <col min="22" max="16384" width="9.1796875" style="1"/>
  </cols>
  <sheetData>
    <row r="1" spans="1:20">
      <c r="A1" s="34" t="s">
        <v>38</v>
      </c>
      <c r="B1" s="34"/>
    </row>
    <row r="4" spans="1:20">
      <c r="A4" s="1" t="s">
        <v>31</v>
      </c>
      <c r="D4" s="35">
        <v>44743</v>
      </c>
      <c r="E4" s="35">
        <v>44774</v>
      </c>
      <c r="F4" s="35">
        <v>44805</v>
      </c>
      <c r="G4" s="35">
        <v>44835</v>
      </c>
      <c r="H4" s="35">
        <v>45231</v>
      </c>
      <c r="I4" s="35">
        <v>45261</v>
      </c>
      <c r="J4" s="35">
        <v>45292</v>
      </c>
      <c r="K4" s="35">
        <v>45323</v>
      </c>
      <c r="L4" s="35">
        <v>45352</v>
      </c>
      <c r="M4" s="35">
        <v>45383</v>
      </c>
      <c r="N4" s="35">
        <v>45413</v>
      </c>
      <c r="O4" s="35">
        <v>45444</v>
      </c>
      <c r="P4" s="35">
        <v>45474</v>
      </c>
      <c r="Q4" s="35">
        <v>45505</v>
      </c>
      <c r="R4" s="35">
        <v>45536</v>
      </c>
      <c r="S4" s="35">
        <v>45566</v>
      </c>
    </row>
    <row r="5" spans="1:20">
      <c r="B5" s="1" t="s">
        <v>121</v>
      </c>
      <c r="D5" s="36"/>
      <c r="E5" s="36"/>
      <c r="F5" s="36"/>
      <c r="G5" s="36"/>
      <c r="H5" s="36">
        <f>'Therm Forecast'!B7</f>
        <v>16896724.585724</v>
      </c>
      <c r="I5" s="36">
        <f>'Therm Forecast'!C7</f>
        <v>25318761.379441429</v>
      </c>
      <c r="J5" s="36">
        <f>'Therm Forecast'!D7</f>
        <v>22936252.243829809</v>
      </c>
      <c r="K5" s="36">
        <f>'Therm Forecast'!E7</f>
        <v>20105498.728020974</v>
      </c>
      <c r="L5" s="36">
        <f>'Therm Forecast'!F7</f>
        <v>15455535.198045896</v>
      </c>
      <c r="M5" s="36">
        <f>'Therm Forecast'!G7</f>
        <v>9694274.395910874</v>
      </c>
      <c r="N5" s="36">
        <f>'Therm Forecast'!H7</f>
        <v>5183904.46824532</v>
      </c>
      <c r="O5" s="36">
        <f>'Therm Forecast'!I7</f>
        <v>3240671.9152343152</v>
      </c>
      <c r="P5" s="36">
        <f>'Therm Forecast'!J7</f>
        <v>2340441.1111559412</v>
      </c>
      <c r="Q5" s="36">
        <f>'Therm Forecast'!K7</f>
        <v>2489737.256021257</v>
      </c>
      <c r="R5" s="36">
        <f>'Therm Forecast'!L7</f>
        <v>3519545.2521682116</v>
      </c>
      <c r="S5" s="36">
        <f>'Therm Forecast'!M7</f>
        <v>8898296.9236539602</v>
      </c>
      <c r="T5" s="36">
        <f>SUM(D5:S5)</f>
        <v>136079643.457452</v>
      </c>
    </row>
    <row r="6" spans="1:20">
      <c r="B6" s="168" t="s">
        <v>138</v>
      </c>
      <c r="D6" s="36"/>
      <c r="E6" s="36"/>
      <c r="F6" s="36"/>
      <c r="G6" s="36"/>
      <c r="H6" s="36">
        <f>'Therm Forecast'!B8+'Therm Forecast'!B9</f>
        <v>7774200.7307153111</v>
      </c>
      <c r="I6" s="36">
        <f>'Therm Forecast'!C8+'Therm Forecast'!C9</f>
        <v>9866698.7152098306</v>
      </c>
      <c r="J6" s="36">
        <f>'Therm Forecast'!D8+'Therm Forecast'!D9</f>
        <v>9002635.065499058</v>
      </c>
      <c r="K6" s="36">
        <f>'Therm Forecast'!E8+'Therm Forecast'!E9</f>
        <v>7900560.0242170924</v>
      </c>
      <c r="L6" s="36">
        <f>'Therm Forecast'!F8+'Therm Forecast'!F9</f>
        <v>6407192.0206340617</v>
      </c>
      <c r="M6" s="36">
        <f>'Therm Forecast'!G8+'Therm Forecast'!G9</f>
        <v>4392730.3326240024</v>
      </c>
      <c r="N6" s="36">
        <f>'Therm Forecast'!H8+'Therm Forecast'!H9</f>
        <v>2692002.0779268248</v>
      </c>
      <c r="O6" s="36">
        <f>'Therm Forecast'!I8+'Therm Forecast'!I9</f>
        <v>2078905.0362181957</v>
      </c>
      <c r="P6" s="36">
        <f>'Therm Forecast'!J8+'Therm Forecast'!J9</f>
        <v>1745092.4506622497</v>
      </c>
      <c r="Q6" s="36">
        <f>'Therm Forecast'!K8+'Therm Forecast'!K9</f>
        <v>1807011.0882689361</v>
      </c>
      <c r="R6" s="36">
        <f>'Therm Forecast'!L8+'Therm Forecast'!L9</f>
        <v>2398983.7055906351</v>
      </c>
      <c r="S6" s="36">
        <f>'Therm Forecast'!M8+'Therm Forecast'!M9</f>
        <v>5098719.4975530114</v>
      </c>
      <c r="T6" s="36">
        <f t="shared" ref="T6:T9" si="0">SUM(D6:S6)</f>
        <v>61164730.745119207</v>
      </c>
    </row>
    <row r="7" spans="1:20">
      <c r="B7" s="111" t="s">
        <v>124</v>
      </c>
      <c r="D7" s="36"/>
      <c r="E7" s="36"/>
      <c r="F7" s="36"/>
      <c r="G7" s="36"/>
      <c r="H7" s="36">
        <f>'Therm Forecast'!B10</f>
        <v>347671.43138689199</v>
      </c>
      <c r="I7" s="36">
        <f>'Therm Forecast'!C10</f>
        <v>347632.58956974506</v>
      </c>
      <c r="J7" s="36">
        <f>'Therm Forecast'!D10</f>
        <v>329887.84254494117</v>
      </c>
      <c r="K7" s="36">
        <f>'Therm Forecast'!E10</f>
        <v>276791.75253276987</v>
      </c>
      <c r="L7" s="36">
        <f>'Therm Forecast'!F10</f>
        <v>239018.49667086484</v>
      </c>
      <c r="M7" s="36">
        <f>'Therm Forecast'!G10</f>
        <v>179545.24880668859</v>
      </c>
      <c r="N7" s="36">
        <f>'Therm Forecast'!H10</f>
        <v>120676.27091623716</v>
      </c>
      <c r="O7" s="36">
        <f>'Therm Forecast'!I10</f>
        <v>105778.55520706638</v>
      </c>
      <c r="P7" s="36">
        <f>'Therm Forecast'!J10</f>
        <v>101513.6591716637</v>
      </c>
      <c r="Q7" s="36">
        <f>'Therm Forecast'!K10</f>
        <v>99031.206036056785</v>
      </c>
      <c r="R7" s="36">
        <f>'Therm Forecast'!L10</f>
        <v>120809.83696400616</v>
      </c>
      <c r="S7" s="36">
        <f>'Therm Forecast'!M10</f>
        <v>251037.68629373278</v>
      </c>
      <c r="T7" s="36">
        <f t="shared" si="0"/>
        <v>2519394.5761006647</v>
      </c>
    </row>
    <row r="8" spans="1:20">
      <c r="B8" s="1" t="s">
        <v>125</v>
      </c>
      <c r="D8" s="36"/>
      <c r="E8" s="36"/>
      <c r="F8" s="36"/>
      <c r="G8" s="36"/>
      <c r="H8" s="36">
        <f>'Therm Forecast'!B11</f>
        <v>2683302</v>
      </c>
      <c r="I8" s="36">
        <f>'Therm Forecast'!C11</f>
        <v>3090346</v>
      </c>
      <c r="J8" s="36">
        <f>'Therm Forecast'!D11</f>
        <v>3318946</v>
      </c>
      <c r="K8" s="36">
        <f>'Therm Forecast'!E11</f>
        <v>3450658</v>
      </c>
      <c r="L8" s="36">
        <f>'Therm Forecast'!F11</f>
        <v>3077573</v>
      </c>
      <c r="M8" s="36">
        <f>'Therm Forecast'!G11</f>
        <v>3015119</v>
      </c>
      <c r="N8" s="36">
        <f>'Therm Forecast'!H11</f>
        <v>2622375</v>
      </c>
      <c r="O8" s="36">
        <f>'Therm Forecast'!I11</f>
        <v>2351056</v>
      </c>
      <c r="P8" s="36">
        <f>'Therm Forecast'!J11</f>
        <v>2160373</v>
      </c>
      <c r="Q8" s="36">
        <f>'Therm Forecast'!K11</f>
        <v>2046710</v>
      </c>
      <c r="R8" s="36">
        <f>'Therm Forecast'!L11</f>
        <v>2111844</v>
      </c>
      <c r="S8" s="36">
        <f>'Therm Forecast'!M11</f>
        <v>2143437</v>
      </c>
      <c r="T8" s="36">
        <f t="shared" si="0"/>
        <v>32071739</v>
      </c>
    </row>
    <row r="9" spans="1:20">
      <c r="B9" s="1" t="s">
        <v>126</v>
      </c>
      <c r="D9" s="36"/>
      <c r="E9" s="36"/>
      <c r="F9" s="36"/>
      <c r="G9" s="36"/>
      <c r="H9" s="36">
        <f>'Therm Forecast'!B12</f>
        <v>4012777</v>
      </c>
      <c r="I9" s="36">
        <f>'Therm Forecast'!C12</f>
        <v>4389174</v>
      </c>
      <c r="J9" s="36">
        <f>'Therm Forecast'!D12</f>
        <v>4792623</v>
      </c>
      <c r="K9" s="36">
        <f>'Therm Forecast'!E12</f>
        <v>4825009</v>
      </c>
      <c r="L9" s="36">
        <f>'Therm Forecast'!F12</f>
        <v>4352849</v>
      </c>
      <c r="M9" s="36">
        <f>'Therm Forecast'!G12</f>
        <v>4317680</v>
      </c>
      <c r="N9" s="36">
        <f>'Therm Forecast'!H12</f>
        <v>3939169</v>
      </c>
      <c r="O9" s="36">
        <f>'Therm Forecast'!I12</f>
        <v>3656651</v>
      </c>
      <c r="P9" s="36">
        <f>'Therm Forecast'!J12</f>
        <v>3480246</v>
      </c>
      <c r="Q9" s="36">
        <f>'Therm Forecast'!K12</f>
        <v>3310149</v>
      </c>
      <c r="R9" s="36">
        <f>'Therm Forecast'!L12</f>
        <v>3431054</v>
      </c>
      <c r="S9" s="36">
        <f>'Therm Forecast'!M12</f>
        <v>3507041</v>
      </c>
      <c r="T9" s="36">
        <f t="shared" si="0"/>
        <v>48014422</v>
      </c>
    </row>
    <row r="10" spans="1:20">
      <c r="A10" s="1" t="s">
        <v>32</v>
      </c>
      <c r="D10" s="37">
        <f t="shared" ref="D10:T10" si="1">SUM(D5:D9)</f>
        <v>0</v>
      </c>
      <c r="E10" s="37">
        <f t="shared" si="1"/>
        <v>0</v>
      </c>
      <c r="F10" s="37">
        <f t="shared" si="1"/>
        <v>0</v>
      </c>
      <c r="G10" s="37">
        <f t="shared" si="1"/>
        <v>0</v>
      </c>
      <c r="H10" s="37">
        <f t="shared" si="1"/>
        <v>31714675.747826204</v>
      </c>
      <c r="I10" s="37">
        <f t="shared" si="1"/>
        <v>43012612.684221007</v>
      </c>
      <c r="J10" s="37">
        <f t="shared" si="1"/>
        <v>40380344.151873812</v>
      </c>
      <c r="K10" s="37">
        <f t="shared" si="1"/>
        <v>36558517.50477083</v>
      </c>
      <c r="L10" s="37">
        <f t="shared" si="1"/>
        <v>29532167.715350822</v>
      </c>
      <c r="M10" s="37">
        <f t="shared" si="1"/>
        <v>21599348.977341566</v>
      </c>
      <c r="N10" s="37">
        <f t="shared" si="1"/>
        <v>14558126.817088382</v>
      </c>
      <c r="O10" s="37">
        <f t="shared" si="1"/>
        <v>11433062.506659577</v>
      </c>
      <c r="P10" s="37">
        <f t="shared" si="1"/>
        <v>9827666.220989855</v>
      </c>
      <c r="Q10" s="37">
        <f t="shared" si="1"/>
        <v>9752638.5503262505</v>
      </c>
      <c r="R10" s="37">
        <f t="shared" si="1"/>
        <v>11582236.794722853</v>
      </c>
      <c r="S10" s="37">
        <f t="shared" si="1"/>
        <v>19898532.107500702</v>
      </c>
      <c r="T10" s="36">
        <f t="shared" si="1"/>
        <v>279849929.77867186</v>
      </c>
    </row>
    <row r="11" spans="1:20">
      <c r="D11" s="36"/>
      <c r="E11" s="36"/>
      <c r="F11" s="36"/>
      <c r="G11" s="36"/>
      <c r="H11" s="36">
        <f>H10-'Therm Forecast'!B13</f>
        <v>0</v>
      </c>
      <c r="I11" s="36">
        <f>I10-'Therm Forecast'!C13</f>
        <v>0</v>
      </c>
      <c r="J11" s="36">
        <f>J10-'Therm Forecast'!D13</f>
        <v>0</v>
      </c>
      <c r="K11" s="36">
        <f>K10-'Therm Forecast'!E13</f>
        <v>0</v>
      </c>
      <c r="L11" s="36">
        <f>L10-'Therm Forecast'!F13</f>
        <v>0</v>
      </c>
      <c r="M11" s="36">
        <f>M10-'Therm Forecast'!G13</f>
        <v>0</v>
      </c>
      <c r="N11" s="36">
        <f>N10-'Therm Forecast'!H13</f>
        <v>0</v>
      </c>
      <c r="O11" s="36">
        <f>O10-'Therm Forecast'!I13</f>
        <v>0</v>
      </c>
      <c r="P11" s="36">
        <f>P10-'Therm Forecast'!J13</f>
        <v>0</v>
      </c>
      <c r="Q11" s="36">
        <f>Q10-'Therm Forecast'!K13</f>
        <v>0</v>
      </c>
      <c r="R11" s="36">
        <f>R10-'Therm Forecast'!L13</f>
        <v>0</v>
      </c>
      <c r="S11" s="36">
        <f>S10-'Therm Forecast'!M13</f>
        <v>0</v>
      </c>
    </row>
    <row r="12" spans="1:20"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0">
      <c r="A13" s="152" t="s">
        <v>127</v>
      </c>
      <c r="D13" s="183" t="s">
        <v>51</v>
      </c>
      <c r="E13" s="184"/>
      <c r="F13" s="184"/>
      <c r="G13" s="185"/>
      <c r="H13" s="183" t="s">
        <v>52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</row>
    <row r="14" spans="1:20">
      <c r="B14" s="1" t="s">
        <v>121</v>
      </c>
      <c r="D14" s="38">
        <f>'Rate Design'!$D$17</f>
        <v>0</v>
      </c>
      <c r="E14" s="38">
        <f>'Rate Design'!$D$17</f>
        <v>0</v>
      </c>
      <c r="F14" s="38">
        <f>'Rate Design'!$D$17</f>
        <v>0</v>
      </c>
      <c r="G14" s="38">
        <f>'Rate Design'!$D$17</f>
        <v>0</v>
      </c>
      <c r="H14" s="38">
        <f>'Rate Design'!$D$16</f>
        <v>-5.859914772105901E-5</v>
      </c>
      <c r="I14" s="38">
        <f>'Rate Design'!$D$16</f>
        <v>-5.859914772105901E-5</v>
      </c>
      <c r="J14" s="38">
        <f>'Rate Design'!$D$16</f>
        <v>-5.859914772105901E-5</v>
      </c>
      <c r="K14" s="38">
        <f>'Rate Design'!$D$16</f>
        <v>-5.859914772105901E-5</v>
      </c>
      <c r="L14" s="38">
        <f>'Rate Design'!$D$16</f>
        <v>-5.859914772105901E-5</v>
      </c>
      <c r="M14" s="38">
        <f>'Rate Design'!$D$16</f>
        <v>-5.859914772105901E-5</v>
      </c>
      <c r="N14" s="38">
        <f>'Rate Design'!$D$16</f>
        <v>-5.859914772105901E-5</v>
      </c>
      <c r="O14" s="38">
        <f>'Rate Design'!$D$16</f>
        <v>-5.859914772105901E-5</v>
      </c>
      <c r="P14" s="38">
        <f>'Rate Design'!$D$16</f>
        <v>-5.859914772105901E-5</v>
      </c>
      <c r="Q14" s="38">
        <f>'Rate Design'!$D$16</f>
        <v>-5.859914772105901E-5</v>
      </c>
      <c r="R14" s="38">
        <f>'Rate Design'!$D$16</f>
        <v>-5.859914772105901E-5</v>
      </c>
      <c r="S14" s="38">
        <f>'Rate Design'!$D$16</f>
        <v>-5.859914772105901E-5</v>
      </c>
    </row>
    <row r="15" spans="1:20">
      <c r="B15" s="168" t="s">
        <v>138</v>
      </c>
      <c r="D15" s="38">
        <f>'Rate Design'!$E$17</f>
        <v>0</v>
      </c>
      <c r="E15" s="38">
        <f>'Rate Design'!$E$17</f>
        <v>0</v>
      </c>
      <c r="F15" s="38">
        <f>'Rate Design'!$E$17</f>
        <v>0</v>
      </c>
      <c r="G15" s="38">
        <f>'Rate Design'!$E$17</f>
        <v>0</v>
      </c>
      <c r="H15" s="38">
        <f>'Rate Design'!$E$16</f>
        <v>-2.2540748595365632E-5</v>
      </c>
      <c r="I15" s="38">
        <f>'Rate Design'!$E$16</f>
        <v>-2.2540748595365632E-5</v>
      </c>
      <c r="J15" s="38">
        <f>'Rate Design'!$E$16</f>
        <v>-2.2540748595365632E-5</v>
      </c>
      <c r="K15" s="38">
        <f>'Rate Design'!$E$16</f>
        <v>-2.2540748595365632E-5</v>
      </c>
      <c r="L15" s="38">
        <f>'Rate Design'!$E$16</f>
        <v>-2.2540748595365632E-5</v>
      </c>
      <c r="M15" s="38">
        <f>'Rate Design'!$E$16</f>
        <v>-2.2540748595365632E-5</v>
      </c>
      <c r="N15" s="38">
        <f>'Rate Design'!$E$16</f>
        <v>-2.2540748595365632E-5</v>
      </c>
      <c r="O15" s="38">
        <f>'Rate Design'!$E$16</f>
        <v>-2.2540748595365632E-5</v>
      </c>
      <c r="P15" s="38">
        <f>'Rate Design'!$E$16</f>
        <v>-2.2540748595365632E-5</v>
      </c>
      <c r="Q15" s="38">
        <f>'Rate Design'!$E$16</f>
        <v>-2.2540748595365632E-5</v>
      </c>
      <c r="R15" s="38">
        <f>'Rate Design'!$E$16</f>
        <v>-2.2540748595365632E-5</v>
      </c>
      <c r="S15" s="38">
        <f>'Rate Design'!$E$16</f>
        <v>-2.2540748595365632E-5</v>
      </c>
    </row>
    <row r="16" spans="1:20">
      <c r="B16" s="111" t="s">
        <v>124</v>
      </c>
      <c r="D16" s="38">
        <f>'Rate Design'!$F$17</f>
        <v>0</v>
      </c>
      <c r="E16" s="38">
        <f>'Rate Design'!$F$17</f>
        <v>0</v>
      </c>
      <c r="F16" s="38">
        <f>'Rate Design'!$F$17</f>
        <v>0</v>
      </c>
      <c r="G16" s="38">
        <f>'Rate Design'!$F$17</f>
        <v>0</v>
      </c>
      <c r="H16" s="38">
        <f>'Rate Design'!$F$11</f>
        <v>-7.447185439066752E-6</v>
      </c>
      <c r="I16" s="38">
        <f>'Rate Design'!$F$11</f>
        <v>-7.447185439066752E-6</v>
      </c>
      <c r="J16" s="38">
        <f>'Rate Design'!$F$11</f>
        <v>-7.447185439066752E-6</v>
      </c>
      <c r="K16" s="38">
        <f>'Rate Design'!$F$11</f>
        <v>-7.447185439066752E-6</v>
      </c>
      <c r="L16" s="38">
        <f>'Rate Design'!$F$11</f>
        <v>-7.447185439066752E-6</v>
      </c>
      <c r="M16" s="38">
        <f>'Rate Design'!$F$11</f>
        <v>-7.447185439066752E-6</v>
      </c>
      <c r="N16" s="38">
        <f>'Rate Design'!$F$11</f>
        <v>-7.447185439066752E-6</v>
      </c>
      <c r="O16" s="38">
        <f>'Rate Design'!$F$11</f>
        <v>-7.447185439066752E-6</v>
      </c>
      <c r="P16" s="38">
        <f>'Rate Design'!$F$11</f>
        <v>-7.447185439066752E-6</v>
      </c>
      <c r="Q16" s="38">
        <f>'Rate Design'!$F$11</f>
        <v>-7.447185439066752E-6</v>
      </c>
      <c r="R16" s="38">
        <f>'Rate Design'!$F$11</f>
        <v>-7.447185439066752E-6</v>
      </c>
      <c r="S16" s="38">
        <f>'Rate Design'!$F$11</f>
        <v>-7.447185439066752E-6</v>
      </c>
    </row>
    <row r="17" spans="1:21">
      <c r="B17" s="1" t="s">
        <v>125</v>
      </c>
      <c r="D17" s="38">
        <f>'Rate Design'!$G$17</f>
        <v>0</v>
      </c>
      <c r="E17" s="38">
        <f>'Rate Design'!$G$17</f>
        <v>0</v>
      </c>
      <c r="F17" s="38">
        <f>'Rate Design'!$G$17</f>
        <v>0</v>
      </c>
      <c r="G17" s="38">
        <f>'Rate Design'!$G$17</f>
        <v>0</v>
      </c>
      <c r="H17" s="38">
        <f>'Rate Design'!$G$16</f>
        <v>-1.5695676931530454E-5</v>
      </c>
      <c r="I17" s="38">
        <f>'Rate Design'!$G$16</f>
        <v>-1.5695676931530454E-5</v>
      </c>
      <c r="J17" s="38">
        <f>'Rate Design'!$G$16</f>
        <v>-1.5695676931530454E-5</v>
      </c>
      <c r="K17" s="38">
        <f>'Rate Design'!$G$16</f>
        <v>-1.5695676931530454E-5</v>
      </c>
      <c r="L17" s="38">
        <f>'Rate Design'!$G$16</f>
        <v>-1.5695676931530454E-5</v>
      </c>
      <c r="M17" s="38">
        <f>'Rate Design'!$G$16</f>
        <v>-1.5695676931530454E-5</v>
      </c>
      <c r="N17" s="38">
        <f>'Rate Design'!$G$16</f>
        <v>-1.5695676931530454E-5</v>
      </c>
      <c r="O17" s="38">
        <f>'Rate Design'!$G$16</f>
        <v>-1.5695676931530454E-5</v>
      </c>
      <c r="P17" s="38">
        <f>'Rate Design'!$G$16</f>
        <v>-1.5695676931530454E-5</v>
      </c>
      <c r="Q17" s="38">
        <f>'Rate Design'!$G$16</f>
        <v>-1.5695676931530454E-5</v>
      </c>
      <c r="R17" s="38">
        <f>'Rate Design'!$G$16</f>
        <v>-1.5695676931530454E-5</v>
      </c>
      <c r="S17" s="38">
        <f>'Rate Design'!$G$16</f>
        <v>-1.5695676931530454E-5</v>
      </c>
    </row>
    <row r="18" spans="1:21">
      <c r="B18" s="1" t="s">
        <v>126</v>
      </c>
      <c r="D18" s="38">
        <f>'Rate Design'!$H$17</f>
        <v>0</v>
      </c>
      <c r="E18" s="38">
        <f>'Rate Design'!$H$17</f>
        <v>0</v>
      </c>
      <c r="F18" s="38">
        <f>'Rate Design'!$H$17</f>
        <v>0</v>
      </c>
      <c r="G18" s="38">
        <f>'Rate Design'!$H$17</f>
        <v>0</v>
      </c>
      <c r="H18" s="38">
        <f>'Rate Design'!$H$16</f>
        <v>0</v>
      </c>
      <c r="I18" s="38">
        <f>'Rate Design'!$H$16</f>
        <v>0</v>
      </c>
      <c r="J18" s="38">
        <f>'Rate Design'!$H$16</f>
        <v>0</v>
      </c>
      <c r="K18" s="38">
        <f>'Rate Design'!$H$16</f>
        <v>0</v>
      </c>
      <c r="L18" s="38">
        <f>'Rate Design'!$H$16</f>
        <v>0</v>
      </c>
      <c r="M18" s="38">
        <f>'Rate Design'!$H$16</f>
        <v>0</v>
      </c>
      <c r="N18" s="38">
        <f>'Rate Design'!$H$16</f>
        <v>0</v>
      </c>
      <c r="O18" s="38">
        <f>'Rate Design'!$H$16</f>
        <v>0</v>
      </c>
      <c r="P18" s="38">
        <f>'Rate Design'!$H$16</f>
        <v>0</v>
      </c>
      <c r="Q18" s="38">
        <f>'Rate Design'!$H$16</f>
        <v>0</v>
      </c>
      <c r="R18" s="38">
        <f>'Rate Design'!$H$16</f>
        <v>0</v>
      </c>
      <c r="S18" s="38">
        <f>'Rate Design'!$H$16</f>
        <v>0</v>
      </c>
    </row>
    <row r="19" spans="1:21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1" spans="1:21">
      <c r="A21" s="152" t="s">
        <v>128</v>
      </c>
      <c r="D21" s="35">
        <f t="shared" ref="D21:S21" si="2">D4</f>
        <v>44743</v>
      </c>
      <c r="E21" s="35">
        <f t="shared" si="2"/>
        <v>44774</v>
      </c>
      <c r="F21" s="35">
        <f t="shared" si="2"/>
        <v>44805</v>
      </c>
      <c r="G21" s="35">
        <f t="shared" si="2"/>
        <v>44835</v>
      </c>
      <c r="H21" s="35">
        <f t="shared" si="2"/>
        <v>45231</v>
      </c>
      <c r="I21" s="35">
        <f t="shared" si="2"/>
        <v>45261</v>
      </c>
      <c r="J21" s="35">
        <f t="shared" si="2"/>
        <v>45292</v>
      </c>
      <c r="K21" s="35">
        <f t="shared" si="2"/>
        <v>45323</v>
      </c>
      <c r="L21" s="35">
        <f t="shared" si="2"/>
        <v>45352</v>
      </c>
      <c r="M21" s="35">
        <f t="shared" si="2"/>
        <v>45383</v>
      </c>
      <c r="N21" s="35">
        <f t="shared" si="2"/>
        <v>45413</v>
      </c>
      <c r="O21" s="35">
        <f t="shared" si="2"/>
        <v>45444</v>
      </c>
      <c r="P21" s="35">
        <f t="shared" si="2"/>
        <v>45474</v>
      </c>
      <c r="Q21" s="35">
        <f t="shared" si="2"/>
        <v>45505</v>
      </c>
      <c r="R21" s="35">
        <f t="shared" si="2"/>
        <v>45536</v>
      </c>
      <c r="S21" s="35">
        <f t="shared" si="2"/>
        <v>45566</v>
      </c>
    </row>
    <row r="22" spans="1:21">
      <c r="B22" s="1" t="s">
        <v>121</v>
      </c>
      <c r="D22" s="40">
        <f t="shared" ref="D22:S22" si="3">D5*D14</f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-990.13366000089025</v>
      </c>
      <c r="I22" s="40">
        <f t="shared" si="3"/>
        <v>-1483.657838188132</v>
      </c>
      <c r="J22" s="40">
        <f t="shared" si="3"/>
        <v>-1344.0448334036541</v>
      </c>
      <c r="K22" s="40">
        <f t="shared" si="3"/>
        <v>-1178.165089968865</v>
      </c>
      <c r="L22" s="40">
        <f t="shared" si="3"/>
        <v>-905.6811901783185</v>
      </c>
      <c r="M22" s="40">
        <f t="shared" si="3"/>
        <v>-568.07621737446141</v>
      </c>
      <c r="N22" s="40">
        <f t="shared" si="3"/>
        <v>-303.77238370656539</v>
      </c>
      <c r="O22" s="40">
        <f t="shared" si="3"/>
        <v>-189.90061227630287</v>
      </c>
      <c r="P22" s="40">
        <f t="shared" si="3"/>
        <v>-137.14785440506648</v>
      </c>
      <c r="Q22" s="40">
        <f t="shared" si="3"/>
        <v>-145.89648125221376</v>
      </c>
      <c r="R22" s="40">
        <f t="shared" si="3"/>
        <v>-206.24235214275691</v>
      </c>
      <c r="S22" s="40">
        <f t="shared" si="3"/>
        <v>-521.43261589504334</v>
      </c>
    </row>
    <row r="23" spans="1:21">
      <c r="B23" s="168" t="s">
        <v>138</v>
      </c>
      <c r="D23" s="40">
        <f t="shared" ref="D23:S23" si="4">D6*D15</f>
        <v>0</v>
      </c>
      <c r="E23" s="40">
        <f t="shared" si="4"/>
        <v>0</v>
      </c>
      <c r="F23" s="40">
        <f t="shared" si="4"/>
        <v>0</v>
      </c>
      <c r="G23" s="40">
        <f t="shared" si="4"/>
        <v>0</v>
      </c>
      <c r="H23" s="40">
        <f t="shared" si="4"/>
        <v>-175.23630420096163</v>
      </c>
      <c r="I23" s="40">
        <f t="shared" si="4"/>
        <v>-222.40277520576188</v>
      </c>
      <c r="J23" s="40">
        <f t="shared" si="4"/>
        <v>-202.92613370723728</v>
      </c>
      <c r="K23" s="40">
        <f t="shared" si="4"/>
        <v>-178.0845372684733</v>
      </c>
      <c r="L23" s="40">
        <f t="shared" si="4"/>
        <v>-144.42290453934513</v>
      </c>
      <c r="M23" s="40">
        <f t="shared" si="4"/>
        <v>-99.015430074914491</v>
      </c>
      <c r="N23" s="40">
        <f t="shared" si="4"/>
        <v>-60.679742056750442</v>
      </c>
      <c r="O23" s="40">
        <f t="shared" si="4"/>
        <v>-46.860075775033835</v>
      </c>
      <c r="P23" s="40">
        <f t="shared" si="4"/>
        <v>-39.335690206048277</v>
      </c>
      <c r="Q23" s="40">
        <f t="shared" si="4"/>
        <v>-40.731382649708145</v>
      </c>
      <c r="R23" s="40">
        <f t="shared" si="4"/>
        <v>-54.074888592097146</v>
      </c>
      <c r="S23" s="40">
        <f t="shared" si="4"/>
        <v>-114.92895435263141</v>
      </c>
    </row>
    <row r="24" spans="1:21">
      <c r="B24" s="111" t="s">
        <v>124</v>
      </c>
      <c r="D24" s="40">
        <f t="shared" ref="D24:S24" si="5">D7*D16</f>
        <v>0</v>
      </c>
      <c r="E24" s="40">
        <f t="shared" si="5"/>
        <v>0</v>
      </c>
      <c r="F24" s="40">
        <f t="shared" si="5"/>
        <v>0</v>
      </c>
      <c r="G24" s="40">
        <f t="shared" si="5"/>
        <v>0</v>
      </c>
      <c r="H24" s="40">
        <f t="shared" si="5"/>
        <v>-2.5891736214039573</v>
      </c>
      <c r="I24" s="40">
        <f t="shared" si="5"/>
        <v>-2.5888843591888739</v>
      </c>
      <c r="J24" s="40">
        <f t="shared" si="5"/>
        <v>-2.4567359375258313</v>
      </c>
      <c r="K24" s="40">
        <f t="shared" si="5"/>
        <v>-2.0613195091158114</v>
      </c>
      <c r="L24" s="40">
        <f t="shared" si="5"/>
        <v>-1.7800150680748896</v>
      </c>
      <c r="M24" s="40">
        <f t="shared" si="5"/>
        <v>-1.3371067625667883</v>
      </c>
      <c r="N24" s="40">
        <f t="shared" si="5"/>
        <v>-0.89869856760827593</v>
      </c>
      <c r="O24" s="40">
        <f t="shared" si="5"/>
        <v>-0.78775251610358332</v>
      </c>
      <c r="P24" s="40">
        <f t="shared" si="5"/>
        <v>-0.75599104444959897</v>
      </c>
      <c r="Q24" s="40">
        <f t="shared" si="5"/>
        <v>-0.73750375560494152</v>
      </c>
      <c r="R24" s="40">
        <f t="shared" si="5"/>
        <v>-0.89969325873437489</v>
      </c>
      <c r="S24" s="40">
        <f t="shared" si="5"/>
        <v>-1.869524202023694</v>
      </c>
    </row>
    <row r="25" spans="1:21">
      <c r="B25" s="1" t="s">
        <v>125</v>
      </c>
      <c r="D25" s="40">
        <f t="shared" ref="D25:S25" si="6">D8*D17</f>
        <v>0</v>
      </c>
      <c r="E25" s="40">
        <f t="shared" si="6"/>
        <v>0</v>
      </c>
      <c r="F25" s="40">
        <f t="shared" si="6"/>
        <v>0</v>
      </c>
      <c r="G25" s="40">
        <f t="shared" si="6"/>
        <v>0</v>
      </c>
      <c r="H25" s="40">
        <f t="shared" si="6"/>
        <v>-42.116241301729531</v>
      </c>
      <c r="I25" s="40">
        <f t="shared" si="6"/>
        <v>-48.505072422647416</v>
      </c>
      <c r="J25" s="40">
        <f t="shared" si="6"/>
        <v>-52.093104169195271</v>
      </c>
      <c r="K25" s="40">
        <f t="shared" si="6"/>
        <v>-54.160413169201014</v>
      </c>
      <c r="L25" s="40">
        <f t="shared" si="6"/>
        <v>-48.304591541200978</v>
      </c>
      <c r="M25" s="40">
        <f t="shared" si="6"/>
        <v>-47.324333734119172</v>
      </c>
      <c r="N25" s="40">
        <f t="shared" si="6"/>
        <v>-41.159950793322174</v>
      </c>
      <c r="O25" s="40">
        <f t="shared" si="6"/>
        <v>-36.901415423936264</v>
      </c>
      <c r="P25" s="40">
        <f t="shared" si="6"/>
        <v>-33.90851665960124</v>
      </c>
      <c r="Q25" s="40">
        <f t="shared" si="6"/>
        <v>-32.124498932532696</v>
      </c>
      <c r="R25" s="40">
        <f t="shared" si="6"/>
        <v>-33.146821153791002</v>
      </c>
      <c r="S25" s="40">
        <f t="shared" si="6"/>
        <v>-33.64269467508884</v>
      </c>
    </row>
    <row r="26" spans="1:21">
      <c r="B26" s="1" t="s">
        <v>126</v>
      </c>
      <c r="D26" s="40">
        <f t="shared" ref="D26:S26" si="7">D9*D18</f>
        <v>0</v>
      </c>
      <c r="E26" s="40">
        <f t="shared" si="7"/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  <c r="J26" s="40">
        <f t="shared" si="7"/>
        <v>0</v>
      </c>
      <c r="K26" s="40">
        <f t="shared" si="7"/>
        <v>0</v>
      </c>
      <c r="L26" s="40">
        <f t="shared" si="7"/>
        <v>0</v>
      </c>
      <c r="M26" s="40">
        <f t="shared" si="7"/>
        <v>0</v>
      </c>
      <c r="N26" s="40">
        <f t="shared" si="7"/>
        <v>0</v>
      </c>
      <c r="O26" s="40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0">
        <f t="shared" si="7"/>
        <v>0</v>
      </c>
    </row>
    <row r="27" spans="1:21">
      <c r="B27" s="1" t="s">
        <v>0</v>
      </c>
      <c r="D27" s="40">
        <f t="shared" ref="D27:S27" si="8">SUM(D22:D26)</f>
        <v>0</v>
      </c>
      <c r="E27" s="40">
        <f t="shared" si="8"/>
        <v>0</v>
      </c>
      <c r="F27" s="40">
        <f t="shared" si="8"/>
        <v>0</v>
      </c>
      <c r="G27" s="40">
        <f t="shared" si="8"/>
        <v>0</v>
      </c>
      <c r="H27" s="40">
        <f t="shared" si="8"/>
        <v>-1210.0753791249854</v>
      </c>
      <c r="I27" s="40">
        <f t="shared" si="8"/>
        <v>-1757.15457017573</v>
      </c>
      <c r="J27" s="40">
        <f t="shared" si="8"/>
        <v>-1601.5208072176124</v>
      </c>
      <c r="K27" s="40">
        <f t="shared" si="8"/>
        <v>-1412.4713599156551</v>
      </c>
      <c r="L27" s="40">
        <f t="shared" si="8"/>
        <v>-1100.1887013269395</v>
      </c>
      <c r="M27" s="40">
        <f t="shared" si="8"/>
        <v>-715.75308794606178</v>
      </c>
      <c r="N27" s="40">
        <f t="shared" si="8"/>
        <v>-406.51077512424632</v>
      </c>
      <c r="O27" s="40">
        <f t="shared" si="8"/>
        <v>-274.44985599137652</v>
      </c>
      <c r="P27" s="40">
        <f t="shared" si="8"/>
        <v>-211.14805231516559</v>
      </c>
      <c r="Q27" s="40">
        <f t="shared" si="8"/>
        <v>-219.48986659005953</v>
      </c>
      <c r="R27" s="40">
        <f t="shared" si="8"/>
        <v>-294.36375514737944</v>
      </c>
      <c r="S27" s="40">
        <f t="shared" si="8"/>
        <v>-671.87378912478732</v>
      </c>
      <c r="U27" s="41">
        <f>SUM(H27:S27)</f>
        <v>-9875.0000000000018</v>
      </c>
    </row>
    <row r="28" spans="1:21">
      <c r="B28" s="85"/>
      <c r="C28" s="78"/>
      <c r="D28" s="85"/>
    </row>
    <row r="29" spans="1:21" ht="36" customHeight="1">
      <c r="A29" s="152" t="s">
        <v>129</v>
      </c>
      <c r="B29" s="69"/>
      <c r="C29" s="78">
        <f>'CF WA Gas'!E21</f>
        <v>0.95628199999999997</v>
      </c>
      <c r="D29" s="35">
        <f t="shared" ref="D29:S29" si="9">D4</f>
        <v>44743</v>
      </c>
      <c r="E29" s="35">
        <f t="shared" si="9"/>
        <v>44774</v>
      </c>
      <c r="F29" s="35">
        <f t="shared" si="9"/>
        <v>44805</v>
      </c>
      <c r="G29" s="35">
        <f t="shared" si="9"/>
        <v>44835</v>
      </c>
      <c r="H29" s="35">
        <f t="shared" si="9"/>
        <v>45231</v>
      </c>
      <c r="I29" s="35">
        <f t="shared" si="9"/>
        <v>45261</v>
      </c>
      <c r="J29" s="35">
        <f t="shared" si="9"/>
        <v>45292</v>
      </c>
      <c r="K29" s="35">
        <f t="shared" si="9"/>
        <v>45323</v>
      </c>
      <c r="L29" s="35">
        <f t="shared" si="9"/>
        <v>45352</v>
      </c>
      <c r="M29" s="35">
        <f t="shared" si="9"/>
        <v>45383</v>
      </c>
      <c r="N29" s="35">
        <f t="shared" si="9"/>
        <v>45413</v>
      </c>
      <c r="O29" s="35">
        <f t="shared" si="9"/>
        <v>45444</v>
      </c>
      <c r="P29" s="35">
        <f t="shared" si="9"/>
        <v>45474</v>
      </c>
      <c r="Q29" s="35">
        <f t="shared" si="9"/>
        <v>45505</v>
      </c>
      <c r="R29" s="35">
        <f t="shared" si="9"/>
        <v>45536</v>
      </c>
      <c r="S29" s="35">
        <f t="shared" si="9"/>
        <v>45566</v>
      </c>
    </row>
    <row r="30" spans="1:21">
      <c r="B30" s="1" t="s">
        <v>121</v>
      </c>
      <c r="D30" s="40">
        <f t="shared" ref="D30:S30" si="10">D22*$C$29</f>
        <v>0</v>
      </c>
      <c r="E30" s="40">
        <f t="shared" si="10"/>
        <v>0</v>
      </c>
      <c r="F30" s="40">
        <f t="shared" si="10"/>
        <v>0</v>
      </c>
      <c r="G30" s="40">
        <f t="shared" si="10"/>
        <v>0</v>
      </c>
      <c r="H30" s="40">
        <f t="shared" si="10"/>
        <v>-946.84699665297126</v>
      </c>
      <c r="I30" s="40">
        <f t="shared" si="10"/>
        <v>-1418.7952848182233</v>
      </c>
      <c r="J30" s="40">
        <f t="shared" si="10"/>
        <v>-1285.285881376913</v>
      </c>
      <c r="K30" s="40">
        <f t="shared" si="10"/>
        <v>-1126.6580685656061</v>
      </c>
      <c r="L30" s="40">
        <f t="shared" si="10"/>
        <v>-866.08661990610278</v>
      </c>
      <c r="M30" s="40">
        <f t="shared" si="10"/>
        <v>-543.24106130328471</v>
      </c>
      <c r="N30" s="40">
        <f t="shared" si="10"/>
        <v>-290.49206263568175</v>
      </c>
      <c r="O30" s="40">
        <f t="shared" si="10"/>
        <v>-181.59853730880744</v>
      </c>
      <c r="P30" s="40">
        <f t="shared" si="10"/>
        <v>-131.15202450618577</v>
      </c>
      <c r="Q30" s="40">
        <f t="shared" si="10"/>
        <v>-139.51817888482947</v>
      </c>
      <c r="R30" s="40">
        <f t="shared" si="10"/>
        <v>-197.22584899177986</v>
      </c>
      <c r="S30" s="40">
        <f t="shared" si="10"/>
        <v>-498.6366247933438</v>
      </c>
    </row>
    <row r="31" spans="1:21">
      <c r="B31" s="168" t="s">
        <v>138</v>
      </c>
      <c r="D31" s="40">
        <f t="shared" ref="D31:S31" si="11">D23*$C$29</f>
        <v>0</v>
      </c>
      <c r="E31" s="40">
        <f t="shared" si="11"/>
        <v>0</v>
      </c>
      <c r="F31" s="40">
        <f t="shared" si="11"/>
        <v>0</v>
      </c>
      <c r="G31" s="40">
        <f t="shared" si="11"/>
        <v>0</v>
      </c>
      <c r="H31" s="40">
        <f t="shared" si="11"/>
        <v>-167.57532345390399</v>
      </c>
      <c r="I31" s="40">
        <f t="shared" si="11"/>
        <v>-212.67977067931639</v>
      </c>
      <c r="J31" s="40">
        <f t="shared" si="11"/>
        <v>-194.05460899382427</v>
      </c>
      <c r="K31" s="40">
        <f t="shared" si="11"/>
        <v>-170.29903746817018</v>
      </c>
      <c r="L31" s="40">
        <f t="shared" si="11"/>
        <v>-138.10902399869403</v>
      </c>
      <c r="M31" s="40">
        <f t="shared" si="11"/>
        <v>-94.686673502899382</v>
      </c>
      <c r="N31" s="40">
        <f t="shared" si="11"/>
        <v>-58.026945093513426</v>
      </c>
      <c r="O31" s="40">
        <f t="shared" si="11"/>
        <v>-44.8114469823009</v>
      </c>
      <c r="P31" s="40">
        <f t="shared" si="11"/>
        <v>-37.616012501620254</v>
      </c>
      <c r="Q31" s="40">
        <f t="shared" si="11"/>
        <v>-38.950688063028203</v>
      </c>
      <c r="R31" s="40">
        <f t="shared" si="11"/>
        <v>-51.710842612627843</v>
      </c>
      <c r="S31" s="40">
        <f t="shared" si="11"/>
        <v>-109.90449032624306</v>
      </c>
    </row>
    <row r="32" spans="1:21">
      <c r="B32" s="111" t="s">
        <v>124</v>
      </c>
      <c r="D32" s="40"/>
      <c r="E32" s="40"/>
      <c r="F32" s="40"/>
      <c r="G32" s="40"/>
      <c r="H32" s="40">
        <f t="shared" ref="H32:S32" si="12">H24*$C$29</f>
        <v>-2.4759801290234189</v>
      </c>
      <c r="I32" s="40">
        <f t="shared" si="12"/>
        <v>-2.4757035127738547</v>
      </c>
      <c r="J32" s="40">
        <f t="shared" si="12"/>
        <v>-2.3493323558090768</v>
      </c>
      <c r="K32" s="40">
        <f t="shared" si="12"/>
        <v>-1.9712027428162864</v>
      </c>
      <c r="L32" s="40">
        <f t="shared" si="12"/>
        <v>-1.7021963693287916</v>
      </c>
      <c r="M32" s="40">
        <f t="shared" si="12"/>
        <v>-1.2786511291208933</v>
      </c>
      <c r="N32" s="40">
        <f t="shared" si="12"/>
        <v>-0.85940926362957726</v>
      </c>
      <c r="O32" s="40">
        <f t="shared" si="12"/>
        <v>-0.75331355160456681</v>
      </c>
      <c r="P32" s="40">
        <f t="shared" si="12"/>
        <v>-0.72294062796835135</v>
      </c>
      <c r="Q32" s="40">
        <f t="shared" si="12"/>
        <v>-0.70526156641740467</v>
      </c>
      <c r="R32" s="40">
        <f t="shared" si="12"/>
        <v>-0.86036046884902551</v>
      </c>
      <c r="S32" s="40">
        <f t="shared" si="12"/>
        <v>-1.7877923429596221</v>
      </c>
    </row>
    <row r="33" spans="2:21">
      <c r="B33" s="1" t="s">
        <v>125</v>
      </c>
      <c r="D33" s="40">
        <f t="shared" ref="D33:G34" si="13">D25*$C$29</f>
        <v>0</v>
      </c>
      <c r="E33" s="40">
        <f t="shared" si="13"/>
        <v>0</v>
      </c>
      <c r="F33" s="40">
        <f t="shared" si="13"/>
        <v>0</v>
      </c>
      <c r="G33" s="40">
        <f t="shared" si="13"/>
        <v>0</v>
      </c>
      <c r="H33" s="40">
        <f t="shared" ref="H33:S33" si="14">H25*$C$29</f>
        <v>-40.275003464500514</v>
      </c>
      <c r="I33" s="40">
        <f t="shared" si="14"/>
        <v>-46.384527666474114</v>
      </c>
      <c r="J33" s="40">
        <f t="shared" si="14"/>
        <v>-49.815697841126394</v>
      </c>
      <c r="K33" s="40">
        <f t="shared" si="14"/>
        <v>-51.792628226269883</v>
      </c>
      <c r="L33" s="40">
        <f t="shared" si="14"/>
        <v>-46.192811408202751</v>
      </c>
      <c r="M33" s="40">
        <f t="shared" si="14"/>
        <v>-45.255408511930945</v>
      </c>
      <c r="N33" s="40">
        <f t="shared" si="14"/>
        <v>-39.360520064539713</v>
      </c>
      <c r="O33" s="40">
        <f t="shared" si="14"/>
        <v>-35.288159344432614</v>
      </c>
      <c r="P33" s="40">
        <f t="shared" si="14"/>
        <v>-32.426104128276791</v>
      </c>
      <c r="Q33" s="40">
        <f t="shared" si="14"/>
        <v>-30.720080088200231</v>
      </c>
      <c r="R33" s="40">
        <f t="shared" si="14"/>
        <v>-31.697708426589568</v>
      </c>
      <c r="S33" s="40">
        <f t="shared" si="14"/>
        <v>-32.171903349283305</v>
      </c>
    </row>
    <row r="34" spans="2:21">
      <c r="B34" s="1" t="s">
        <v>126</v>
      </c>
      <c r="D34" s="42">
        <f t="shared" si="13"/>
        <v>0</v>
      </c>
      <c r="E34" s="42">
        <f t="shared" si="13"/>
        <v>0</v>
      </c>
      <c r="F34" s="42">
        <f t="shared" si="13"/>
        <v>0</v>
      </c>
      <c r="G34" s="42">
        <f t="shared" si="13"/>
        <v>0</v>
      </c>
      <c r="H34" s="42">
        <f t="shared" ref="H34:S34" si="15">H26*$C$29</f>
        <v>0</v>
      </c>
      <c r="I34" s="42">
        <f t="shared" si="15"/>
        <v>0</v>
      </c>
      <c r="J34" s="42">
        <f t="shared" si="15"/>
        <v>0</v>
      </c>
      <c r="K34" s="42">
        <f t="shared" si="15"/>
        <v>0</v>
      </c>
      <c r="L34" s="42">
        <f t="shared" si="15"/>
        <v>0</v>
      </c>
      <c r="M34" s="42">
        <f t="shared" si="15"/>
        <v>0</v>
      </c>
      <c r="N34" s="42">
        <f t="shared" si="15"/>
        <v>0</v>
      </c>
      <c r="O34" s="42">
        <f t="shared" si="15"/>
        <v>0</v>
      </c>
      <c r="P34" s="42">
        <f t="shared" si="15"/>
        <v>0</v>
      </c>
      <c r="Q34" s="42">
        <f t="shared" si="15"/>
        <v>0</v>
      </c>
      <c r="R34" s="42">
        <f t="shared" si="15"/>
        <v>0</v>
      </c>
      <c r="S34" s="42">
        <f t="shared" si="15"/>
        <v>0</v>
      </c>
    </row>
    <row r="35" spans="2:21">
      <c r="B35" s="1" t="s">
        <v>0</v>
      </c>
      <c r="C35" s="32"/>
      <c r="D35" s="41">
        <f>SUM(D30:D34)</f>
        <v>0</v>
      </c>
      <c r="E35" s="41">
        <f>SUM(E30:E34)</f>
        <v>0</v>
      </c>
      <c r="F35" s="41">
        <f>SUM(F30:F34)</f>
        <v>0</v>
      </c>
      <c r="G35" s="41">
        <f t="shared" ref="G35:S35" si="16">SUM(G30:G34)</f>
        <v>0</v>
      </c>
      <c r="H35" s="41">
        <f>SUM(H30:H34)</f>
        <v>-1157.1733037003992</v>
      </c>
      <c r="I35" s="41">
        <f t="shared" si="16"/>
        <v>-1680.3352866767875</v>
      </c>
      <c r="J35" s="41">
        <f t="shared" si="16"/>
        <v>-1531.5055205676729</v>
      </c>
      <c r="K35" s="41">
        <f t="shared" si="16"/>
        <v>-1350.7209370028625</v>
      </c>
      <c r="L35" s="41">
        <f t="shared" si="16"/>
        <v>-1052.0906516823284</v>
      </c>
      <c r="M35" s="41">
        <f t="shared" si="16"/>
        <v>-684.46179444723589</v>
      </c>
      <c r="N35" s="41">
        <f t="shared" si="16"/>
        <v>-388.73893705736441</v>
      </c>
      <c r="O35" s="41">
        <f t="shared" si="16"/>
        <v>-262.45145718714554</v>
      </c>
      <c r="P35" s="41">
        <f t="shared" si="16"/>
        <v>-201.91708176405115</v>
      </c>
      <c r="Q35" s="41">
        <f t="shared" si="16"/>
        <v>-209.89420860247529</v>
      </c>
      <c r="R35" s="41">
        <f t="shared" si="16"/>
        <v>-281.49476049984628</v>
      </c>
      <c r="S35" s="41">
        <f t="shared" si="16"/>
        <v>-642.50081081182975</v>
      </c>
      <c r="U35" s="41">
        <f>SUM(H35:S35)</f>
        <v>-9443.2847499999971</v>
      </c>
    </row>
    <row r="36" spans="2:21">
      <c r="C36" s="58"/>
    </row>
    <row r="37" spans="2:21">
      <c r="C37" s="58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U37" s="41">
        <f>U27-U35</f>
        <v>-431.71525000000474</v>
      </c>
    </row>
    <row r="39" spans="2:21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</sheetData>
  <mergeCells count="2">
    <mergeCell ref="D13:G13"/>
    <mergeCell ref="H13:S13"/>
  </mergeCells>
  <phoneticPr fontId="48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72"/>
  <sheetViews>
    <sheetView workbookViewId="0">
      <selection activeCell="K30" sqref="K30"/>
    </sheetView>
  </sheetViews>
  <sheetFormatPr defaultColWidth="9.1796875" defaultRowHeight="14.5"/>
  <cols>
    <col min="1" max="1" width="16.54296875" style="47" customWidth="1"/>
    <col min="2" max="9" width="11.54296875" style="47" bestFit="1" customWidth="1"/>
    <col min="10" max="11" width="10.54296875" style="47" bestFit="1" customWidth="1"/>
    <col min="12" max="13" width="11.54296875" style="47" bestFit="1" customWidth="1"/>
    <col min="14" max="14" width="15.54296875" style="47" customWidth="1"/>
    <col min="15" max="15" width="9.26953125" style="47" bestFit="1" customWidth="1"/>
    <col min="16" max="16" width="14.54296875" style="47" customWidth="1"/>
    <col min="17" max="16384" width="9.1796875" style="47"/>
  </cols>
  <sheetData>
    <row r="1" spans="1:16">
      <c r="A1" s="146" t="s">
        <v>90</v>
      </c>
    </row>
    <row r="3" spans="1:16">
      <c r="A3" s="2" t="s">
        <v>22</v>
      </c>
    </row>
    <row r="4" spans="1:16">
      <c r="A4" s="47" t="s">
        <v>36</v>
      </c>
    </row>
    <row r="6" spans="1:16">
      <c r="B6" s="48">
        <v>45231</v>
      </c>
      <c r="C6" s="48">
        <v>45261</v>
      </c>
      <c r="D6" s="48">
        <v>45292</v>
      </c>
      <c r="E6" s="48">
        <v>45323</v>
      </c>
      <c r="F6" s="48">
        <v>45352</v>
      </c>
      <c r="G6" s="48">
        <v>45383</v>
      </c>
      <c r="H6" s="48">
        <v>45413</v>
      </c>
      <c r="I6" s="48">
        <v>45444</v>
      </c>
      <c r="J6" s="48">
        <v>45474</v>
      </c>
      <c r="K6" s="48">
        <v>45505</v>
      </c>
      <c r="L6" s="48">
        <v>45536</v>
      </c>
      <c r="M6" s="48">
        <v>45566</v>
      </c>
      <c r="N6" s="49" t="s">
        <v>0</v>
      </c>
    </row>
    <row r="7" spans="1:16">
      <c r="A7" s="50" t="s">
        <v>121</v>
      </c>
      <c r="B7" s="145">
        <v>16896724.585724</v>
      </c>
      <c r="C7" s="145">
        <v>25318761.379441429</v>
      </c>
      <c r="D7" s="145">
        <v>22936252.243829809</v>
      </c>
      <c r="E7" s="145">
        <v>20105498.728020974</v>
      </c>
      <c r="F7" s="145">
        <v>15455535.198045896</v>
      </c>
      <c r="G7" s="145">
        <v>9694274.395910874</v>
      </c>
      <c r="H7" s="145">
        <v>5183904.46824532</v>
      </c>
      <c r="I7" s="145">
        <v>3240671.9152343152</v>
      </c>
      <c r="J7" s="145">
        <v>2340441.1111559412</v>
      </c>
      <c r="K7" s="145">
        <v>2489737.256021257</v>
      </c>
      <c r="L7" s="145">
        <v>3519545.2521682116</v>
      </c>
      <c r="M7" s="145">
        <v>8898296.9236539602</v>
      </c>
      <c r="N7" s="52">
        <f>SUM(B7:M7)</f>
        <v>136079643.457452</v>
      </c>
      <c r="P7" s="64"/>
    </row>
    <row r="8" spans="1:16">
      <c r="A8" s="50" t="s">
        <v>122</v>
      </c>
      <c r="B8" s="145">
        <v>7705945.5661882907</v>
      </c>
      <c r="C8" s="145">
        <v>9797127.9517010469</v>
      </c>
      <c r="D8" s="145">
        <v>8938966.3986753449</v>
      </c>
      <c r="E8" s="145">
        <v>7838869.9781867638</v>
      </c>
      <c r="F8" s="145">
        <v>6354425.0969351623</v>
      </c>
      <c r="G8" s="145">
        <v>4350960.9671011157</v>
      </c>
      <c r="H8" s="145">
        <v>2662882.1370576401</v>
      </c>
      <c r="I8" s="145">
        <v>2053543.3142675646</v>
      </c>
      <c r="J8" s="145">
        <v>1722905.7282588359</v>
      </c>
      <c r="K8" s="145">
        <v>1784385.616361862</v>
      </c>
      <c r="L8" s="145">
        <v>2372198.3609133409</v>
      </c>
      <c r="M8" s="145">
        <v>5049356.6423460506</v>
      </c>
      <c r="N8" s="52">
        <f t="shared" ref="N8:N12" si="0">SUM(B8:M8)</f>
        <v>60631567.757993028</v>
      </c>
      <c r="P8" s="64"/>
    </row>
    <row r="9" spans="1:16">
      <c r="A9" s="50" t="s">
        <v>123</v>
      </c>
      <c r="B9" s="145">
        <v>68255.164527020141</v>
      </c>
      <c r="C9" s="145">
        <v>69570.763508783013</v>
      </c>
      <c r="D9" s="145">
        <v>63668.666823712752</v>
      </c>
      <c r="E9" s="145">
        <v>61690.046030328544</v>
      </c>
      <c r="F9" s="145">
        <v>52766.923698899664</v>
      </c>
      <c r="G9" s="145">
        <v>41769.365522886255</v>
      </c>
      <c r="H9" s="145">
        <v>29119.940869184575</v>
      </c>
      <c r="I9" s="145">
        <v>25361.721950631145</v>
      </c>
      <c r="J9" s="145">
        <v>22186.722403413907</v>
      </c>
      <c r="K9" s="145">
        <v>22625.471907074054</v>
      </c>
      <c r="L9" s="145">
        <v>26785.344677293979</v>
      </c>
      <c r="M9" s="145">
        <v>49362.855206961009</v>
      </c>
      <c r="N9" s="52">
        <f t="shared" si="0"/>
        <v>533162.98712618905</v>
      </c>
      <c r="P9" s="64"/>
    </row>
    <row r="10" spans="1:16">
      <c r="A10" s="50" t="s">
        <v>124</v>
      </c>
      <c r="B10" s="145">
        <v>347671.43138689199</v>
      </c>
      <c r="C10" s="145">
        <v>347632.58956974506</v>
      </c>
      <c r="D10" s="145">
        <v>329887.84254494117</v>
      </c>
      <c r="E10" s="145">
        <v>276791.75253276987</v>
      </c>
      <c r="F10" s="145">
        <v>239018.49667086484</v>
      </c>
      <c r="G10" s="145">
        <v>179545.24880668859</v>
      </c>
      <c r="H10" s="145">
        <v>120676.27091623716</v>
      </c>
      <c r="I10" s="145">
        <v>105778.55520706638</v>
      </c>
      <c r="J10" s="145">
        <v>101513.6591716637</v>
      </c>
      <c r="K10" s="145">
        <v>99031.206036056785</v>
      </c>
      <c r="L10" s="145">
        <v>120809.83696400616</v>
      </c>
      <c r="M10" s="145">
        <v>251037.68629373278</v>
      </c>
      <c r="N10" s="52">
        <f t="shared" si="0"/>
        <v>2519394.5761006647</v>
      </c>
      <c r="P10" s="64"/>
    </row>
    <row r="11" spans="1:16">
      <c r="A11" s="50" t="s">
        <v>125</v>
      </c>
      <c r="B11" s="145">
        <v>2683302</v>
      </c>
      <c r="C11" s="145">
        <v>3090346</v>
      </c>
      <c r="D11" s="145">
        <v>3318946</v>
      </c>
      <c r="E11" s="145">
        <v>3450658</v>
      </c>
      <c r="F11" s="145">
        <v>3077573</v>
      </c>
      <c r="G11" s="145">
        <v>3015119</v>
      </c>
      <c r="H11" s="145">
        <v>2622375</v>
      </c>
      <c r="I11" s="145">
        <v>2351056</v>
      </c>
      <c r="J11" s="145">
        <v>2160373</v>
      </c>
      <c r="K11" s="145">
        <v>2046710</v>
      </c>
      <c r="L11" s="145">
        <v>2111844</v>
      </c>
      <c r="M11" s="145">
        <v>2143437</v>
      </c>
      <c r="N11" s="52">
        <f t="shared" si="0"/>
        <v>32071739</v>
      </c>
      <c r="P11" s="64"/>
    </row>
    <row r="12" spans="1:16">
      <c r="A12" s="50" t="s">
        <v>126</v>
      </c>
      <c r="B12" s="145">
        <v>4012777</v>
      </c>
      <c r="C12" s="145">
        <v>4389174</v>
      </c>
      <c r="D12" s="145">
        <v>4792623</v>
      </c>
      <c r="E12" s="145">
        <v>4825009</v>
      </c>
      <c r="F12" s="145">
        <v>4352849</v>
      </c>
      <c r="G12" s="145">
        <v>4317680</v>
      </c>
      <c r="H12" s="145">
        <v>3939169</v>
      </c>
      <c r="I12" s="145">
        <v>3656651</v>
      </c>
      <c r="J12" s="145">
        <v>3480246</v>
      </c>
      <c r="K12" s="145">
        <v>3310149</v>
      </c>
      <c r="L12" s="145">
        <v>3431054</v>
      </c>
      <c r="M12" s="145">
        <v>3507041</v>
      </c>
      <c r="N12" s="52">
        <f t="shared" si="0"/>
        <v>48014422</v>
      </c>
      <c r="P12" s="64"/>
    </row>
    <row r="13" spans="1:16">
      <c r="A13" s="50" t="s">
        <v>0</v>
      </c>
      <c r="B13" s="52">
        <f t="shared" ref="B13:N13" si="1">SUM(B7:B12)</f>
        <v>31714675.747826204</v>
      </c>
      <c r="C13" s="52">
        <f t="shared" si="1"/>
        <v>43012612.684221007</v>
      </c>
      <c r="D13" s="52">
        <f t="shared" si="1"/>
        <v>40380344.151873805</v>
      </c>
      <c r="E13" s="52">
        <f t="shared" si="1"/>
        <v>36558517.50477083</v>
      </c>
      <c r="F13" s="52">
        <f t="shared" si="1"/>
        <v>29532167.715350822</v>
      </c>
      <c r="G13" s="52">
        <f t="shared" si="1"/>
        <v>21599348.977341563</v>
      </c>
      <c r="H13" s="52">
        <f t="shared" si="1"/>
        <v>14558126.81708838</v>
      </c>
      <c r="I13" s="52">
        <f t="shared" si="1"/>
        <v>11433062.506659579</v>
      </c>
      <c r="J13" s="52">
        <f t="shared" si="1"/>
        <v>9827666.220989855</v>
      </c>
      <c r="K13" s="52">
        <f t="shared" si="1"/>
        <v>9752638.5503262505</v>
      </c>
      <c r="L13" s="52">
        <f t="shared" si="1"/>
        <v>11582236.794722851</v>
      </c>
      <c r="M13" s="52">
        <f t="shared" si="1"/>
        <v>19898532.107500702</v>
      </c>
      <c r="N13" s="52">
        <f t="shared" si="1"/>
        <v>279849929.77867192</v>
      </c>
    </row>
    <row r="14" spans="1:16">
      <c r="A14" s="8"/>
      <c r="B14" s="8"/>
      <c r="F14" s="8"/>
      <c r="N14" s="51"/>
    </row>
    <row r="15" spans="1:16">
      <c r="A15" s="2" t="s">
        <v>23</v>
      </c>
    </row>
    <row r="16" spans="1:16">
      <c r="A16" s="47" t="s">
        <v>37</v>
      </c>
      <c r="F16" s="62"/>
    </row>
    <row r="18" spans="1:17">
      <c r="B18" s="48">
        <f t="shared" ref="B18:M18" si="2">B6</f>
        <v>45231</v>
      </c>
      <c r="C18" s="48">
        <f t="shared" si="2"/>
        <v>45261</v>
      </c>
      <c r="D18" s="48">
        <f t="shared" si="2"/>
        <v>45292</v>
      </c>
      <c r="E18" s="48">
        <f t="shared" si="2"/>
        <v>45323</v>
      </c>
      <c r="F18" s="48">
        <f t="shared" si="2"/>
        <v>45352</v>
      </c>
      <c r="G18" s="48">
        <f t="shared" si="2"/>
        <v>45383</v>
      </c>
      <c r="H18" s="48">
        <f t="shared" si="2"/>
        <v>45413</v>
      </c>
      <c r="I18" s="48">
        <f t="shared" si="2"/>
        <v>45444</v>
      </c>
      <c r="J18" s="48">
        <f t="shared" si="2"/>
        <v>45474</v>
      </c>
      <c r="K18" s="48">
        <f t="shared" si="2"/>
        <v>45505</v>
      </c>
      <c r="L18" s="48">
        <f t="shared" si="2"/>
        <v>45536</v>
      </c>
      <c r="M18" s="48">
        <f t="shared" si="2"/>
        <v>45566</v>
      </c>
      <c r="N18" s="49" t="s">
        <v>0</v>
      </c>
    </row>
    <row r="19" spans="1:17">
      <c r="A19" s="50" t="s">
        <v>121</v>
      </c>
      <c r="B19" s="145">
        <v>174395.2350514209</v>
      </c>
      <c r="C19" s="145">
        <v>175133.50851500829</v>
      </c>
      <c r="D19" s="145">
        <v>173982.97209642892</v>
      </c>
      <c r="E19" s="145">
        <v>174081.80893970595</v>
      </c>
      <c r="F19" s="145">
        <v>173992.90120756865</v>
      </c>
      <c r="G19" s="145">
        <v>174193.23549731745</v>
      </c>
      <c r="H19" s="145">
        <v>174103.36811276607</v>
      </c>
      <c r="I19" s="145">
        <v>174163.68928879377</v>
      </c>
      <c r="J19" s="145">
        <v>174156.07659367422</v>
      </c>
      <c r="K19" s="145">
        <v>174545.2972348044</v>
      </c>
      <c r="L19" s="145">
        <v>174426.59490590837</v>
      </c>
      <c r="M19" s="145">
        <v>175006.9887026361</v>
      </c>
      <c r="N19" s="52">
        <f>SUM(B19:M19)</f>
        <v>2092181.6761460332</v>
      </c>
      <c r="P19" s="64"/>
      <c r="Q19" s="66"/>
    </row>
    <row r="20" spans="1:17">
      <c r="A20" s="50" t="s">
        <v>122</v>
      </c>
      <c r="B20" s="145">
        <v>3390.4179425376601</v>
      </c>
      <c r="C20" s="145">
        <v>3393.202771082465</v>
      </c>
      <c r="D20" s="145">
        <v>3387.8030020060037</v>
      </c>
      <c r="E20" s="145">
        <v>3387.8030020060037</v>
      </c>
      <c r="F20" s="145">
        <v>3387.8030020060037</v>
      </c>
      <c r="G20" s="145">
        <v>3387.8030020060037</v>
      </c>
      <c r="H20" s="145">
        <v>3387.8030020060037</v>
      </c>
      <c r="I20" s="145">
        <v>3387.8030020060037</v>
      </c>
      <c r="J20" s="145">
        <v>3387.8030020060037</v>
      </c>
      <c r="K20" s="145">
        <v>3387.8030020060037</v>
      </c>
      <c r="L20" s="145">
        <v>3387.8030020060037</v>
      </c>
      <c r="M20" s="145">
        <v>3387.8030020060037</v>
      </c>
      <c r="N20" s="52">
        <f t="shared" ref="N20:N24" si="3">SUM(B20:M20)</f>
        <v>40661.650733680159</v>
      </c>
      <c r="P20" s="64"/>
      <c r="Q20" s="66"/>
    </row>
    <row r="21" spans="1:17">
      <c r="A21" s="50" t="s">
        <v>123</v>
      </c>
      <c r="B21" s="145">
        <v>2</v>
      </c>
      <c r="C21" s="145">
        <v>2</v>
      </c>
      <c r="D21" s="145">
        <v>2</v>
      </c>
      <c r="E21" s="145">
        <v>2</v>
      </c>
      <c r="F21" s="145">
        <v>2</v>
      </c>
      <c r="G21" s="145">
        <v>2</v>
      </c>
      <c r="H21" s="145">
        <v>2</v>
      </c>
      <c r="I21" s="145">
        <v>2</v>
      </c>
      <c r="J21" s="145">
        <v>2</v>
      </c>
      <c r="K21" s="145">
        <v>2</v>
      </c>
      <c r="L21" s="145">
        <v>2</v>
      </c>
      <c r="M21" s="145">
        <v>2</v>
      </c>
      <c r="N21" s="52">
        <f t="shared" si="3"/>
        <v>24</v>
      </c>
      <c r="P21" s="64"/>
      <c r="Q21" s="66"/>
    </row>
    <row r="22" spans="1:17">
      <c r="A22" s="50" t="s">
        <v>124</v>
      </c>
      <c r="B22" s="145">
        <v>5</v>
      </c>
      <c r="C22" s="145">
        <v>5</v>
      </c>
      <c r="D22" s="145">
        <v>5</v>
      </c>
      <c r="E22" s="145">
        <v>5</v>
      </c>
      <c r="F22" s="145">
        <v>5</v>
      </c>
      <c r="G22" s="145">
        <v>5</v>
      </c>
      <c r="H22" s="145">
        <v>5</v>
      </c>
      <c r="I22" s="145">
        <v>5</v>
      </c>
      <c r="J22" s="145">
        <v>5</v>
      </c>
      <c r="K22" s="145">
        <v>5</v>
      </c>
      <c r="L22" s="145">
        <v>5</v>
      </c>
      <c r="M22" s="145">
        <v>5</v>
      </c>
      <c r="N22" s="52">
        <f t="shared" si="3"/>
        <v>60</v>
      </c>
      <c r="P22" s="64"/>
      <c r="Q22" s="66"/>
    </row>
    <row r="23" spans="1:17">
      <c r="A23" s="50" t="s">
        <v>125</v>
      </c>
      <c r="B23" s="145">
        <v>35</v>
      </c>
      <c r="C23" s="145">
        <v>35</v>
      </c>
      <c r="D23" s="145">
        <v>35</v>
      </c>
      <c r="E23" s="145">
        <v>35</v>
      </c>
      <c r="F23" s="145">
        <v>35</v>
      </c>
      <c r="G23" s="145">
        <v>35</v>
      </c>
      <c r="H23" s="145">
        <v>35</v>
      </c>
      <c r="I23" s="145">
        <v>35</v>
      </c>
      <c r="J23" s="145">
        <v>35</v>
      </c>
      <c r="K23" s="145">
        <v>35</v>
      </c>
      <c r="L23" s="145">
        <v>35</v>
      </c>
      <c r="M23" s="145">
        <v>35</v>
      </c>
      <c r="N23" s="52">
        <f t="shared" si="3"/>
        <v>420</v>
      </c>
      <c r="P23" s="64"/>
      <c r="Q23" s="66"/>
    </row>
    <row r="24" spans="1:17">
      <c r="A24" s="50" t="s">
        <v>126</v>
      </c>
      <c r="B24" s="145">
        <v>5</v>
      </c>
      <c r="C24" s="145">
        <v>5</v>
      </c>
      <c r="D24" s="145">
        <v>5</v>
      </c>
      <c r="E24" s="145">
        <v>5</v>
      </c>
      <c r="F24" s="145">
        <v>5</v>
      </c>
      <c r="G24" s="145">
        <v>5</v>
      </c>
      <c r="H24" s="145">
        <v>5</v>
      </c>
      <c r="I24" s="145">
        <v>5</v>
      </c>
      <c r="J24" s="145">
        <v>5</v>
      </c>
      <c r="K24" s="145">
        <v>5</v>
      </c>
      <c r="L24" s="145">
        <v>5</v>
      </c>
      <c r="M24" s="145">
        <v>5</v>
      </c>
      <c r="N24" s="52">
        <f t="shared" si="3"/>
        <v>60</v>
      </c>
      <c r="P24" s="64"/>
      <c r="Q24" s="66"/>
    </row>
    <row r="25" spans="1:17">
      <c r="A25" s="50" t="s">
        <v>0</v>
      </c>
      <c r="B25" s="52">
        <f t="shared" ref="B25:N25" si="4">SUM(B19:B24)</f>
        <v>177832.65299395856</v>
      </c>
      <c r="C25" s="52">
        <f t="shared" si="4"/>
        <v>178573.71128609075</v>
      </c>
      <c r="D25" s="52">
        <f t="shared" si="4"/>
        <v>177417.77509843491</v>
      </c>
      <c r="E25" s="52">
        <f t="shared" si="4"/>
        <v>177516.61194171195</v>
      </c>
      <c r="F25" s="52">
        <f t="shared" si="4"/>
        <v>177427.70420957464</v>
      </c>
      <c r="G25" s="52">
        <f t="shared" si="4"/>
        <v>177628.03849932345</v>
      </c>
      <c r="H25" s="52">
        <f t="shared" si="4"/>
        <v>177538.17111477206</v>
      </c>
      <c r="I25" s="52">
        <f t="shared" si="4"/>
        <v>177598.49229079977</v>
      </c>
      <c r="J25" s="52">
        <f t="shared" si="4"/>
        <v>177590.87959568022</v>
      </c>
      <c r="K25" s="52">
        <f t="shared" si="4"/>
        <v>177980.10023681039</v>
      </c>
      <c r="L25" s="52">
        <f t="shared" si="4"/>
        <v>177861.39790791436</v>
      </c>
      <c r="M25" s="52">
        <f t="shared" si="4"/>
        <v>178441.79170464209</v>
      </c>
      <c r="N25" s="52">
        <f t="shared" si="4"/>
        <v>2133407.3268797132</v>
      </c>
    </row>
    <row r="26" spans="1:17">
      <c r="A26" s="8"/>
      <c r="N26" s="51"/>
    </row>
    <row r="28" spans="1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2:13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2:13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J18" sqref="J18"/>
    </sheetView>
  </sheetViews>
  <sheetFormatPr defaultRowHeight="14.5"/>
  <cols>
    <col min="1" max="1" width="30.81640625" style="55" customWidth="1"/>
    <col min="2" max="2" width="9.1796875" style="55" customWidth="1"/>
    <col min="3" max="3" width="9.7265625" style="55" customWidth="1"/>
    <col min="4" max="4" width="15.1796875" style="55" customWidth="1"/>
    <col min="5" max="5" width="11.81640625" style="55" bestFit="1" customWidth="1"/>
    <col min="6" max="8" width="9.1796875" style="55"/>
    <col min="9" max="9" width="9.453125" style="55" customWidth="1"/>
    <col min="10" max="255" width="9.1796875" style="55"/>
    <col min="256" max="256" width="30.81640625" style="55" customWidth="1"/>
    <col min="257" max="257" width="9.1796875" style="55" customWidth="1"/>
    <col min="258" max="258" width="9.7265625" style="55" customWidth="1"/>
    <col min="259" max="259" width="15.1796875" style="55" customWidth="1"/>
    <col min="260" max="260" width="12" style="55" customWidth="1"/>
    <col min="261" max="264" width="9.1796875" style="55"/>
    <col min="265" max="265" width="9.453125" style="55" customWidth="1"/>
    <col min="266" max="511" width="9.1796875" style="55"/>
    <col min="512" max="512" width="30.81640625" style="55" customWidth="1"/>
    <col min="513" max="513" width="9.1796875" style="55" customWidth="1"/>
    <col min="514" max="514" width="9.7265625" style="55" customWidth="1"/>
    <col min="515" max="515" width="15.1796875" style="55" customWidth="1"/>
    <col min="516" max="516" width="12" style="55" customWidth="1"/>
    <col min="517" max="520" width="9.1796875" style="55"/>
    <col min="521" max="521" width="9.453125" style="55" customWidth="1"/>
    <col min="522" max="767" width="9.1796875" style="55"/>
    <col min="768" max="768" width="30.81640625" style="55" customWidth="1"/>
    <col min="769" max="769" width="9.1796875" style="55" customWidth="1"/>
    <col min="770" max="770" width="9.7265625" style="55" customWidth="1"/>
    <col min="771" max="771" width="15.1796875" style="55" customWidth="1"/>
    <col min="772" max="772" width="12" style="55" customWidth="1"/>
    <col min="773" max="776" width="9.1796875" style="55"/>
    <col min="777" max="777" width="9.453125" style="55" customWidth="1"/>
    <col min="778" max="1023" width="9.1796875" style="55"/>
    <col min="1024" max="1024" width="30.81640625" style="55" customWidth="1"/>
    <col min="1025" max="1025" width="9.1796875" style="55" customWidth="1"/>
    <col min="1026" max="1026" width="9.7265625" style="55" customWidth="1"/>
    <col min="1027" max="1027" width="15.1796875" style="55" customWidth="1"/>
    <col min="1028" max="1028" width="12" style="55" customWidth="1"/>
    <col min="1029" max="1032" width="9.1796875" style="55"/>
    <col min="1033" max="1033" width="9.453125" style="55" customWidth="1"/>
    <col min="1034" max="1279" width="9.1796875" style="55"/>
    <col min="1280" max="1280" width="30.81640625" style="55" customWidth="1"/>
    <col min="1281" max="1281" width="9.1796875" style="55" customWidth="1"/>
    <col min="1282" max="1282" width="9.7265625" style="55" customWidth="1"/>
    <col min="1283" max="1283" width="15.1796875" style="55" customWidth="1"/>
    <col min="1284" max="1284" width="12" style="55" customWidth="1"/>
    <col min="1285" max="1288" width="9.1796875" style="55"/>
    <col min="1289" max="1289" width="9.453125" style="55" customWidth="1"/>
    <col min="1290" max="1535" width="9.1796875" style="55"/>
    <col min="1536" max="1536" width="30.81640625" style="55" customWidth="1"/>
    <col min="1537" max="1537" width="9.1796875" style="55" customWidth="1"/>
    <col min="1538" max="1538" width="9.7265625" style="55" customWidth="1"/>
    <col min="1539" max="1539" width="15.1796875" style="55" customWidth="1"/>
    <col min="1540" max="1540" width="12" style="55" customWidth="1"/>
    <col min="1541" max="1544" width="9.1796875" style="55"/>
    <col min="1545" max="1545" width="9.453125" style="55" customWidth="1"/>
    <col min="1546" max="1791" width="9.1796875" style="55"/>
    <col min="1792" max="1792" width="30.81640625" style="55" customWidth="1"/>
    <col min="1793" max="1793" width="9.1796875" style="55" customWidth="1"/>
    <col min="1794" max="1794" width="9.7265625" style="55" customWidth="1"/>
    <col min="1795" max="1795" width="15.1796875" style="55" customWidth="1"/>
    <col min="1796" max="1796" width="12" style="55" customWidth="1"/>
    <col min="1797" max="1800" width="9.1796875" style="55"/>
    <col min="1801" max="1801" width="9.453125" style="55" customWidth="1"/>
    <col min="1802" max="2047" width="9.1796875" style="55"/>
    <col min="2048" max="2048" width="30.81640625" style="55" customWidth="1"/>
    <col min="2049" max="2049" width="9.1796875" style="55" customWidth="1"/>
    <col min="2050" max="2050" width="9.7265625" style="55" customWidth="1"/>
    <col min="2051" max="2051" width="15.1796875" style="55" customWidth="1"/>
    <col min="2052" max="2052" width="12" style="55" customWidth="1"/>
    <col min="2053" max="2056" width="9.1796875" style="55"/>
    <col min="2057" max="2057" width="9.453125" style="55" customWidth="1"/>
    <col min="2058" max="2303" width="9.1796875" style="55"/>
    <col min="2304" max="2304" width="30.81640625" style="55" customWidth="1"/>
    <col min="2305" max="2305" width="9.1796875" style="55" customWidth="1"/>
    <col min="2306" max="2306" width="9.7265625" style="55" customWidth="1"/>
    <col min="2307" max="2307" width="15.1796875" style="55" customWidth="1"/>
    <col min="2308" max="2308" width="12" style="55" customWidth="1"/>
    <col min="2309" max="2312" width="9.1796875" style="55"/>
    <col min="2313" max="2313" width="9.453125" style="55" customWidth="1"/>
    <col min="2314" max="2559" width="9.1796875" style="55"/>
    <col min="2560" max="2560" width="30.81640625" style="55" customWidth="1"/>
    <col min="2561" max="2561" width="9.1796875" style="55" customWidth="1"/>
    <col min="2562" max="2562" width="9.7265625" style="55" customWidth="1"/>
    <col min="2563" max="2563" width="15.1796875" style="55" customWidth="1"/>
    <col min="2564" max="2564" width="12" style="55" customWidth="1"/>
    <col min="2565" max="2568" width="9.1796875" style="55"/>
    <col min="2569" max="2569" width="9.453125" style="55" customWidth="1"/>
    <col min="2570" max="2815" width="9.1796875" style="55"/>
    <col min="2816" max="2816" width="30.81640625" style="55" customWidth="1"/>
    <col min="2817" max="2817" width="9.1796875" style="55" customWidth="1"/>
    <col min="2818" max="2818" width="9.7265625" style="55" customWidth="1"/>
    <col min="2819" max="2819" width="15.1796875" style="55" customWidth="1"/>
    <col min="2820" max="2820" width="12" style="55" customWidth="1"/>
    <col min="2821" max="2824" width="9.1796875" style="55"/>
    <col min="2825" max="2825" width="9.453125" style="55" customWidth="1"/>
    <col min="2826" max="3071" width="9.1796875" style="55"/>
    <col min="3072" max="3072" width="30.81640625" style="55" customWidth="1"/>
    <col min="3073" max="3073" width="9.1796875" style="55" customWidth="1"/>
    <col min="3074" max="3074" width="9.7265625" style="55" customWidth="1"/>
    <col min="3075" max="3075" width="15.1796875" style="55" customWidth="1"/>
    <col min="3076" max="3076" width="12" style="55" customWidth="1"/>
    <col min="3077" max="3080" width="9.1796875" style="55"/>
    <col min="3081" max="3081" width="9.453125" style="55" customWidth="1"/>
    <col min="3082" max="3327" width="9.1796875" style="55"/>
    <col min="3328" max="3328" width="30.81640625" style="55" customWidth="1"/>
    <col min="3329" max="3329" width="9.1796875" style="55" customWidth="1"/>
    <col min="3330" max="3330" width="9.7265625" style="55" customWidth="1"/>
    <col min="3331" max="3331" width="15.1796875" style="55" customWidth="1"/>
    <col min="3332" max="3332" width="12" style="55" customWidth="1"/>
    <col min="3333" max="3336" width="9.1796875" style="55"/>
    <col min="3337" max="3337" width="9.453125" style="55" customWidth="1"/>
    <col min="3338" max="3583" width="9.1796875" style="55"/>
    <col min="3584" max="3584" width="30.81640625" style="55" customWidth="1"/>
    <col min="3585" max="3585" width="9.1796875" style="55" customWidth="1"/>
    <col min="3586" max="3586" width="9.7265625" style="55" customWidth="1"/>
    <col min="3587" max="3587" width="15.1796875" style="55" customWidth="1"/>
    <col min="3588" max="3588" width="12" style="55" customWidth="1"/>
    <col min="3589" max="3592" width="9.1796875" style="55"/>
    <col min="3593" max="3593" width="9.453125" style="55" customWidth="1"/>
    <col min="3594" max="3839" width="9.1796875" style="55"/>
    <col min="3840" max="3840" width="30.81640625" style="55" customWidth="1"/>
    <col min="3841" max="3841" width="9.1796875" style="55" customWidth="1"/>
    <col min="3842" max="3842" width="9.7265625" style="55" customWidth="1"/>
    <col min="3843" max="3843" width="15.1796875" style="55" customWidth="1"/>
    <col min="3844" max="3844" width="12" style="55" customWidth="1"/>
    <col min="3845" max="3848" width="9.1796875" style="55"/>
    <col min="3849" max="3849" width="9.453125" style="55" customWidth="1"/>
    <col min="3850" max="4095" width="9.1796875" style="55"/>
    <col min="4096" max="4096" width="30.81640625" style="55" customWidth="1"/>
    <col min="4097" max="4097" width="9.1796875" style="55" customWidth="1"/>
    <col min="4098" max="4098" width="9.7265625" style="55" customWidth="1"/>
    <col min="4099" max="4099" width="15.1796875" style="55" customWidth="1"/>
    <col min="4100" max="4100" width="12" style="55" customWidth="1"/>
    <col min="4101" max="4104" width="9.1796875" style="55"/>
    <col min="4105" max="4105" width="9.453125" style="55" customWidth="1"/>
    <col min="4106" max="4351" width="9.1796875" style="55"/>
    <col min="4352" max="4352" width="30.81640625" style="55" customWidth="1"/>
    <col min="4353" max="4353" width="9.1796875" style="55" customWidth="1"/>
    <col min="4354" max="4354" width="9.7265625" style="55" customWidth="1"/>
    <col min="4355" max="4355" width="15.1796875" style="55" customWidth="1"/>
    <col min="4356" max="4356" width="12" style="55" customWidth="1"/>
    <col min="4357" max="4360" width="9.1796875" style="55"/>
    <col min="4361" max="4361" width="9.453125" style="55" customWidth="1"/>
    <col min="4362" max="4607" width="9.1796875" style="55"/>
    <col min="4608" max="4608" width="30.81640625" style="55" customWidth="1"/>
    <col min="4609" max="4609" width="9.1796875" style="55" customWidth="1"/>
    <col min="4610" max="4610" width="9.7265625" style="55" customWidth="1"/>
    <col min="4611" max="4611" width="15.1796875" style="55" customWidth="1"/>
    <col min="4612" max="4612" width="12" style="55" customWidth="1"/>
    <col min="4613" max="4616" width="9.1796875" style="55"/>
    <col min="4617" max="4617" width="9.453125" style="55" customWidth="1"/>
    <col min="4618" max="4863" width="9.1796875" style="55"/>
    <col min="4864" max="4864" width="30.81640625" style="55" customWidth="1"/>
    <col min="4865" max="4865" width="9.1796875" style="55" customWidth="1"/>
    <col min="4866" max="4866" width="9.7265625" style="55" customWidth="1"/>
    <col min="4867" max="4867" width="15.1796875" style="55" customWidth="1"/>
    <col min="4868" max="4868" width="12" style="55" customWidth="1"/>
    <col min="4869" max="4872" width="9.1796875" style="55"/>
    <col min="4873" max="4873" width="9.453125" style="55" customWidth="1"/>
    <col min="4874" max="5119" width="9.1796875" style="55"/>
    <col min="5120" max="5120" width="30.81640625" style="55" customWidth="1"/>
    <col min="5121" max="5121" width="9.1796875" style="55" customWidth="1"/>
    <col min="5122" max="5122" width="9.7265625" style="55" customWidth="1"/>
    <col min="5123" max="5123" width="15.1796875" style="55" customWidth="1"/>
    <col min="5124" max="5124" width="12" style="55" customWidth="1"/>
    <col min="5125" max="5128" width="9.1796875" style="55"/>
    <col min="5129" max="5129" width="9.453125" style="55" customWidth="1"/>
    <col min="5130" max="5375" width="9.1796875" style="55"/>
    <col min="5376" max="5376" width="30.81640625" style="55" customWidth="1"/>
    <col min="5377" max="5377" width="9.1796875" style="55" customWidth="1"/>
    <col min="5378" max="5378" width="9.7265625" style="55" customWidth="1"/>
    <col min="5379" max="5379" width="15.1796875" style="55" customWidth="1"/>
    <col min="5380" max="5380" width="12" style="55" customWidth="1"/>
    <col min="5381" max="5384" width="9.1796875" style="55"/>
    <col min="5385" max="5385" width="9.453125" style="55" customWidth="1"/>
    <col min="5386" max="5631" width="9.1796875" style="55"/>
    <col min="5632" max="5632" width="30.81640625" style="55" customWidth="1"/>
    <col min="5633" max="5633" width="9.1796875" style="55" customWidth="1"/>
    <col min="5634" max="5634" width="9.7265625" style="55" customWidth="1"/>
    <col min="5635" max="5635" width="15.1796875" style="55" customWidth="1"/>
    <col min="5636" max="5636" width="12" style="55" customWidth="1"/>
    <col min="5637" max="5640" width="9.1796875" style="55"/>
    <col min="5641" max="5641" width="9.453125" style="55" customWidth="1"/>
    <col min="5642" max="5887" width="9.1796875" style="55"/>
    <col min="5888" max="5888" width="30.81640625" style="55" customWidth="1"/>
    <col min="5889" max="5889" width="9.1796875" style="55" customWidth="1"/>
    <col min="5890" max="5890" width="9.7265625" style="55" customWidth="1"/>
    <col min="5891" max="5891" width="15.1796875" style="55" customWidth="1"/>
    <col min="5892" max="5892" width="12" style="55" customWidth="1"/>
    <col min="5893" max="5896" width="9.1796875" style="55"/>
    <col min="5897" max="5897" width="9.453125" style="55" customWidth="1"/>
    <col min="5898" max="6143" width="9.1796875" style="55"/>
    <col min="6144" max="6144" width="30.81640625" style="55" customWidth="1"/>
    <col min="6145" max="6145" width="9.1796875" style="55" customWidth="1"/>
    <col min="6146" max="6146" width="9.7265625" style="55" customWidth="1"/>
    <col min="6147" max="6147" width="15.1796875" style="55" customWidth="1"/>
    <col min="6148" max="6148" width="12" style="55" customWidth="1"/>
    <col min="6149" max="6152" width="9.1796875" style="55"/>
    <col min="6153" max="6153" width="9.453125" style="55" customWidth="1"/>
    <col min="6154" max="6399" width="9.1796875" style="55"/>
    <col min="6400" max="6400" width="30.81640625" style="55" customWidth="1"/>
    <col min="6401" max="6401" width="9.1796875" style="55" customWidth="1"/>
    <col min="6402" max="6402" width="9.7265625" style="55" customWidth="1"/>
    <col min="6403" max="6403" width="15.1796875" style="55" customWidth="1"/>
    <col min="6404" max="6404" width="12" style="55" customWidth="1"/>
    <col min="6405" max="6408" width="9.1796875" style="55"/>
    <col min="6409" max="6409" width="9.453125" style="55" customWidth="1"/>
    <col min="6410" max="6655" width="9.1796875" style="55"/>
    <col min="6656" max="6656" width="30.81640625" style="55" customWidth="1"/>
    <col min="6657" max="6657" width="9.1796875" style="55" customWidth="1"/>
    <col min="6658" max="6658" width="9.7265625" style="55" customWidth="1"/>
    <col min="6659" max="6659" width="15.1796875" style="55" customWidth="1"/>
    <col min="6660" max="6660" width="12" style="55" customWidth="1"/>
    <col min="6661" max="6664" width="9.1796875" style="55"/>
    <col min="6665" max="6665" width="9.453125" style="55" customWidth="1"/>
    <col min="6666" max="6911" width="9.1796875" style="55"/>
    <col min="6912" max="6912" width="30.81640625" style="55" customWidth="1"/>
    <col min="6913" max="6913" width="9.1796875" style="55" customWidth="1"/>
    <col min="6914" max="6914" width="9.7265625" style="55" customWidth="1"/>
    <col min="6915" max="6915" width="15.1796875" style="55" customWidth="1"/>
    <col min="6916" max="6916" width="12" style="55" customWidth="1"/>
    <col min="6917" max="6920" width="9.1796875" style="55"/>
    <col min="6921" max="6921" width="9.453125" style="55" customWidth="1"/>
    <col min="6922" max="7167" width="9.1796875" style="55"/>
    <col min="7168" max="7168" width="30.81640625" style="55" customWidth="1"/>
    <col min="7169" max="7169" width="9.1796875" style="55" customWidth="1"/>
    <col min="7170" max="7170" width="9.7265625" style="55" customWidth="1"/>
    <col min="7171" max="7171" width="15.1796875" style="55" customWidth="1"/>
    <col min="7172" max="7172" width="12" style="55" customWidth="1"/>
    <col min="7173" max="7176" width="9.1796875" style="55"/>
    <col min="7177" max="7177" width="9.453125" style="55" customWidth="1"/>
    <col min="7178" max="7423" width="9.1796875" style="55"/>
    <col min="7424" max="7424" width="30.81640625" style="55" customWidth="1"/>
    <col min="7425" max="7425" width="9.1796875" style="55" customWidth="1"/>
    <col min="7426" max="7426" width="9.7265625" style="55" customWidth="1"/>
    <col min="7427" max="7427" width="15.1796875" style="55" customWidth="1"/>
    <col min="7428" max="7428" width="12" style="55" customWidth="1"/>
    <col min="7429" max="7432" width="9.1796875" style="55"/>
    <col min="7433" max="7433" width="9.453125" style="55" customWidth="1"/>
    <col min="7434" max="7679" width="9.1796875" style="55"/>
    <col min="7680" max="7680" width="30.81640625" style="55" customWidth="1"/>
    <col min="7681" max="7681" width="9.1796875" style="55" customWidth="1"/>
    <col min="7682" max="7682" width="9.7265625" style="55" customWidth="1"/>
    <col min="7683" max="7683" width="15.1796875" style="55" customWidth="1"/>
    <col min="7684" max="7684" width="12" style="55" customWidth="1"/>
    <col min="7685" max="7688" width="9.1796875" style="55"/>
    <col min="7689" max="7689" width="9.453125" style="55" customWidth="1"/>
    <col min="7690" max="7935" width="9.1796875" style="55"/>
    <col min="7936" max="7936" width="30.81640625" style="55" customWidth="1"/>
    <col min="7937" max="7937" width="9.1796875" style="55" customWidth="1"/>
    <col min="7938" max="7938" width="9.7265625" style="55" customWidth="1"/>
    <col min="7939" max="7939" width="15.1796875" style="55" customWidth="1"/>
    <col min="7940" max="7940" width="12" style="55" customWidth="1"/>
    <col min="7941" max="7944" width="9.1796875" style="55"/>
    <col min="7945" max="7945" width="9.453125" style="55" customWidth="1"/>
    <col min="7946" max="8191" width="9.1796875" style="55"/>
    <col min="8192" max="8192" width="30.81640625" style="55" customWidth="1"/>
    <col min="8193" max="8193" width="9.1796875" style="55" customWidth="1"/>
    <col min="8194" max="8194" width="9.7265625" style="55" customWidth="1"/>
    <col min="8195" max="8195" width="15.1796875" style="55" customWidth="1"/>
    <col min="8196" max="8196" width="12" style="55" customWidth="1"/>
    <col min="8197" max="8200" width="9.1796875" style="55"/>
    <col min="8201" max="8201" width="9.453125" style="55" customWidth="1"/>
    <col min="8202" max="8447" width="9.1796875" style="55"/>
    <col min="8448" max="8448" width="30.81640625" style="55" customWidth="1"/>
    <col min="8449" max="8449" width="9.1796875" style="55" customWidth="1"/>
    <col min="8450" max="8450" width="9.7265625" style="55" customWidth="1"/>
    <col min="8451" max="8451" width="15.1796875" style="55" customWidth="1"/>
    <col min="8452" max="8452" width="12" style="55" customWidth="1"/>
    <col min="8453" max="8456" width="9.1796875" style="55"/>
    <col min="8457" max="8457" width="9.453125" style="55" customWidth="1"/>
    <col min="8458" max="8703" width="9.1796875" style="55"/>
    <col min="8704" max="8704" width="30.81640625" style="55" customWidth="1"/>
    <col min="8705" max="8705" width="9.1796875" style="55" customWidth="1"/>
    <col min="8706" max="8706" width="9.7265625" style="55" customWidth="1"/>
    <col min="8707" max="8707" width="15.1796875" style="55" customWidth="1"/>
    <col min="8708" max="8708" width="12" style="55" customWidth="1"/>
    <col min="8709" max="8712" width="9.1796875" style="55"/>
    <col min="8713" max="8713" width="9.453125" style="55" customWidth="1"/>
    <col min="8714" max="8959" width="9.1796875" style="55"/>
    <col min="8960" max="8960" width="30.81640625" style="55" customWidth="1"/>
    <col min="8961" max="8961" width="9.1796875" style="55" customWidth="1"/>
    <col min="8962" max="8962" width="9.7265625" style="55" customWidth="1"/>
    <col min="8963" max="8963" width="15.1796875" style="55" customWidth="1"/>
    <col min="8964" max="8964" width="12" style="55" customWidth="1"/>
    <col min="8965" max="8968" width="9.1796875" style="55"/>
    <col min="8969" max="8969" width="9.453125" style="55" customWidth="1"/>
    <col min="8970" max="9215" width="9.1796875" style="55"/>
    <col min="9216" max="9216" width="30.81640625" style="55" customWidth="1"/>
    <col min="9217" max="9217" width="9.1796875" style="55" customWidth="1"/>
    <col min="9218" max="9218" width="9.7265625" style="55" customWidth="1"/>
    <col min="9219" max="9219" width="15.1796875" style="55" customWidth="1"/>
    <col min="9220" max="9220" width="12" style="55" customWidth="1"/>
    <col min="9221" max="9224" width="9.1796875" style="55"/>
    <col min="9225" max="9225" width="9.453125" style="55" customWidth="1"/>
    <col min="9226" max="9471" width="9.1796875" style="55"/>
    <col min="9472" max="9472" width="30.81640625" style="55" customWidth="1"/>
    <col min="9473" max="9473" width="9.1796875" style="55" customWidth="1"/>
    <col min="9474" max="9474" width="9.7265625" style="55" customWidth="1"/>
    <col min="9475" max="9475" width="15.1796875" style="55" customWidth="1"/>
    <col min="9476" max="9476" width="12" style="55" customWidth="1"/>
    <col min="9477" max="9480" width="9.1796875" style="55"/>
    <col min="9481" max="9481" width="9.453125" style="55" customWidth="1"/>
    <col min="9482" max="9727" width="9.1796875" style="55"/>
    <col min="9728" max="9728" width="30.81640625" style="55" customWidth="1"/>
    <col min="9729" max="9729" width="9.1796875" style="55" customWidth="1"/>
    <col min="9730" max="9730" width="9.7265625" style="55" customWidth="1"/>
    <col min="9731" max="9731" width="15.1796875" style="55" customWidth="1"/>
    <col min="9732" max="9732" width="12" style="55" customWidth="1"/>
    <col min="9733" max="9736" width="9.1796875" style="55"/>
    <col min="9737" max="9737" width="9.453125" style="55" customWidth="1"/>
    <col min="9738" max="9983" width="9.1796875" style="55"/>
    <col min="9984" max="9984" width="30.81640625" style="55" customWidth="1"/>
    <col min="9985" max="9985" width="9.1796875" style="55" customWidth="1"/>
    <col min="9986" max="9986" width="9.7265625" style="55" customWidth="1"/>
    <col min="9987" max="9987" width="15.1796875" style="55" customWidth="1"/>
    <col min="9988" max="9988" width="12" style="55" customWidth="1"/>
    <col min="9989" max="9992" width="9.1796875" style="55"/>
    <col min="9993" max="9993" width="9.453125" style="55" customWidth="1"/>
    <col min="9994" max="10239" width="9.1796875" style="55"/>
    <col min="10240" max="10240" width="30.81640625" style="55" customWidth="1"/>
    <col min="10241" max="10241" width="9.1796875" style="55" customWidth="1"/>
    <col min="10242" max="10242" width="9.7265625" style="55" customWidth="1"/>
    <col min="10243" max="10243" width="15.1796875" style="55" customWidth="1"/>
    <col min="10244" max="10244" width="12" style="55" customWidth="1"/>
    <col min="10245" max="10248" width="9.1796875" style="55"/>
    <col min="10249" max="10249" width="9.453125" style="55" customWidth="1"/>
    <col min="10250" max="10495" width="9.1796875" style="55"/>
    <col min="10496" max="10496" width="30.81640625" style="55" customWidth="1"/>
    <col min="10497" max="10497" width="9.1796875" style="55" customWidth="1"/>
    <col min="10498" max="10498" width="9.7265625" style="55" customWidth="1"/>
    <col min="10499" max="10499" width="15.1796875" style="55" customWidth="1"/>
    <col min="10500" max="10500" width="12" style="55" customWidth="1"/>
    <col min="10501" max="10504" width="9.1796875" style="55"/>
    <col min="10505" max="10505" width="9.453125" style="55" customWidth="1"/>
    <col min="10506" max="10751" width="9.1796875" style="55"/>
    <col min="10752" max="10752" width="30.81640625" style="55" customWidth="1"/>
    <col min="10753" max="10753" width="9.1796875" style="55" customWidth="1"/>
    <col min="10754" max="10754" width="9.7265625" style="55" customWidth="1"/>
    <col min="10755" max="10755" width="15.1796875" style="55" customWidth="1"/>
    <col min="10756" max="10756" width="12" style="55" customWidth="1"/>
    <col min="10757" max="10760" width="9.1796875" style="55"/>
    <col min="10761" max="10761" width="9.453125" style="55" customWidth="1"/>
    <col min="10762" max="11007" width="9.1796875" style="55"/>
    <col min="11008" max="11008" width="30.81640625" style="55" customWidth="1"/>
    <col min="11009" max="11009" width="9.1796875" style="55" customWidth="1"/>
    <col min="11010" max="11010" width="9.7265625" style="55" customWidth="1"/>
    <col min="11011" max="11011" width="15.1796875" style="55" customWidth="1"/>
    <col min="11012" max="11012" width="12" style="55" customWidth="1"/>
    <col min="11013" max="11016" width="9.1796875" style="55"/>
    <col min="11017" max="11017" width="9.453125" style="55" customWidth="1"/>
    <col min="11018" max="11263" width="9.1796875" style="55"/>
    <col min="11264" max="11264" width="30.81640625" style="55" customWidth="1"/>
    <col min="11265" max="11265" width="9.1796875" style="55" customWidth="1"/>
    <col min="11266" max="11266" width="9.7265625" style="55" customWidth="1"/>
    <col min="11267" max="11267" width="15.1796875" style="55" customWidth="1"/>
    <col min="11268" max="11268" width="12" style="55" customWidth="1"/>
    <col min="11269" max="11272" width="9.1796875" style="55"/>
    <col min="11273" max="11273" width="9.453125" style="55" customWidth="1"/>
    <col min="11274" max="11519" width="9.1796875" style="55"/>
    <col min="11520" max="11520" width="30.81640625" style="55" customWidth="1"/>
    <col min="11521" max="11521" width="9.1796875" style="55" customWidth="1"/>
    <col min="11522" max="11522" width="9.7265625" style="55" customWidth="1"/>
    <col min="11523" max="11523" width="15.1796875" style="55" customWidth="1"/>
    <col min="11524" max="11524" width="12" style="55" customWidth="1"/>
    <col min="11525" max="11528" width="9.1796875" style="55"/>
    <col min="11529" max="11529" width="9.453125" style="55" customWidth="1"/>
    <col min="11530" max="11775" width="9.1796875" style="55"/>
    <col min="11776" max="11776" width="30.81640625" style="55" customWidth="1"/>
    <col min="11777" max="11777" width="9.1796875" style="55" customWidth="1"/>
    <col min="11778" max="11778" width="9.7265625" style="55" customWidth="1"/>
    <col min="11779" max="11779" width="15.1796875" style="55" customWidth="1"/>
    <col min="11780" max="11780" width="12" style="55" customWidth="1"/>
    <col min="11781" max="11784" width="9.1796875" style="55"/>
    <col min="11785" max="11785" width="9.453125" style="55" customWidth="1"/>
    <col min="11786" max="12031" width="9.1796875" style="55"/>
    <col min="12032" max="12032" width="30.81640625" style="55" customWidth="1"/>
    <col min="12033" max="12033" width="9.1796875" style="55" customWidth="1"/>
    <col min="12034" max="12034" width="9.7265625" style="55" customWidth="1"/>
    <col min="12035" max="12035" width="15.1796875" style="55" customWidth="1"/>
    <col min="12036" max="12036" width="12" style="55" customWidth="1"/>
    <col min="12037" max="12040" width="9.1796875" style="55"/>
    <col min="12041" max="12041" width="9.453125" style="55" customWidth="1"/>
    <col min="12042" max="12287" width="9.1796875" style="55"/>
    <col min="12288" max="12288" width="30.81640625" style="55" customWidth="1"/>
    <col min="12289" max="12289" width="9.1796875" style="55" customWidth="1"/>
    <col min="12290" max="12290" width="9.7265625" style="55" customWidth="1"/>
    <col min="12291" max="12291" width="15.1796875" style="55" customWidth="1"/>
    <col min="12292" max="12292" width="12" style="55" customWidth="1"/>
    <col min="12293" max="12296" width="9.1796875" style="55"/>
    <col min="12297" max="12297" width="9.453125" style="55" customWidth="1"/>
    <col min="12298" max="12543" width="9.1796875" style="55"/>
    <col min="12544" max="12544" width="30.81640625" style="55" customWidth="1"/>
    <col min="12545" max="12545" width="9.1796875" style="55" customWidth="1"/>
    <col min="12546" max="12546" width="9.7265625" style="55" customWidth="1"/>
    <col min="12547" max="12547" width="15.1796875" style="55" customWidth="1"/>
    <col min="12548" max="12548" width="12" style="55" customWidth="1"/>
    <col min="12549" max="12552" width="9.1796875" style="55"/>
    <col min="12553" max="12553" width="9.453125" style="55" customWidth="1"/>
    <col min="12554" max="12799" width="9.1796875" style="55"/>
    <col min="12800" max="12800" width="30.81640625" style="55" customWidth="1"/>
    <col min="12801" max="12801" width="9.1796875" style="55" customWidth="1"/>
    <col min="12802" max="12802" width="9.7265625" style="55" customWidth="1"/>
    <col min="12803" max="12803" width="15.1796875" style="55" customWidth="1"/>
    <col min="12804" max="12804" width="12" style="55" customWidth="1"/>
    <col min="12805" max="12808" width="9.1796875" style="55"/>
    <col min="12809" max="12809" width="9.453125" style="55" customWidth="1"/>
    <col min="12810" max="13055" width="9.1796875" style="55"/>
    <col min="13056" max="13056" width="30.81640625" style="55" customWidth="1"/>
    <col min="13057" max="13057" width="9.1796875" style="55" customWidth="1"/>
    <col min="13058" max="13058" width="9.7265625" style="55" customWidth="1"/>
    <col min="13059" max="13059" width="15.1796875" style="55" customWidth="1"/>
    <col min="13060" max="13060" width="12" style="55" customWidth="1"/>
    <col min="13061" max="13064" width="9.1796875" style="55"/>
    <col min="13065" max="13065" width="9.453125" style="55" customWidth="1"/>
    <col min="13066" max="13311" width="9.1796875" style="55"/>
    <col min="13312" max="13312" width="30.81640625" style="55" customWidth="1"/>
    <col min="13313" max="13313" width="9.1796875" style="55" customWidth="1"/>
    <col min="13314" max="13314" width="9.7265625" style="55" customWidth="1"/>
    <col min="13315" max="13315" width="15.1796875" style="55" customWidth="1"/>
    <col min="13316" max="13316" width="12" style="55" customWidth="1"/>
    <col min="13317" max="13320" width="9.1796875" style="55"/>
    <col min="13321" max="13321" width="9.453125" style="55" customWidth="1"/>
    <col min="13322" max="13567" width="9.1796875" style="55"/>
    <col min="13568" max="13568" width="30.81640625" style="55" customWidth="1"/>
    <col min="13569" max="13569" width="9.1796875" style="55" customWidth="1"/>
    <col min="13570" max="13570" width="9.7265625" style="55" customWidth="1"/>
    <col min="13571" max="13571" width="15.1796875" style="55" customWidth="1"/>
    <col min="13572" max="13572" width="12" style="55" customWidth="1"/>
    <col min="13573" max="13576" width="9.1796875" style="55"/>
    <col min="13577" max="13577" width="9.453125" style="55" customWidth="1"/>
    <col min="13578" max="13823" width="9.1796875" style="55"/>
    <col min="13824" max="13824" width="30.81640625" style="55" customWidth="1"/>
    <col min="13825" max="13825" width="9.1796875" style="55" customWidth="1"/>
    <col min="13826" max="13826" width="9.7265625" style="55" customWidth="1"/>
    <col min="13827" max="13827" width="15.1796875" style="55" customWidth="1"/>
    <col min="13828" max="13828" width="12" style="55" customWidth="1"/>
    <col min="13829" max="13832" width="9.1796875" style="55"/>
    <col min="13833" max="13833" width="9.453125" style="55" customWidth="1"/>
    <col min="13834" max="14079" width="9.1796875" style="55"/>
    <col min="14080" max="14080" width="30.81640625" style="55" customWidth="1"/>
    <col min="14081" max="14081" width="9.1796875" style="55" customWidth="1"/>
    <col min="14082" max="14082" width="9.7265625" style="55" customWidth="1"/>
    <col min="14083" max="14083" width="15.1796875" style="55" customWidth="1"/>
    <col min="14084" max="14084" width="12" style="55" customWidth="1"/>
    <col min="14085" max="14088" width="9.1796875" style="55"/>
    <col min="14089" max="14089" width="9.453125" style="55" customWidth="1"/>
    <col min="14090" max="14335" width="9.1796875" style="55"/>
    <col min="14336" max="14336" width="30.81640625" style="55" customWidth="1"/>
    <col min="14337" max="14337" width="9.1796875" style="55" customWidth="1"/>
    <col min="14338" max="14338" width="9.7265625" style="55" customWidth="1"/>
    <col min="14339" max="14339" width="15.1796875" style="55" customWidth="1"/>
    <col min="14340" max="14340" width="12" style="55" customWidth="1"/>
    <col min="14341" max="14344" width="9.1796875" style="55"/>
    <col min="14345" max="14345" width="9.453125" style="55" customWidth="1"/>
    <col min="14346" max="14591" width="9.1796875" style="55"/>
    <col min="14592" max="14592" width="30.81640625" style="55" customWidth="1"/>
    <col min="14593" max="14593" width="9.1796875" style="55" customWidth="1"/>
    <col min="14594" max="14594" width="9.7265625" style="55" customWidth="1"/>
    <col min="14595" max="14595" width="15.1796875" style="55" customWidth="1"/>
    <col min="14596" max="14596" width="12" style="55" customWidth="1"/>
    <col min="14597" max="14600" width="9.1796875" style="55"/>
    <col min="14601" max="14601" width="9.453125" style="55" customWidth="1"/>
    <col min="14602" max="14847" width="9.1796875" style="55"/>
    <col min="14848" max="14848" width="30.81640625" style="55" customWidth="1"/>
    <col min="14849" max="14849" width="9.1796875" style="55" customWidth="1"/>
    <col min="14850" max="14850" width="9.7265625" style="55" customWidth="1"/>
    <col min="14851" max="14851" width="15.1796875" style="55" customWidth="1"/>
    <col min="14852" max="14852" width="12" style="55" customWidth="1"/>
    <col min="14853" max="14856" width="9.1796875" style="55"/>
    <col min="14857" max="14857" width="9.453125" style="55" customWidth="1"/>
    <col min="14858" max="15103" width="9.1796875" style="55"/>
    <col min="15104" max="15104" width="30.81640625" style="55" customWidth="1"/>
    <col min="15105" max="15105" width="9.1796875" style="55" customWidth="1"/>
    <col min="15106" max="15106" width="9.7265625" style="55" customWidth="1"/>
    <col min="15107" max="15107" width="15.1796875" style="55" customWidth="1"/>
    <col min="15108" max="15108" width="12" style="55" customWidth="1"/>
    <col min="15109" max="15112" width="9.1796875" style="55"/>
    <col min="15113" max="15113" width="9.453125" style="55" customWidth="1"/>
    <col min="15114" max="15359" width="9.1796875" style="55"/>
    <col min="15360" max="15360" width="30.81640625" style="55" customWidth="1"/>
    <col min="15361" max="15361" width="9.1796875" style="55" customWidth="1"/>
    <col min="15362" max="15362" width="9.7265625" style="55" customWidth="1"/>
    <col min="15363" max="15363" width="15.1796875" style="55" customWidth="1"/>
    <col min="15364" max="15364" width="12" style="55" customWidth="1"/>
    <col min="15365" max="15368" width="9.1796875" style="55"/>
    <col min="15369" max="15369" width="9.453125" style="55" customWidth="1"/>
    <col min="15370" max="15615" width="9.1796875" style="55"/>
    <col min="15616" max="15616" width="30.81640625" style="55" customWidth="1"/>
    <col min="15617" max="15617" width="9.1796875" style="55" customWidth="1"/>
    <col min="15618" max="15618" width="9.7265625" style="55" customWidth="1"/>
    <col min="15619" max="15619" width="15.1796875" style="55" customWidth="1"/>
    <col min="15620" max="15620" width="12" style="55" customWidth="1"/>
    <col min="15621" max="15624" width="9.1796875" style="55"/>
    <col min="15625" max="15625" width="9.453125" style="55" customWidth="1"/>
    <col min="15626" max="15871" width="9.1796875" style="55"/>
    <col min="15872" max="15872" width="30.81640625" style="55" customWidth="1"/>
    <col min="15873" max="15873" width="9.1796875" style="55" customWidth="1"/>
    <col min="15874" max="15874" width="9.7265625" style="55" customWidth="1"/>
    <col min="15875" max="15875" width="15.1796875" style="55" customWidth="1"/>
    <col min="15876" max="15876" width="12" style="55" customWidth="1"/>
    <col min="15877" max="15880" width="9.1796875" style="55"/>
    <col min="15881" max="15881" width="9.453125" style="55" customWidth="1"/>
    <col min="15882" max="16127" width="9.1796875" style="55"/>
    <col min="16128" max="16128" width="30.81640625" style="55" customWidth="1"/>
    <col min="16129" max="16129" width="9.1796875" style="55" customWidth="1"/>
    <col min="16130" max="16130" width="9.7265625" style="55" customWidth="1"/>
    <col min="16131" max="16131" width="15.1796875" style="55" customWidth="1"/>
    <col min="16132" max="16132" width="12" style="55" customWidth="1"/>
    <col min="16133" max="16136" width="9.1796875" style="55"/>
    <col min="16137" max="16137" width="9.453125" style="55" customWidth="1"/>
    <col min="16138" max="16384" width="9.1796875" style="55"/>
  </cols>
  <sheetData>
    <row r="1" spans="1:5" s="53" customFormat="1">
      <c r="A1" s="80" t="str">
        <f>[5]SharedInputs!B4</f>
        <v>AVISTA UTILITIES</v>
      </c>
      <c r="B1" s="80"/>
      <c r="C1" s="80"/>
      <c r="D1" s="80"/>
      <c r="E1" s="80"/>
    </row>
    <row r="2" spans="1:5" s="53" customFormat="1">
      <c r="A2" s="80" t="s">
        <v>39</v>
      </c>
      <c r="B2" s="80"/>
      <c r="C2" s="80"/>
      <c r="D2" s="80"/>
    </row>
    <row r="3" spans="1:5" s="53" customFormat="1">
      <c r="A3" s="80" t="s">
        <v>89</v>
      </c>
      <c r="B3" s="80"/>
      <c r="C3" s="80"/>
      <c r="D3" s="80"/>
      <c r="E3" s="89"/>
    </row>
    <row r="4" spans="1:5" s="53" customFormat="1">
      <c r="A4" s="80"/>
      <c r="B4" s="80"/>
      <c r="C4" s="80"/>
      <c r="D4" s="80"/>
      <c r="E4" s="89"/>
    </row>
    <row r="5" spans="1:5" s="53" customFormat="1">
      <c r="A5" s="80"/>
      <c r="B5" s="80"/>
      <c r="C5" s="80"/>
      <c r="D5" s="80"/>
      <c r="E5" s="80"/>
    </row>
    <row r="6" spans="1:5">
      <c r="A6" s="80"/>
      <c r="B6" s="54"/>
      <c r="C6" s="54"/>
      <c r="E6" s="80"/>
    </row>
    <row r="7" spans="1:5">
      <c r="A7" s="54"/>
      <c r="B7" s="54"/>
      <c r="C7" s="54"/>
      <c r="E7" s="54"/>
    </row>
    <row r="8" spans="1:5">
      <c r="A8" s="54" t="s">
        <v>40</v>
      </c>
      <c r="B8" s="54"/>
      <c r="C8" s="54"/>
      <c r="E8" s="54">
        <v>1</v>
      </c>
    </row>
    <row r="9" spans="1:5">
      <c r="A9" s="54"/>
      <c r="B9" s="54"/>
      <c r="C9" s="54"/>
      <c r="E9" s="54"/>
    </row>
    <row r="10" spans="1:5">
      <c r="A10" s="54" t="s">
        <v>25</v>
      </c>
      <c r="B10" s="54"/>
      <c r="C10" s="54"/>
      <c r="E10" s="54"/>
    </row>
    <row r="11" spans="1:5">
      <c r="A11" s="54"/>
      <c r="B11" s="54"/>
      <c r="C11" s="54"/>
      <c r="E11" s="54"/>
    </row>
    <row r="12" spans="1:5">
      <c r="A12" s="54" t="s">
        <v>41</v>
      </c>
      <c r="B12" s="54"/>
      <c r="C12" s="54"/>
      <c r="E12" s="54">
        <v>3.326E-3</v>
      </c>
    </row>
    <row r="13" spans="1:5">
      <c r="A13" s="54"/>
      <c r="B13" s="54"/>
      <c r="C13" s="54"/>
      <c r="E13" s="54"/>
    </row>
    <row r="14" spans="1:5">
      <c r="A14" s="54" t="s">
        <v>42</v>
      </c>
      <c r="B14" s="54"/>
      <c r="C14" s="54"/>
      <c r="E14" s="54">
        <v>2E-3</v>
      </c>
    </row>
    <row r="15" spans="1:5">
      <c r="A15" s="54"/>
      <c r="B15" s="54"/>
      <c r="C15" s="54"/>
      <c r="E15" s="54"/>
    </row>
    <row r="16" spans="1:5">
      <c r="A16" s="54" t="s">
        <v>43</v>
      </c>
      <c r="B16" s="54"/>
      <c r="C16" s="54"/>
      <c r="E16" s="54">
        <v>3.8392000000000003E-2</v>
      </c>
    </row>
    <row r="17" spans="1:10">
      <c r="A17" s="54"/>
      <c r="B17" s="54"/>
      <c r="C17" s="54"/>
      <c r="E17" s="54"/>
    </row>
    <row r="18" spans="1:10">
      <c r="A18" s="54"/>
      <c r="B18" s="54"/>
      <c r="C18" s="54"/>
    </row>
    <row r="19" spans="1:10">
      <c r="A19" s="54" t="s">
        <v>26</v>
      </c>
      <c r="B19" s="54"/>
      <c r="C19" s="54"/>
      <c r="E19" s="90">
        <f>SUM(E11:E17)</f>
        <v>4.3718E-2</v>
      </c>
      <c r="J19" s="56"/>
    </row>
    <row r="20" spans="1:10" ht="15" thickBot="1">
      <c r="A20" s="54"/>
      <c r="B20" s="54"/>
      <c r="C20" s="54"/>
    </row>
    <row r="21" spans="1:10" ht="15.5" thickTop="1" thickBot="1">
      <c r="A21" s="54" t="s">
        <v>27</v>
      </c>
      <c r="B21" s="54"/>
      <c r="C21" s="54"/>
      <c r="E21" s="79">
        <f>E8-E19</f>
        <v>0.95628199999999997</v>
      </c>
    </row>
    <row r="22" spans="1:10" ht="15" thickTop="1">
      <c r="A22" s="54"/>
      <c r="B22" s="54"/>
      <c r="C22" s="54"/>
      <c r="E22" s="54"/>
    </row>
    <row r="23" spans="1:10">
      <c r="A23" s="54" t="s">
        <v>44</v>
      </c>
      <c r="B23" s="74">
        <v>0.21</v>
      </c>
      <c r="C23" s="91"/>
      <c r="E23" s="54">
        <v>0.20081921999999999</v>
      </c>
    </row>
    <row r="24" spans="1:10">
      <c r="A24" s="54"/>
      <c r="B24" s="54"/>
      <c r="C24" s="54"/>
      <c r="E24" s="54"/>
    </row>
    <row r="25" spans="1:10">
      <c r="A25" s="54" t="s">
        <v>24</v>
      </c>
      <c r="B25" s="54"/>
      <c r="C25" s="54"/>
      <c r="E25" s="90">
        <f>E21-E23</f>
        <v>0.75546278</v>
      </c>
    </row>
    <row r="26" spans="1:10">
      <c r="A26" s="54"/>
      <c r="B26" s="54"/>
      <c r="C26" s="54"/>
      <c r="E26" s="54"/>
    </row>
    <row r="27" spans="1:10">
      <c r="A27" s="54"/>
      <c r="B27" s="54"/>
      <c r="C27" s="54"/>
      <c r="E27" s="54"/>
    </row>
    <row r="28" spans="1:10">
      <c r="A28" s="54"/>
      <c r="B28" s="54"/>
      <c r="C28" s="54"/>
      <c r="D28" s="54"/>
      <c r="E28" s="54"/>
    </row>
    <row r="33" spans="2:6">
      <c r="F33" s="63"/>
    </row>
    <row r="41" spans="2:6">
      <c r="B41" s="61"/>
    </row>
    <row r="42" spans="2:6">
      <c r="C42" s="57"/>
    </row>
    <row r="43" spans="2:6">
      <c r="C43" s="59"/>
    </row>
    <row r="44" spans="2:6">
      <c r="C44" s="59"/>
    </row>
    <row r="49" spans="2:2">
      <c r="B49" s="55" t="s">
        <v>45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5"/>
  <sheetViews>
    <sheetView workbookViewId="0">
      <selection activeCell="H40" sqref="H40"/>
    </sheetView>
  </sheetViews>
  <sheetFormatPr defaultColWidth="9.1796875" defaultRowHeight="13"/>
  <cols>
    <col min="1" max="1" width="9.1796875" style="76"/>
    <col min="2" max="2" width="11.1796875" style="76" bestFit="1" customWidth="1"/>
    <col min="3" max="3" width="26.26953125" style="76" bestFit="1" customWidth="1"/>
    <col min="4" max="4" width="20.81640625" style="76" bestFit="1" customWidth="1"/>
    <col min="5" max="5" width="12.453125" style="76" customWidth="1"/>
    <col min="6" max="16384" width="9.1796875" style="76"/>
  </cols>
  <sheetData>
    <row r="12" spans="5:5">
      <c r="E12" s="77"/>
    </row>
    <row r="17" spans="2:4">
      <c r="B17" s="186" t="s">
        <v>144</v>
      </c>
      <c r="C17" s="186"/>
      <c r="D17" s="186"/>
    </row>
    <row r="18" spans="2:4">
      <c r="B18" s="99" t="s">
        <v>46</v>
      </c>
      <c r="C18" s="97" t="s">
        <v>47</v>
      </c>
      <c r="D18" s="98" t="s">
        <v>53</v>
      </c>
    </row>
    <row r="19" spans="2:4">
      <c r="B19" s="81">
        <v>101</v>
      </c>
      <c r="C19" s="82" t="s">
        <v>48</v>
      </c>
      <c r="D19" s="178">
        <f>'Rate Design'!D23</f>
        <v>-3.8199343374605494E-5</v>
      </c>
    </row>
    <row r="20" spans="2:4">
      <c r="B20" s="81" t="s">
        <v>141</v>
      </c>
      <c r="C20" s="82" t="s">
        <v>49</v>
      </c>
      <c r="D20" s="178">
        <f>'Rate Design'!E23</f>
        <v>-2.312321915049247E-5</v>
      </c>
    </row>
    <row r="21" spans="2:4">
      <c r="B21" s="81">
        <v>131</v>
      </c>
      <c r="C21" s="82" t="s">
        <v>142</v>
      </c>
      <c r="D21" s="178">
        <f>'Rate Design'!F23</f>
        <v>-2.1740902204403967E-5</v>
      </c>
    </row>
    <row r="22" spans="2:4">
      <c r="B22" s="81">
        <v>146</v>
      </c>
      <c r="C22" s="82" t="s">
        <v>143</v>
      </c>
      <c r="D22" s="178">
        <f>'Rate Design'!G23</f>
        <v>-1.4423715013649443E-4</v>
      </c>
    </row>
    <row r="23" spans="2:4">
      <c r="B23" s="81">
        <v>148</v>
      </c>
      <c r="C23" s="82" t="s">
        <v>143</v>
      </c>
      <c r="D23" s="178">
        <f>'Rate Design'!H23</f>
        <v>0</v>
      </c>
    </row>
    <row r="24" spans="2:4">
      <c r="B24" s="83"/>
      <c r="C24" s="84" t="s">
        <v>50</v>
      </c>
      <c r="D24" s="179">
        <f>'Rate Design'!C23</f>
        <v>-3.602988930158569E-5</v>
      </c>
    </row>
    <row r="25" spans="2:4">
      <c r="B25" s="101"/>
      <c r="C25" s="100"/>
      <c r="D25" s="102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D4E1B309013148B7034695F6E49A3D" ma:contentTypeVersion="16" ma:contentTypeDescription="" ma:contentTypeScope="" ma:versionID="01f9d9f7ac6a340ec7a1a56cc7e48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2023-09-01T07:00:00+00:00</OpenedDate>
    <SignificantOrder xmlns="dc463f71-b30c-4ab2-9473-d307f9d35888">false</SignificantOrder>
    <Date1 xmlns="dc463f71-b30c-4ab2-9473-d307f9d35888">2023-09-01T07:00:00+00:00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7343E7C-F8A6-4AED-9828-2940DB64BB9C}"/>
</file>

<file path=customXml/itemProps3.xml><?xml version="1.0" encoding="utf-8"?>
<ds:datastoreItem xmlns:ds="http://schemas.openxmlformats.org/officeDocument/2006/customXml" ds:itemID="{AE3FEB97-A652-4859-BC3B-02B937A658B3}"/>
</file>

<file path=customXml/itemProps4.xml><?xml version="1.0" encoding="utf-8"?>
<ds:datastoreItem xmlns:ds="http://schemas.openxmlformats.org/officeDocument/2006/customXml" ds:itemID="{5C276C11-F2A0-4077-BF00-384774151EB9}"/>
</file>

<file path=customXml/itemProps5.xml><?xml version="1.0" encoding="utf-8"?>
<ds:datastoreItem xmlns:ds="http://schemas.openxmlformats.org/officeDocument/2006/customXml" ds:itemID="{D5735B6D-29CB-43F6-B168-31B09A55E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Design</vt:lpstr>
      <vt:lpstr>Deferral Balance</vt:lpstr>
      <vt:lpstr>Deferral Schedule</vt:lpstr>
      <vt:lpstr>Forecasted Revenue</vt:lpstr>
      <vt:lpstr>Therm Forecast</vt:lpstr>
      <vt:lpstr>CF WA Gas</vt:lpstr>
      <vt:lpstr>Tables for Cust Notice</vt:lpstr>
      <vt:lpstr>'Forecasted Revenue'!Print_Area</vt:lpstr>
      <vt:lpstr>'Rate Design'!Print_Area</vt:lpstr>
      <vt:lpstr>'Therm Forecast'!Print_Area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Anderson, Joel</cp:lastModifiedBy>
  <cp:lastPrinted>2022-11-08T19:42:35Z</cp:lastPrinted>
  <dcterms:created xsi:type="dcterms:W3CDTF">2016-02-09T19:01:57Z</dcterms:created>
  <dcterms:modified xsi:type="dcterms:W3CDTF">2023-08-29T21:55:00Z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0x0101006E56B4D1795A2E4DB2F0B01679ED314A0053D4E1B309013148B7034695F6E49A3D</vt:lpwstr>
  </property>
  <property fmtid="{D5CDD505-2E9C-101B-9397-08002B2CF9AE}" pid="3" name="_docset_NoMedatataSyncRequired">
    <vt:lpwstr>False</vt:lpwstr>
  </property>
</Properties>
</file>