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printerSettings/printerSettings4.bin" ContentType="application/vnd.openxmlformats-officedocument.spreadsheetml.printerSettings"/>
  <Override PartName="/xl/externalLinks/externalLink4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xl/printerSettings/printerSettings2.bin" ContentType="application/vnd.openxmlformats-officedocument.spreadsheetml.printerSettings"/>
  <Override PartName="/xl/printerSettings/printerSettings3.bin" ContentType="application/vnd.openxmlformats-officedocument.spreadsheetml.printerSettings"/>
  <Override PartName="/xl/printerSettings/printerSettings1.bin" ContentType="application/vnd.openxmlformats-officedocument.spreadsheetml.printerSettings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GrpRevnu\PUBLIC\# Commission Basis Report\Dec_31_22\To File 2022 CBR\"/>
    </mc:Choice>
  </mc:AlternateContent>
  <bookViews>
    <workbookView xWindow="0" yWindow="180" windowWidth="20496" windowHeight="7368" tabRatio="713"/>
  </bookViews>
  <sheets>
    <sheet name="Electric" sheetId="24" r:id="rId1"/>
    <sheet name="Gas" sheetId="25" r:id="rId2"/>
    <sheet name="2022 AMI in  Ratebase" sheetId="22" r:id="rId3"/>
    <sheet name="Plant Assets" sheetId="20" r:id="rId4"/>
    <sheet name="DFIT" sheetId="23" r:id="rId5"/>
    <sheet name="WBS &amp; WO" sheetId="26" r:id="rId6"/>
    <sheet name="45600091" sheetId="27" r:id="rId7"/>
    <sheet name="49500062" sheetId="28" r:id="rId8"/>
  </sheets>
  <externalReferences>
    <externalReference r:id="rId9"/>
    <externalReference r:id="rId10"/>
    <externalReference r:id="rId11"/>
    <externalReference r:id="rId12"/>
  </externalReferences>
  <definedNames>
    <definedName name="__123Graph_ECURRENT" hidden="1">[1]ConsolidatingPL!#REF!</definedName>
    <definedName name="_Order1" hidden="1">255</definedName>
    <definedName name="_Order2" hidden="1">255</definedName>
    <definedName name="_six6" hidden="1">{#N/A,#N/A,FALSE,"CRPT";#N/A,#N/A,FALSE,"TREND";#N/A,#N/A,FALSE,"%Curve"}</definedName>
    <definedName name="a" hidden="1">{#N/A,#N/A,FALSE,"Coversheet";#N/A,#N/A,FALSE,"QA"}</definedName>
    <definedName name="AccessDatabase" hidden="1">"I:\COMTREL\FINICLE\TradeSummary.mdb"</definedName>
    <definedName name="b" hidden="1">{#N/A,#N/A,FALSE,"Coversheet";#N/A,#N/A,FALSE,"QA"}</definedName>
    <definedName name="CBWorkbookPriority" hidden="1">-2060790043</definedName>
    <definedName name="DELETE01" hidden="1">{#N/A,#N/A,FALSE,"Coversheet";#N/A,#N/A,FALSE,"QA"}</definedName>
    <definedName name="DELETE02" hidden="1">{#N/A,#N/A,FALSE,"Schedule F";#N/A,#N/A,FALSE,"Schedule G"}</definedName>
    <definedName name="Delete06" hidden="1">{#N/A,#N/A,FALSE,"Coversheet";#N/A,#N/A,FALSE,"QA"}</definedName>
    <definedName name="Delete09" hidden="1">{#N/A,#N/A,FALSE,"Coversheet";#N/A,#N/A,FALSE,"QA"}</definedName>
    <definedName name="Delete1" hidden="1">{#N/A,#N/A,FALSE,"Coversheet";#N/A,#N/A,FALSE,"QA"}</definedName>
    <definedName name="Delete10" hidden="1">{#N/A,#N/A,FALSE,"Schedule F";#N/A,#N/A,FALSE,"Schedule G"}</definedName>
    <definedName name="Delete21" hidden="1">{#N/A,#N/A,FALSE,"Coversheet";#N/A,#N/A,FALSE,"QA"}</definedName>
    <definedName name="DFIT" hidden="1">{#N/A,#N/A,FALSE,"Coversheet";#N/A,#N/A,FALSE,"QA"}</definedName>
    <definedName name="Estimate" hidden="1">{#N/A,#N/A,FALSE,"Summ";#N/A,#N/A,FALSE,"General"}</definedName>
    <definedName name="ex" hidden="1">{#N/A,#N/A,FALSE,"Summ";#N/A,#N/A,FALSE,"General"}</definedName>
    <definedName name="new" hidden="1">{#N/A,#N/A,FALSE,"Summ";#N/A,#N/A,FALSE,"General"}</definedName>
    <definedName name="six" hidden="1">{#N/A,#N/A,FALSE,"Drill Sites";"WP 212",#N/A,FALSE,"MWAG EOR";"WP 213",#N/A,FALSE,"MWAG EOR";#N/A,#N/A,FALSE,"Misc. Facility";#N/A,#N/A,FALSE,"WWTP"}</definedName>
    <definedName name="t" hidden="1">{#N/A,#N/A,FALSE,"CESTSUM";#N/A,#N/A,FALSE,"est sum A";#N/A,#N/A,FALSE,"est detail A"}</definedName>
    <definedName name="TEMP" hidden="1">{#N/A,#N/A,FALSE,"Summ";#N/A,#N/A,FALSE,"General"}</definedName>
    <definedName name="Temp1" hidden="1">{#N/A,#N/A,FALSE,"CESTSUM";#N/A,#N/A,FALSE,"est sum A";#N/A,#N/A,FALSE,"est detail A"}</definedName>
    <definedName name="u" hidden="1">{#N/A,#N/A,FALSE,"Summ";#N/A,#N/A,FALSE,"General"}</definedName>
    <definedName name="wrn.1._.Bi._.Monthly._.CR." hidden="1">{#N/A,#N/A,FALSE,"Drill Sites";"WP 212",#N/A,FALSE,"MWAG EOR";"WP 213",#N/A,FALSE,"MWAG EOR";#N/A,#N/A,FALSE,"Misc. Facility";#N/A,#N/A,FALSE,"WWTP"}</definedName>
    <definedName name="wrn.AAI." hidden="1">{#N/A,#N/A,FALSE,"CRPT";#N/A,#N/A,FALSE,"TREND";#N/A,#N/A,FALSE,"%Curve"}</definedName>
    <definedName name="wrn.AAI._.Report." hidden="1">{#N/A,#N/A,FALSE,"CRPT";#N/A,#N/A,FALSE,"TREND";#N/A,#N/A,FALSE,"% CURVE"}</definedName>
    <definedName name="wrn.Anvil." hidden="1">{#N/A,#N/A,FALSE,"CRPT";#N/A,#N/A,FALSE,"PCS ";#N/A,#N/A,FALSE,"TREND";#N/A,#N/A,FALSE,"% CURVE";#N/A,#N/A,FALSE,"FWICALC";#N/A,#N/A,FALSE,"CONTINGENCY";#N/A,#N/A,FALSE,"7616 Fab";#N/A,#N/A,FALSE,"7616 NSK"}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hidden="1">{#N/A,#N/A,FALSE,"Pg 6b CustCount_Gas";#N/A,#N/A,FALSE,"QA";#N/A,#N/A,FALSE,"Report";#N/A,#N/A,FALSE,"forecast"}</definedName>
    <definedName name="wrn.ESTIMATE." hidden="1">{#N/A,#N/A,FALSE,"CESTSUM";#N/A,#N/A,FALSE,"est sum A";#N/A,#N/A,FALSE,"est detail A"}</definedName>
    <definedName name="wrn.Fundamental." hidden="1">{#N/A,#N/A,TRUE,"CoverPage";#N/A,#N/A,TRUE,"Gas";#N/A,#N/A,TRUE,"Power";#N/A,#N/A,TRUE,"Historical DJ Mthly Prices"}</definedName>
    <definedName name="wrn.IEO." hidden="1">{#N/A,#N/A,FALSE,"SUMMARY";#N/A,#N/A,FALSE,"AE7616";#N/A,#N/A,FALSE,"AE7617";#N/A,#N/A,FALSE,"AE7618";#N/A,#N/A,FALSE,"AE7619"}</definedName>
    <definedName name="wrn.Incentive._.Overhead." hidden="1">{#N/A,#N/A,FALSE,"Coversheet";#N/A,#N/A,FALSE,"QA"}</definedName>
    <definedName name="wrn.limit_reports." hidden="1">{#N/A,#N/A,FALSE,"Schedule F";#N/A,#N/A,FALSE,"Schedule G"}</definedName>
    <definedName name="wrn.MARGIN_WO_QTR." hidden="1">{#N/A,#N/A,FALSE,"Month ";#N/A,#N/A,FALSE,"YTD";#N/A,#N/A,FALSE,"12 mo ended"}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Project._.Services." hidden="1">{#N/A,#N/A,FALSE,"BASE";#N/A,#N/A,FALSE,"LOOPS";#N/A,#N/A,FALSE,"PLC"}</definedName>
    <definedName name="wrn.SCHEDULE." hidden="1">{#N/A,#N/A,FALSE,"7617 Fab";#N/A,#N/A,FALSE,"7617 NSK"}</definedName>
    <definedName name="wrn.SLB." hidden="1">{#N/A,#N/A,FALSE,"SUMMARY";#N/A,#N/A,FALSE,"AE7616";#N/A,#N/A,FALSE,"AE7617";#N/A,#N/A,FALSE,"AE7618";#N/A,#N/A,FALSE,"AE7619";#N/A,#N/A,FALSE,"Target Materials"}</definedName>
    <definedName name="wrn.Small._.Tools._.Overhead." hidden="1">{#N/A,#N/A,FALSE,"2002 Small Tool OH";#N/A,#N/A,FALSE,"QA"}</definedName>
    <definedName name="wrn.Summary." hidden="1">{#N/A,#N/A,FALSE,"Summ";#N/A,#N/A,FALSE,"General"}</definedName>
  </definedNames>
  <calcPr calcId="162913" concurrentManualCount="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9" i="25" l="1"/>
  <c r="A20" i="25"/>
  <c r="A21" i="25"/>
  <c r="A22" i="25"/>
  <c r="A23" i="25"/>
  <c r="A24" i="25"/>
  <c r="A25" i="25"/>
  <c r="A26" i="25"/>
  <c r="A27" i="25"/>
  <c r="A28" i="25"/>
  <c r="A29" i="25"/>
  <c r="A18" i="25"/>
  <c r="D20" i="25"/>
  <c r="F20" i="25"/>
  <c r="A22" i="24"/>
  <c r="A23" i="24"/>
  <c r="A24" i="24"/>
  <c r="A25" i="24"/>
  <c r="A26" i="24"/>
  <c r="A27" i="24"/>
  <c r="A28" i="24"/>
  <c r="A29" i="24"/>
  <c r="A30" i="24"/>
  <c r="A31" i="24"/>
  <c r="A32" i="24"/>
  <c r="A33" i="24"/>
  <c r="A34" i="24"/>
  <c r="A35" i="24"/>
  <c r="D20" i="24"/>
  <c r="F20" i="24"/>
  <c r="A17" i="24"/>
  <c r="A18" i="24"/>
  <c r="A19" i="24"/>
  <c r="A20" i="24"/>
  <c r="A21" i="24"/>
  <c r="O21" i="23"/>
  <c r="O20" i="23"/>
  <c r="O19" i="23"/>
  <c r="O18" i="23"/>
  <c r="A6" i="25"/>
  <c r="A4" i="22"/>
  <c r="G1" i="20"/>
  <c r="D1" i="20"/>
  <c r="C14" i="23"/>
  <c r="G77" i="26"/>
  <c r="G78" i="26"/>
  <c r="G79" i="26"/>
  <c r="G61" i="26"/>
  <c r="G62" i="26"/>
  <c r="G63" i="26"/>
  <c r="G64" i="26"/>
  <c r="G65" i="26"/>
  <c r="G66" i="26"/>
  <c r="G67" i="26"/>
  <c r="G68" i="26"/>
  <c r="G69" i="26"/>
  <c r="G70" i="26"/>
  <c r="G71" i="26"/>
  <c r="G72" i="26"/>
  <c r="G73" i="26"/>
  <c r="G74" i="26"/>
  <c r="G75" i="26"/>
  <c r="E17" i="24"/>
  <c r="E17" i="25"/>
  <c r="J19" i="20"/>
  <c r="I19" i="20"/>
  <c r="C22" i="20"/>
  <c r="G19" i="20"/>
  <c r="F19" i="20"/>
  <c r="D19" i="20"/>
  <c r="C19" i="20"/>
  <c r="B18" i="23"/>
  <c r="C18" i="23"/>
  <c r="D18" i="23"/>
  <c r="E18" i="23"/>
  <c r="F18" i="23"/>
  <c r="C24" i="20"/>
  <c r="D22" i="20"/>
  <c r="D24" i="20"/>
  <c r="G22" i="20"/>
  <c r="G24" i="20"/>
  <c r="F22" i="20"/>
  <c r="F24" i="20"/>
  <c r="G18" i="23"/>
  <c r="H18" i="23"/>
  <c r="I18" i="23"/>
  <c r="D15" i="22"/>
  <c r="D15" i="25"/>
  <c r="D14" i="22"/>
  <c r="D14" i="25"/>
  <c r="J18" i="23"/>
  <c r="F15" i="25"/>
  <c r="F14" i="25"/>
  <c r="C14" i="22"/>
  <c r="D14" i="24"/>
  <c r="I22" i="20"/>
  <c r="I24" i="20"/>
  <c r="C15" i="22"/>
  <c r="J22" i="20"/>
  <c r="J24" i="20"/>
  <c r="K18" i="23"/>
  <c r="E15" i="22"/>
  <c r="D15" i="24"/>
  <c r="F15" i="24"/>
  <c r="F14" i="24"/>
  <c r="E14" i="22"/>
  <c r="L18" i="23"/>
  <c r="M18" i="23"/>
  <c r="N18" i="23"/>
  <c r="B14" i="23"/>
  <c r="B21" i="23"/>
  <c r="C21" i="23"/>
  <c r="D21" i="23"/>
  <c r="E21" i="23"/>
  <c r="F21" i="23"/>
  <c r="G21" i="23"/>
  <c r="H21" i="23"/>
  <c r="I21" i="23"/>
  <c r="J21" i="23"/>
  <c r="K21" i="23"/>
  <c r="L21" i="23"/>
  <c r="M21" i="23"/>
  <c r="N21" i="23"/>
  <c r="B19" i="23"/>
  <c r="B20" i="23"/>
  <c r="C20" i="23"/>
  <c r="D20" i="23"/>
  <c r="E20" i="23"/>
  <c r="F20" i="23"/>
  <c r="G20" i="23"/>
  <c r="H20" i="23"/>
  <c r="I20" i="23"/>
  <c r="J20" i="23"/>
  <c r="K20" i="23"/>
  <c r="L20" i="23"/>
  <c r="M20" i="23"/>
  <c r="N20" i="23"/>
  <c r="B22" i="23"/>
  <c r="C19" i="23"/>
  <c r="C22" i="23"/>
  <c r="D19" i="23"/>
  <c r="D22" i="23"/>
  <c r="E19" i="23"/>
  <c r="F19" i="23"/>
  <c r="E22" i="23"/>
  <c r="G19" i="23"/>
  <c r="F22" i="23"/>
  <c r="H19" i="23"/>
  <c r="G22" i="23"/>
  <c r="I19" i="23"/>
  <c r="H22" i="23"/>
  <c r="I22" i="23"/>
  <c r="J19" i="23"/>
  <c r="K19" i="23"/>
  <c r="J22" i="23"/>
  <c r="K22" i="23"/>
  <c r="L19" i="23"/>
  <c r="L22" i="23"/>
  <c r="M19" i="23"/>
  <c r="N19" i="23"/>
  <c r="M22" i="23"/>
  <c r="N22" i="23"/>
  <c r="N23" i="23"/>
  <c r="E10" i="23"/>
  <c r="F11" i="23"/>
  <c r="E12" i="23"/>
  <c r="F12" i="23"/>
  <c r="O22" i="23"/>
  <c r="F13" i="23"/>
  <c r="F14" i="23"/>
  <c r="D16" i="22"/>
  <c r="E13" i="23"/>
  <c r="E14" i="23"/>
  <c r="D16" i="25"/>
  <c r="D17" i="22"/>
  <c r="G14" i="23"/>
  <c r="C16" i="22"/>
  <c r="D16" i="24"/>
  <c r="C17" i="22"/>
  <c r="E16" i="22"/>
  <c r="E17" i="22"/>
  <c r="F16" i="25"/>
  <c r="F17" i="25"/>
  <c r="D17" i="25"/>
  <c r="F16" i="24"/>
  <c r="F17" i="24"/>
  <c r="D17" i="24"/>
  <c r="C23" i="24"/>
  <c r="F23" i="24"/>
  <c r="C24" i="24"/>
  <c r="F24" i="24" s="1"/>
  <c r="C22" i="24"/>
  <c r="F22" i="24" s="1"/>
  <c r="F25" i="24" l="1"/>
  <c r="F27" i="24" s="1"/>
  <c r="F28" i="24" l="1"/>
  <c r="F29" i="24"/>
  <c r="C22" i="25" l="1"/>
  <c r="F22" i="25" s="1"/>
  <c r="C24" i="25"/>
  <c r="F24" i="25" s="1"/>
  <c r="C23" i="25"/>
  <c r="F23" i="25" s="1"/>
  <c r="F25" i="25" l="1"/>
  <c r="F27" i="25" s="1"/>
  <c r="F28" i="25" l="1"/>
  <c r="F29" i="25"/>
</calcChain>
</file>

<file path=xl/sharedStrings.xml><?xml version="1.0" encoding="utf-8"?>
<sst xmlns="http://schemas.openxmlformats.org/spreadsheetml/2006/main" count="159" uniqueCount="103">
  <si>
    <t>AMI SYSTEM INTEGRATION - SW.CN.3YR</t>
  </si>
  <si>
    <t>AMI PROJECT - HW.3YR</t>
  </si>
  <si>
    <t>AMI PROJECT - SW.3YR.CN</t>
  </si>
  <si>
    <t>MDMS INTEGRATION FOR AMI-SW.5Y.CS</t>
  </si>
  <si>
    <t>AMI - MDMS UPGRADE - SW.CN.3YR</t>
  </si>
  <si>
    <t>AMI METER SHOP AUTOMATE UPGRADE-SW.CN.3Y</t>
  </si>
  <si>
    <t>AMI INFRASTR ADVANCEDSECURITY.SW.CN.5Y</t>
  </si>
  <si>
    <t>Description</t>
  </si>
  <si>
    <t>Electric</t>
  </si>
  <si>
    <t>Gas</t>
  </si>
  <si>
    <t>Common</t>
  </si>
  <si>
    <t>AMI Gas Combo Meters - SW.CS.3YR</t>
  </si>
  <si>
    <t>CANCELED-AMI Project - HW.3YR</t>
  </si>
  <si>
    <t>AMI Infrastructure Advanced Security-SOF</t>
  </si>
  <si>
    <t>AMI PROJECT - SW.3YR</t>
  </si>
  <si>
    <t>OPTIONAL NON-COMMUNICATING METER-SW.CS.5</t>
  </si>
  <si>
    <t>AMI - NET METERING BILLING REPORT - SW.C</t>
  </si>
  <si>
    <t>AMI ENHANCEMENTS 2019 - SW.CS.3YR</t>
  </si>
  <si>
    <t>MDMS Archive Capability - SW.CS.3YR</t>
  </si>
  <si>
    <t>Disk capacity expension for MDMS - HW.CE</t>
  </si>
  <si>
    <t>143002450;143002516;143002517;143003176;143003178;143003226;143004821;143004825</t>
  </si>
  <si>
    <t>SW</t>
  </si>
  <si>
    <t>HW</t>
  </si>
  <si>
    <t>143002450;143004826;143004825;143004824;143004821;143004550;143003881;143003685;143003226;143003178;143003176;143003173;143002542;143002517;143002516</t>
  </si>
  <si>
    <t>AMI Plant Assets</t>
  </si>
  <si>
    <t>Gross Plant</t>
  </si>
  <si>
    <t>Reserve</t>
  </si>
  <si>
    <t>R.10009.12.01.06</t>
  </si>
  <si>
    <t>CN45N</t>
  </si>
  <si>
    <t>Can</t>
  </si>
  <si>
    <t>APVN</t>
  </si>
  <si>
    <t>Minor Add</t>
  </si>
  <si>
    <t>R.10009.12.01.02</t>
  </si>
  <si>
    <t>Total PSE</t>
  </si>
  <si>
    <t>Total Gas</t>
  </si>
  <si>
    <t>Total Electric</t>
  </si>
  <si>
    <t>No.</t>
  </si>
  <si>
    <t xml:space="preserve">Line </t>
  </si>
  <si>
    <t>Allocation of Common to Electric and Gas</t>
  </si>
  <si>
    <t>Four Factor Allocator</t>
  </si>
  <si>
    <t>Total After Common Allocation</t>
  </si>
  <si>
    <t>PUGET SOUND ENERGY-ELECTRIC</t>
  </si>
  <si>
    <t>REMOVE AMI RATEBASE</t>
  </si>
  <si>
    <t>COMMMISSION BASIS REPORT</t>
  </si>
  <si>
    <t>per Tax Department:</t>
  </si>
  <si>
    <t>AMI Plant Assets Accumulated Deferred Taxes</t>
  </si>
  <si>
    <t>Beg Bal</t>
  </si>
  <si>
    <t>End Bal</t>
  </si>
  <si>
    <t>Electric Meters</t>
  </si>
  <si>
    <t>Gas Meters</t>
  </si>
  <si>
    <t>Common Comm Eq</t>
  </si>
  <si>
    <t>Common Software</t>
  </si>
  <si>
    <t>Total DR/(CR) Balance</t>
  </si>
  <si>
    <t>End Balance</t>
  </si>
  <si>
    <t>check</t>
  </si>
  <si>
    <t>Common Allocation</t>
  </si>
  <si>
    <t>AMA</t>
  </si>
  <si>
    <t>PUGET SOUND ENERGY-GAS</t>
  </si>
  <si>
    <t>COMMISSION BASIS REPORT</t>
  </si>
  <si>
    <t>LINE</t>
  </si>
  <si>
    <t>NO.</t>
  </si>
  <si>
    <t>DESCRIPTION</t>
  </si>
  <si>
    <t>ACTUAL</t>
  </si>
  <si>
    <t>RESTATED</t>
  </si>
  <si>
    <t>ADJUSTMENT</t>
  </si>
  <si>
    <t>PLANT BALANCE</t>
  </si>
  <si>
    <t xml:space="preserve">ACCUM DEPRECIATION </t>
  </si>
  <si>
    <t>DEFERRED INCOME TAX LIABILITY</t>
  </si>
  <si>
    <t>Adj 3.19G</t>
  </si>
  <si>
    <t>Adj 3.19E</t>
  </si>
  <si>
    <t>PUGET SOUND ENERGY- ELECTRIC</t>
  </si>
  <si>
    <t>UTILITY PLANT RATEBASE (AMA)</t>
  </si>
  <si>
    <t>NET  PLANT RATEBASE (AMA)</t>
  </si>
  <si>
    <t>FOR THE TWELVE MONTHS ENDED DECEMBER 31, 2022</t>
  </si>
  <si>
    <t>12/31/2022 AMA</t>
  </si>
  <si>
    <t>Dec-22 AMA Before Common Allocation</t>
  </si>
  <si>
    <t>All May - Dec data comes from the files in this email in the Support folder</t>
  </si>
  <si>
    <t>AR OK 2/16/23</t>
  </si>
  <si>
    <t>JK OK 2/17/23</t>
  </si>
  <si>
    <t>2022 ADIT</t>
  </si>
  <si>
    <t>OTHER OPERATING REVENUES</t>
  </si>
  <si>
    <t>Over/underabsorption</t>
  </si>
  <si>
    <t>Debit</t>
  </si>
  <si>
    <t>Corporate Items</t>
  </si>
  <si>
    <t>Operating Revenues</t>
  </si>
  <si>
    <t>45600091  Misc Other Electric Service Revenue</t>
  </si>
  <si>
    <t>Act. Costs</t>
  </si>
  <si>
    <t>Cost elements</t>
  </si>
  <si>
    <t xml:space="preserve">  Pages:                      0</t>
  </si>
  <si>
    <t xml:space="preserve">  Date:                     03/27/2023</t>
  </si>
  <si>
    <t xml:space="preserve">  ZO12                      Orders: Actual 12 Month Ended</t>
  </si>
  <si>
    <t>Return Deferral for Removal as AMI Plant has been removed.</t>
  </si>
  <si>
    <t>REMOVE AMI RETURN DEFERRAL (ASSOCIATED PLANT REMOVED)</t>
  </si>
  <si>
    <t xml:space="preserve">TOTAL </t>
  </si>
  <si>
    <t>BAD DEBTS - CUSTOMER ACCTS EXPENSES</t>
  </si>
  <si>
    <t>ANNUAL FILING FEE - ADMIN &amp; GENERAL EXPENSE</t>
  </si>
  <si>
    <t>STATE UTILITY TAX - TAXES OTHER THAN F.I.T.</t>
  </si>
  <si>
    <t>INCREASE (DECREASE) OPERATING INCOME BEFORE FIT</t>
  </si>
  <si>
    <t>INCREASE (DECREASE) FIT</t>
  </si>
  <si>
    <t>INCREASE (DECREASE) NOI</t>
  </si>
  <si>
    <t>49500062  Gas - Miscellaneous Revenue</t>
  </si>
  <si>
    <t>REMOVE ELECTRIC AMI REVENUE AND RATEBASE</t>
  </si>
  <si>
    <t>REMOVE GAS AMI REVENUE AND RATEBASE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</si>
</sst>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&quot;PAGE&quot;\ 0.00"/>
    <numFmt numFmtId="166" formatCode="0.000000"/>
    <numFmt numFmtId="167" formatCode="0.00000%"/>
    <numFmt numFmtId="168" formatCode="_(&quot;$&quot;* #,##0_);_(&quot;$&quot;* \(#,##0\);_(&quot;$&quot;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i/>
      <sz val="11"/>
      <color rgb="FF0000FF"/>
      <name val="Times New Roman"/>
      <family val="1"/>
    </font>
    <font>
      <b/>
      <sz val="11"/>
      <color rgb="FFFF0000"/>
      <name val="Times New Roman"/>
      <family val="1"/>
    </font>
    <font>
      <sz val="8"/>
      <color rgb="FFFF0000"/>
      <name val="Times New Roman"/>
      <family val="1"/>
    </font>
    <font>
      <b/>
      <sz val="10"/>
      <color rgb="FFFF0000"/>
      <name val="Times New Roman"/>
      <family val="1"/>
    </font>
    <font>
      <sz val="10"/>
      <name val="Times New Roman"/>
      <family val="1"/>
    </font>
    <font>
      <u/>
      <sz val="10"/>
      <name val="Times New Roman"/>
      <family val="1"/>
    </font>
    <font>
      <sz val="11"/>
      <color rgb="FFFF000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6" fontId="16" fillId="0" borderId="0">
      <alignment horizontal="left" wrapText="1"/>
    </xf>
  </cellStyleXfs>
  <cellXfs count="101">
    <xf numFmtId="0" fontId="0" fillId="0" borderId="0" xfId="0"/>
    <xf numFmtId="0" fontId="0" fillId="0" borderId="0" xfId="0"/>
    <xf numFmtId="0" fontId="0" fillId="2" borderId="0" xfId="0" applyFill="1"/>
    <xf numFmtId="43" fontId="0" fillId="0" borderId="0" xfId="1" applyFont="1"/>
    <xf numFmtId="0" fontId="2" fillId="0" borderId="0" xfId="0" applyNumberFormat="1" applyFont="1" applyFill="1" applyAlignment="1">
      <alignment horizontal="centerContinuous"/>
    </xf>
    <xf numFmtId="0" fontId="3" fillId="0" borderId="0" xfId="0" applyFont="1"/>
    <xf numFmtId="0" fontId="4" fillId="0" borderId="0" xfId="0" applyFont="1" applyAlignment="1">
      <alignment horizontal="right"/>
    </xf>
    <xf numFmtId="0" fontId="5" fillId="0" borderId="0" xfId="0" applyNumberFormat="1" applyFont="1" applyFill="1" applyAlignment="1">
      <alignment horizontal="centerContinuous"/>
    </xf>
    <xf numFmtId="0" fontId="3" fillId="0" borderId="0" xfId="0" applyFont="1" applyAlignment="1">
      <alignment horizontal="centerContinuous"/>
    </xf>
    <xf numFmtId="15" fontId="5" fillId="0" borderId="0" xfId="0" applyNumberFormat="1" applyFont="1" applyFill="1" applyAlignment="1">
      <alignment horizontal="centerContinuous"/>
    </xf>
    <xf numFmtId="18" fontId="5" fillId="0" borderId="0" xfId="0" applyNumberFormat="1" applyFont="1" applyFill="1" applyAlignment="1">
      <alignment horizontal="centerContinuous"/>
    </xf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14" fontId="4" fillId="0" borderId="2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14" fontId="4" fillId="0" borderId="0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42" fontId="6" fillId="0" borderId="0" xfId="0" applyNumberFormat="1" applyFont="1"/>
    <xf numFmtId="41" fontId="6" fillId="0" borderId="0" xfId="0" applyNumberFormat="1" applyFont="1"/>
    <xf numFmtId="0" fontId="7" fillId="0" borderId="0" xfId="0" applyFont="1" applyAlignment="1">
      <alignment vertical="center"/>
    </xf>
    <xf numFmtId="43" fontId="4" fillId="0" borderId="0" xfId="1" applyFont="1" applyAlignment="1">
      <alignment horizontal="right"/>
    </xf>
    <xf numFmtId="10" fontId="4" fillId="0" borderId="0" xfId="1" applyNumberFormat="1" applyFont="1"/>
    <xf numFmtId="43" fontId="4" fillId="0" borderId="0" xfId="1" applyFont="1" applyBorder="1"/>
    <xf numFmtId="43" fontId="4" fillId="0" borderId="0" xfId="1" applyFont="1"/>
    <xf numFmtId="43" fontId="3" fillId="0" borderId="0" xfId="1" applyFont="1" applyBorder="1"/>
    <xf numFmtId="43" fontId="3" fillId="0" borderId="0" xfId="1" applyFont="1"/>
    <xf numFmtId="14" fontId="8" fillId="0" borderId="0" xfId="0" applyNumberFormat="1" applyFont="1" applyAlignment="1">
      <alignment horizontal="center"/>
    </xf>
    <xf numFmtId="0" fontId="3" fillId="0" borderId="0" xfId="0" applyFont="1" applyBorder="1"/>
    <xf numFmtId="43" fontId="4" fillId="0" borderId="2" xfId="1" applyFont="1" applyBorder="1" applyAlignment="1">
      <alignment horizontal="center"/>
    </xf>
    <xf numFmtId="43" fontId="4" fillId="0" borderId="0" xfId="1" applyFont="1" applyBorder="1" applyAlignment="1">
      <alignment horizontal="center"/>
    </xf>
    <xf numFmtId="17" fontId="3" fillId="0" borderId="0" xfId="0" applyNumberFormat="1" applyFont="1"/>
    <xf numFmtId="43" fontId="3" fillId="0" borderId="0" xfId="0" applyNumberFormat="1" applyFont="1"/>
    <xf numFmtId="0" fontId="4" fillId="0" borderId="1" xfId="0" applyFont="1" applyBorder="1"/>
    <xf numFmtId="0" fontId="4" fillId="0" borderId="0" xfId="0" applyFont="1" applyBorder="1"/>
    <xf numFmtId="43" fontId="4" fillId="0" borderId="1" xfId="1" applyFont="1" applyBorder="1"/>
    <xf numFmtId="0" fontId="4" fillId="0" borderId="0" xfId="0" applyFont="1"/>
    <xf numFmtId="0" fontId="4" fillId="0" borderId="0" xfId="0" applyFont="1" applyAlignment="1">
      <alignment horizontal="centerContinuous"/>
    </xf>
    <xf numFmtId="0" fontId="3" fillId="0" borderId="3" xfId="0" applyFont="1" applyBorder="1" applyAlignment="1">
      <alignment horizontal="centerContinuous"/>
    </xf>
    <xf numFmtId="0" fontId="3" fillId="0" borderId="4" xfId="0" applyFont="1" applyBorder="1" applyAlignment="1">
      <alignment horizontal="centerContinuous"/>
    </xf>
    <xf numFmtId="0" fontId="3" fillId="0" borderId="5" xfId="0" applyFont="1" applyBorder="1" applyAlignment="1">
      <alignment horizontal="center"/>
    </xf>
    <xf numFmtId="164" fontId="3" fillId="0" borderId="0" xfId="1" applyNumberFormat="1" applyFont="1"/>
    <xf numFmtId="164" fontId="3" fillId="0" borderId="0" xfId="0" applyNumberFormat="1" applyFont="1"/>
    <xf numFmtId="0" fontId="3" fillId="0" borderId="0" xfId="0" applyFont="1" applyAlignment="1">
      <alignment horizontal="right"/>
    </xf>
    <xf numFmtId="164" fontId="3" fillId="0" borderId="5" xfId="1" applyNumberFormat="1" applyFont="1" applyBorder="1"/>
    <xf numFmtId="164" fontId="3" fillId="0" borderId="5" xfId="0" applyNumberFormat="1" applyFont="1" applyBorder="1"/>
    <xf numFmtId="43" fontId="9" fillId="0" borderId="0" xfId="0" applyNumberFormat="1" applyFont="1"/>
    <xf numFmtId="0" fontId="9" fillId="0" borderId="0" xfId="0" applyFont="1"/>
    <xf numFmtId="17" fontId="3" fillId="0" borderId="2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9" fillId="0" borderId="0" xfId="0" applyFont="1" applyAlignment="1">
      <alignment horizontal="right"/>
    </xf>
    <xf numFmtId="164" fontId="9" fillId="0" borderId="0" xfId="0" applyNumberFormat="1" applyFont="1"/>
    <xf numFmtId="0" fontId="2" fillId="0" borderId="0" xfId="0" quotePrefix="1" applyNumberFormat="1" applyFont="1" applyFill="1" applyBorder="1" applyAlignment="1">
      <alignment horizontal="right"/>
    </xf>
    <xf numFmtId="165" fontId="2" fillId="0" borderId="6" xfId="0" applyNumberFormat="1" applyFont="1" applyFill="1" applyBorder="1" applyAlignment="1">
      <alignment horizontal="right"/>
    </xf>
    <xf numFmtId="0" fontId="2" fillId="0" borderId="0" xfId="0" applyNumberFormat="1" applyFont="1" applyFill="1" applyAlignment="1"/>
    <xf numFmtId="0" fontId="2" fillId="0" borderId="0" xfId="0" applyNumberFormat="1" applyFont="1" applyFill="1" applyAlignment="1" applyProtection="1">
      <alignment horizontal="centerContinuous"/>
      <protection locked="0"/>
    </xf>
    <xf numFmtId="0" fontId="2" fillId="0" borderId="0" xfId="0" applyNumberFormat="1" applyFont="1" applyFill="1" applyBorder="1" applyAlignment="1">
      <alignment horizontal="centerContinuous"/>
    </xf>
    <xf numFmtId="0" fontId="10" fillId="0" borderId="0" xfId="0" applyNumberFormat="1" applyFont="1" applyFill="1" applyAlignment="1">
      <alignment horizontal="centerContinuous"/>
    </xf>
    <xf numFmtId="15" fontId="10" fillId="0" borderId="0" xfId="0" applyNumberFormat="1" applyFont="1" applyFill="1" applyAlignment="1">
      <alignment horizontal="centerContinuous"/>
    </xf>
    <xf numFmtId="18" fontId="2" fillId="0" borderId="0" xfId="0" applyNumberFormat="1" applyFont="1" applyFill="1" applyAlignment="1">
      <alignment horizontal="centerContinuous"/>
    </xf>
    <xf numFmtId="0" fontId="2" fillId="0" borderId="0" xfId="0" applyNumberFormat="1" applyFont="1" applyFill="1" applyAlignment="1">
      <alignment horizontal="left"/>
    </xf>
    <xf numFmtId="0" fontId="2" fillId="0" borderId="0" xfId="0" applyNumberFormat="1" applyFont="1" applyFill="1" applyAlignment="1" applyProtection="1">
      <alignment horizontal="center"/>
      <protection locked="0"/>
    </xf>
    <xf numFmtId="0" fontId="2" fillId="0" borderId="2" xfId="0" applyNumberFormat="1" applyFont="1" applyFill="1" applyBorder="1" applyAlignment="1">
      <alignment horizontal="center"/>
    </xf>
    <xf numFmtId="0" fontId="2" fillId="0" borderId="2" xfId="0" applyNumberFormat="1" applyFont="1" applyFill="1" applyBorder="1" applyAlignment="1"/>
    <xf numFmtId="0" fontId="2" fillId="0" borderId="2" xfId="0" applyNumberFormat="1" applyFont="1" applyFill="1" applyBorder="1" applyAlignment="1" applyProtection="1">
      <alignment horizontal="center"/>
      <protection locked="0"/>
    </xf>
    <xf numFmtId="0" fontId="11" fillId="0" borderId="0" xfId="0" applyNumberFormat="1" applyFont="1" applyFill="1" applyAlignment="1"/>
    <xf numFmtId="37" fontId="11" fillId="0" borderId="0" xfId="0" applyNumberFormat="1" applyFont="1" applyFill="1" applyBorder="1" applyAlignment="1"/>
    <xf numFmtId="0" fontId="11" fillId="0" borderId="0" xfId="0" applyNumberFormat="1" applyFont="1" applyFill="1" applyAlignment="1">
      <alignment horizontal="center"/>
    </xf>
    <xf numFmtId="0" fontId="12" fillId="0" borderId="0" xfId="0" applyFont="1" applyFill="1" applyAlignment="1">
      <alignment horizontal="left"/>
    </xf>
    <xf numFmtId="42" fontId="11" fillId="0" borderId="0" xfId="0" applyNumberFormat="1" applyFont="1" applyFill="1" applyBorder="1" applyAlignment="1"/>
    <xf numFmtId="0" fontId="11" fillId="0" borderId="0" xfId="0" applyFont="1" applyFill="1" applyAlignment="1">
      <alignment horizontal="left" indent="2"/>
    </xf>
    <xf numFmtId="0" fontId="11" fillId="0" borderId="2" xfId="0" applyFont="1" applyFill="1" applyBorder="1" applyAlignment="1">
      <alignment horizontal="left" indent="2"/>
    </xf>
    <xf numFmtId="0" fontId="11" fillId="0" borderId="0" xfId="0" applyFont="1" applyFill="1" applyAlignment="1">
      <alignment horizontal="left"/>
    </xf>
    <xf numFmtId="0" fontId="0" fillId="0" borderId="0" xfId="0" applyNumberFormat="1" applyAlignment="1"/>
    <xf numFmtId="43" fontId="11" fillId="0" borderId="0" xfId="0" applyNumberFormat="1" applyFont="1" applyFill="1" applyBorder="1" applyAlignment="1"/>
    <xf numFmtId="43" fontId="11" fillId="0" borderId="2" xfId="0" applyNumberFormat="1" applyFont="1" applyFill="1" applyBorder="1" applyAlignment="1"/>
    <xf numFmtId="41" fontId="6" fillId="0" borderId="2" xfId="0" applyNumberFormat="1" applyFont="1" applyFill="1" applyBorder="1"/>
    <xf numFmtId="42" fontId="0" fillId="0" borderId="0" xfId="0" applyNumberFormat="1"/>
    <xf numFmtId="164" fontId="11" fillId="0" borderId="0" xfId="0" applyNumberFormat="1" applyFont="1" applyFill="1" applyBorder="1" applyAlignment="1"/>
    <xf numFmtId="164" fontId="11" fillId="0" borderId="2" xfId="0" applyNumberFormat="1" applyFont="1" applyFill="1" applyBorder="1" applyAlignment="1"/>
    <xf numFmtId="0" fontId="0" fillId="0" borderId="0" xfId="0" applyNumberFormat="1"/>
    <xf numFmtId="0" fontId="13" fillId="0" borderId="0" xfId="0" applyFont="1"/>
    <xf numFmtId="0" fontId="14" fillId="0" borderId="0" xfId="0" applyFont="1"/>
    <xf numFmtId="43" fontId="15" fillId="0" borderId="0" xfId="1" applyFont="1"/>
    <xf numFmtId="164" fontId="0" fillId="0" borderId="0" xfId="0" applyNumberFormat="1"/>
    <xf numFmtId="166" fontId="11" fillId="0" borderId="0" xfId="4" applyFont="1" applyFill="1" applyBorder="1" applyAlignment="1">
      <alignment horizontal="left"/>
    </xf>
    <xf numFmtId="166" fontId="11" fillId="0" borderId="0" xfId="4" applyFont="1" applyFill="1" applyBorder="1">
      <alignment horizontal="left" wrapText="1"/>
    </xf>
    <xf numFmtId="167" fontId="11" fillId="0" borderId="0" xfId="2" applyNumberFormat="1" applyFont="1" applyFill="1" applyBorder="1" applyAlignment="1">
      <alignment horizontal="center"/>
    </xf>
    <xf numFmtId="44" fontId="0" fillId="0" borderId="0" xfId="0" applyNumberFormat="1"/>
    <xf numFmtId="168" fontId="0" fillId="0" borderId="7" xfId="0" applyNumberFormat="1" applyBorder="1"/>
    <xf numFmtId="166" fontId="11" fillId="0" borderId="0" xfId="4" applyFont="1" applyFill="1" applyBorder="1" applyAlignment="1"/>
    <xf numFmtId="168" fontId="0" fillId="0" borderId="0" xfId="0" applyNumberFormat="1"/>
    <xf numFmtId="9" fontId="11" fillId="0" borderId="0" xfId="2" applyFont="1" applyFill="1" applyBorder="1" applyAlignment="1"/>
    <xf numFmtId="164" fontId="0" fillId="0" borderId="0" xfId="1" applyNumberFormat="1" applyFont="1"/>
    <xf numFmtId="168" fontId="2" fillId="0" borderId="1" xfId="3" applyNumberFormat="1" applyFont="1" applyFill="1" applyBorder="1"/>
    <xf numFmtId="167" fontId="11" fillId="0" borderId="0" xfId="0" applyNumberFormat="1" applyFont="1" applyFill="1" applyBorder="1" applyAlignment="1">
      <alignment horizontal="center"/>
    </xf>
    <xf numFmtId="14" fontId="8" fillId="0" borderId="0" xfId="0" applyNumberFormat="1" applyFont="1" applyFill="1" applyAlignment="1">
      <alignment horizontal="center"/>
    </xf>
    <xf numFmtId="14" fontId="8" fillId="0" borderId="0" xfId="0" applyNumberFormat="1" applyFont="1" applyFill="1" applyBorder="1" applyAlignment="1">
      <alignment horizontal="center"/>
    </xf>
    <xf numFmtId="43" fontId="3" fillId="0" borderId="0" xfId="1" applyFont="1" applyFill="1" applyBorder="1"/>
    <xf numFmtId="0" fontId="3" fillId="0" borderId="0" xfId="0" applyFont="1" applyFill="1"/>
    <xf numFmtId="43" fontId="4" fillId="0" borderId="0" xfId="1" applyFont="1" applyFill="1" applyAlignment="1">
      <alignment horizontal="center"/>
    </xf>
  </cellXfs>
  <cellStyles count="5">
    <cellStyle name="Comma" xfId="1" builtinId="3"/>
    <cellStyle name="Currency" xfId="3" builtinId="4"/>
    <cellStyle name="Normal" xfId="0" builtinId="0"/>
    <cellStyle name="Percent" xfId="2" builtinId="5"/>
    <cellStyle name="Style 1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20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2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54</xdr:row>
      <xdr:rowOff>0</xdr:rowOff>
    </xdr:from>
    <xdr:to>
      <xdr:col>17</xdr:col>
      <xdr:colOff>322477</xdr:colOff>
      <xdr:row>58</xdr:row>
      <xdr:rowOff>9429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9875520"/>
          <a:ext cx="11043817" cy="740949"/>
        </a:xfrm>
        <a:prstGeom prst="rect">
          <a:avLst/>
        </a:prstGeom>
      </xdr:spPr>
    </xdr:pic>
    <xdr:clientData/>
  </xdr:twoCellAnchor>
  <xdr:twoCellAnchor editAs="oneCell">
    <xdr:from>
      <xdr:col>19</xdr:col>
      <xdr:colOff>0</xdr:colOff>
      <xdr:row>34</xdr:row>
      <xdr:rowOff>0</xdr:rowOff>
    </xdr:from>
    <xdr:to>
      <xdr:col>29</xdr:col>
      <xdr:colOff>580174</xdr:colOff>
      <xdr:row>66</xdr:row>
      <xdr:rowOff>151619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940540" y="6217920"/>
          <a:ext cx="6828574" cy="60037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107</xdr:row>
      <xdr:rowOff>0</xdr:rowOff>
    </xdr:from>
    <xdr:to>
      <xdr:col>16</xdr:col>
      <xdr:colOff>209549</xdr:colOff>
      <xdr:row>138</xdr:row>
      <xdr:rowOff>152984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9568160"/>
          <a:ext cx="10321289" cy="582226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19</xdr:row>
      <xdr:rowOff>28575</xdr:rowOff>
    </xdr:from>
    <xdr:to>
      <xdr:col>20</xdr:col>
      <xdr:colOff>141296</xdr:colOff>
      <xdr:row>23</xdr:row>
      <xdr:rowOff>9432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3503295"/>
          <a:ext cx="12691436" cy="71237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84</xdr:row>
      <xdr:rowOff>0</xdr:rowOff>
    </xdr:from>
    <xdr:to>
      <xdr:col>11</xdr:col>
      <xdr:colOff>332465</xdr:colOff>
      <xdr:row>105</xdr:row>
      <xdr:rowOff>180452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15361920"/>
          <a:ext cx="7320005" cy="402093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19</xdr:col>
      <xdr:colOff>227087</xdr:colOff>
      <xdr:row>19</xdr:row>
      <xdr:rowOff>56714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0" y="182880"/>
          <a:ext cx="12167627" cy="334855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%23EL%20Dec%202022CBR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%23GS%20Dec%202022CBR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2.05%20Allocation%20Method%20CBR%20Dec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  <sheetName val="Rock Island 1"/>
      <sheetName val="NIM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01 ROR ROE"/>
      <sheetName val="Summaries"/>
      <sheetName val="1.02 COC"/>
      <sheetName val="Electric Earnings Sharing"/>
      <sheetName val="Inputs"/>
      <sheetName val="Restating Print Macros"/>
      <sheetName val="Module13"/>
      <sheetName val="Module14"/>
      <sheetName val="Module15"/>
      <sheetName val="Module1"/>
    </sheetNames>
    <sheetDataSet>
      <sheetData sheetId="0"/>
      <sheetData sheetId="1"/>
      <sheetData sheetId="2"/>
      <sheetData sheetId="3"/>
      <sheetData sheetId="4">
        <row r="6">
          <cell r="B6">
            <v>5.3359999999999996E-3</v>
          </cell>
        </row>
        <row r="7">
          <cell r="B7">
            <v>2E-3</v>
          </cell>
        </row>
        <row r="8">
          <cell r="B8">
            <v>3.8526999999999999E-2</v>
          </cell>
        </row>
      </sheetData>
      <sheetData sheetId="5"/>
      <sheetData sheetId="6"/>
      <sheetData sheetId="7"/>
      <sheetData sheetId="8"/>
      <sheetData sheetId="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01 ROR ROE"/>
      <sheetName val="1.02 COC"/>
      <sheetName val="model"/>
      <sheetName val="Earnings Sharing-CBR to Adj CBR"/>
      <sheetName val="Inputs"/>
      <sheetName val="Restating Print Macros"/>
      <sheetName val="Module13"/>
      <sheetName val="Module14"/>
      <sheetName val="Module15"/>
      <sheetName val="Module1"/>
    </sheetNames>
    <sheetDataSet>
      <sheetData sheetId="0"/>
      <sheetData sheetId="1"/>
      <sheetData sheetId="2"/>
      <sheetData sheetId="3"/>
      <sheetData sheetId="4">
        <row r="6">
          <cell r="B6">
            <v>2.7460000000000002E-3</v>
          </cell>
        </row>
        <row r="7">
          <cell r="B7">
            <v>2E-3</v>
          </cell>
        </row>
        <row r="8">
          <cell r="B8">
            <v>3.8413999999999997E-2</v>
          </cell>
        </row>
      </sheetData>
      <sheetData sheetId="5"/>
      <sheetData sheetId="6"/>
      <sheetData sheetId="7"/>
      <sheetData sheetId="8"/>
      <sheetData sheetId="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E &amp; G RB"/>
      <sheetName val="2022 Dec BS"/>
      <sheetName val="2021 Dec BS"/>
      <sheetName val="2022 Dec IS "/>
      <sheetName val="SAP DL Downld"/>
      <sheetName val="Meter Count"/>
      <sheetName val="Electric"/>
      <sheetName val="Gas"/>
      <sheetName val="Combined-2021"/>
      <sheetName val="DLReconBBS"/>
      <sheetName val="Elect. Customer Counts Pg 10a "/>
      <sheetName val="Gas Customer Counts Pg 10b"/>
      <sheetName val="2021 Dec IS "/>
      <sheetName val="2"/>
    </sheetNames>
    <sheetDataSet>
      <sheetData sheetId="0">
        <row r="8">
          <cell r="E8">
            <v>1210402</v>
          </cell>
        </row>
        <row r="35">
          <cell r="E35">
            <v>0.65659999999999996</v>
          </cell>
          <cell r="F35">
            <v>0.34339999999999998</v>
          </cell>
        </row>
      </sheetData>
      <sheetData sheetId="1">
        <row r="41">
          <cell r="D41">
            <v>5699624441.3454142</v>
          </cell>
        </row>
      </sheetData>
      <sheetData sheetId="2"/>
      <sheetData sheetId="3"/>
      <sheetData sheetId="4"/>
      <sheetData sheetId="5">
        <row r="9">
          <cell r="G9">
            <v>65034940.059999995</v>
          </cell>
        </row>
      </sheetData>
      <sheetData sheetId="6">
        <row r="1799">
          <cell r="D1799">
            <v>826158</v>
          </cell>
        </row>
      </sheetData>
      <sheetData sheetId="7">
        <row r="491">
          <cell r="S491">
            <v>1665560972</v>
          </cell>
        </row>
      </sheetData>
      <sheetData sheetId="8">
        <row r="10">
          <cell r="S10">
            <v>0</v>
          </cell>
        </row>
      </sheetData>
      <sheetData sheetId="9"/>
      <sheetData sheetId="10"/>
      <sheetData sheetId="11">
        <row r="53">
          <cell r="D53">
            <v>1196859</v>
          </cell>
        </row>
      </sheetData>
      <sheetData sheetId="12">
        <row r="53">
          <cell r="D53">
            <v>860438</v>
          </cell>
        </row>
      </sheetData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tabSelected="1" workbookViewId="0">
      <selection activeCell="B33" sqref="B33"/>
    </sheetView>
  </sheetViews>
  <sheetFormatPr defaultRowHeight="14.4" x14ac:dyDescent="0.3"/>
  <cols>
    <col min="1" max="1" width="5" bestFit="1" customWidth="1"/>
    <col min="2" max="2" width="61.6640625" bestFit="1" customWidth="1"/>
    <col min="3" max="3" width="9" style="1" bestFit="1" customWidth="1"/>
    <col min="4" max="5" width="13.33203125" customWidth="1"/>
    <col min="6" max="6" width="15" bestFit="1" customWidth="1"/>
    <col min="8" max="8" width="28.5546875" customWidth="1"/>
  </cols>
  <sheetData>
    <row r="1" spans="1:6" ht="15" thickBot="1" x14ac:dyDescent="0.35">
      <c r="A1" s="1"/>
      <c r="B1" s="1"/>
      <c r="D1" s="1"/>
      <c r="E1" s="1"/>
      <c r="F1" s="1"/>
    </row>
    <row r="2" spans="1:6" ht="15" thickBot="1" x14ac:dyDescent="0.35">
      <c r="A2" s="52"/>
      <c r="B2" s="52"/>
      <c r="C2" s="52"/>
      <c r="D2" s="52"/>
      <c r="E2" s="52"/>
      <c r="F2" s="53" t="s">
        <v>69</v>
      </c>
    </row>
    <row r="3" spans="1:6" x14ac:dyDescent="0.3">
      <c r="A3" s="54"/>
      <c r="B3" s="54"/>
      <c r="C3" s="54"/>
      <c r="D3" s="54"/>
      <c r="E3" s="54"/>
      <c r="F3" s="54"/>
    </row>
    <row r="4" spans="1:6" x14ac:dyDescent="0.3">
      <c r="A4" s="55" t="s">
        <v>70</v>
      </c>
      <c r="B4" s="56"/>
      <c r="C4" s="56"/>
      <c r="D4" s="56"/>
      <c r="E4" s="56"/>
      <c r="F4" s="56"/>
    </row>
    <row r="5" spans="1:6" x14ac:dyDescent="0.3">
      <c r="A5" s="57" t="s">
        <v>101</v>
      </c>
      <c r="B5" s="58"/>
      <c r="C5" s="58"/>
      <c r="D5" s="58"/>
      <c r="E5" s="58"/>
      <c r="F5" s="58"/>
    </row>
    <row r="6" spans="1:6" x14ac:dyDescent="0.3">
      <c r="A6" s="4" t="s">
        <v>73</v>
      </c>
      <c r="B6" s="59"/>
      <c r="C6" s="59"/>
      <c r="D6" s="59"/>
      <c r="E6" s="59"/>
      <c r="F6" s="59"/>
    </row>
    <row r="7" spans="1:6" x14ac:dyDescent="0.3">
      <c r="A7" s="55" t="s">
        <v>58</v>
      </c>
      <c r="B7" s="59"/>
      <c r="C7" s="59"/>
      <c r="D7" s="59"/>
      <c r="E7" s="59"/>
      <c r="F7" s="59"/>
    </row>
    <row r="8" spans="1:6" x14ac:dyDescent="0.3">
      <c r="A8" s="60"/>
      <c r="B8" s="60"/>
      <c r="C8" s="60"/>
      <c r="D8" s="60"/>
      <c r="E8" s="60"/>
      <c r="F8" s="60"/>
    </row>
    <row r="9" spans="1:6" x14ac:dyDescent="0.3">
      <c r="A9" s="61" t="s">
        <v>59</v>
      </c>
      <c r="B9" s="54"/>
      <c r="C9" s="54"/>
      <c r="D9" s="61"/>
      <c r="E9" s="61"/>
      <c r="F9" s="61"/>
    </row>
    <row r="10" spans="1:6" x14ac:dyDescent="0.3">
      <c r="A10" s="62" t="s">
        <v>60</v>
      </c>
      <c r="B10" s="63" t="s">
        <v>61</v>
      </c>
      <c r="C10" s="63"/>
      <c r="D10" s="64" t="s">
        <v>62</v>
      </c>
      <c r="E10" s="64" t="s">
        <v>63</v>
      </c>
      <c r="F10" s="64" t="s">
        <v>64</v>
      </c>
    </row>
    <row r="11" spans="1:6" x14ac:dyDescent="0.3">
      <c r="A11" s="65"/>
      <c r="B11" s="66"/>
      <c r="C11" s="66"/>
      <c r="D11" s="66"/>
      <c r="E11" s="66"/>
      <c r="F11" s="66"/>
    </row>
    <row r="12" spans="1:6" x14ac:dyDescent="0.3">
      <c r="A12" s="67">
        <v>1</v>
      </c>
      <c r="B12" s="68"/>
      <c r="C12" s="68"/>
      <c r="D12" s="69"/>
      <c r="E12" s="69"/>
      <c r="F12" s="69"/>
    </row>
    <row r="13" spans="1:6" x14ac:dyDescent="0.3">
      <c r="A13" s="67">
        <v>2</v>
      </c>
      <c r="B13" s="68" t="s">
        <v>71</v>
      </c>
      <c r="C13" s="68"/>
      <c r="D13" s="65"/>
      <c r="E13" s="66"/>
      <c r="F13" s="66"/>
    </row>
    <row r="14" spans="1:6" x14ac:dyDescent="0.3">
      <c r="A14" s="67">
        <v>3</v>
      </c>
      <c r="B14" s="70" t="s">
        <v>65</v>
      </c>
      <c r="C14" s="70"/>
      <c r="D14" s="69">
        <f>'2022 AMI in  Ratebase'!C14</f>
        <v>219430371.45025772</v>
      </c>
      <c r="E14" s="69">
        <v>0</v>
      </c>
      <c r="F14" s="69">
        <f>E14-D14</f>
        <v>-219430371.45025772</v>
      </c>
    </row>
    <row r="15" spans="1:6" x14ac:dyDescent="0.3">
      <c r="A15" s="67">
        <v>4</v>
      </c>
      <c r="B15" s="70" t="s">
        <v>66</v>
      </c>
      <c r="C15" s="70"/>
      <c r="D15" s="78">
        <f>'2022 AMI in  Ratebase'!C15</f>
        <v>-31844753.859865982</v>
      </c>
      <c r="E15" s="74">
        <v>0</v>
      </c>
      <c r="F15" s="78">
        <f>E15-D15</f>
        <v>31844753.859865982</v>
      </c>
    </row>
    <row r="16" spans="1:6" x14ac:dyDescent="0.3">
      <c r="A16" s="67">
        <v>5</v>
      </c>
      <c r="B16" s="71" t="s">
        <v>67</v>
      </c>
      <c r="C16" s="71"/>
      <c r="D16" s="79">
        <f>'2022 AMI in  Ratebase'!C16</f>
        <v>-23411673.146145329</v>
      </c>
      <c r="E16" s="75">
        <v>0</v>
      </c>
      <c r="F16" s="79">
        <f>E16-D16</f>
        <v>23411673.146145329</v>
      </c>
    </row>
    <row r="17" spans="1:6" x14ac:dyDescent="0.3">
      <c r="A17" s="67">
        <f>+A16+1</f>
        <v>6</v>
      </c>
      <c r="B17" s="72" t="s">
        <v>72</v>
      </c>
      <c r="C17" s="72"/>
      <c r="D17" s="69">
        <f>SUM(D14:D16)</f>
        <v>164173944.44424641</v>
      </c>
      <c r="E17" s="69">
        <f t="shared" ref="E17:F17" si="0">SUM(E14:E16)</f>
        <v>0</v>
      </c>
      <c r="F17" s="69">
        <f t="shared" si="0"/>
        <v>-164173944.44424641</v>
      </c>
    </row>
    <row r="18" spans="1:6" x14ac:dyDescent="0.3">
      <c r="A18" s="67">
        <f t="shared" ref="A18:A35" si="1">+A17+1</f>
        <v>7</v>
      </c>
    </row>
    <row r="19" spans="1:6" x14ac:dyDescent="0.3">
      <c r="A19" s="67">
        <f t="shared" si="1"/>
        <v>8</v>
      </c>
      <c r="B19" s="68" t="s">
        <v>80</v>
      </c>
      <c r="C19" s="68"/>
    </row>
    <row r="20" spans="1:6" x14ac:dyDescent="0.3">
      <c r="A20" s="67">
        <f t="shared" si="1"/>
        <v>9</v>
      </c>
      <c r="B20" s="70" t="s">
        <v>92</v>
      </c>
      <c r="C20" s="70"/>
      <c r="D20" s="84">
        <f>'45600091'!B13</f>
        <v>-6204629.9800000004</v>
      </c>
      <c r="F20" s="69">
        <f>E20-D20</f>
        <v>6204629.9800000004</v>
      </c>
    </row>
    <row r="21" spans="1:6" x14ac:dyDescent="0.3">
      <c r="A21" s="67">
        <f t="shared" si="1"/>
        <v>10</v>
      </c>
    </row>
    <row r="22" spans="1:6" x14ac:dyDescent="0.3">
      <c r="A22" s="67">
        <f t="shared" si="1"/>
        <v>11</v>
      </c>
      <c r="B22" s="85" t="s">
        <v>94</v>
      </c>
      <c r="C22" s="87">
        <f>[2]Inputs!$B$6</f>
        <v>5.3359999999999996E-3</v>
      </c>
      <c r="F22" s="88">
        <f>-C22*F20</f>
        <v>-33107.905573279997</v>
      </c>
    </row>
    <row r="23" spans="1:6" x14ac:dyDescent="0.3">
      <c r="A23" s="67">
        <f t="shared" si="1"/>
        <v>12</v>
      </c>
      <c r="B23" s="85" t="s">
        <v>95</v>
      </c>
      <c r="C23" s="87">
        <f>[2]Inputs!$B$7</f>
        <v>2E-3</v>
      </c>
      <c r="F23" s="88">
        <f>-C23*F20</f>
        <v>-12409.259960000001</v>
      </c>
    </row>
    <row r="24" spans="1:6" x14ac:dyDescent="0.3">
      <c r="A24" s="67">
        <f t="shared" si="1"/>
        <v>13</v>
      </c>
      <c r="B24" s="85" t="s">
        <v>96</v>
      </c>
      <c r="C24" s="87">
        <f>[2]Inputs!$B$8</f>
        <v>3.8526999999999999E-2</v>
      </c>
      <c r="F24" s="88">
        <f>-C24*F20</f>
        <v>-239045.77923946001</v>
      </c>
    </row>
    <row r="25" spans="1:6" x14ac:dyDescent="0.3">
      <c r="A25" s="67">
        <f t="shared" si="1"/>
        <v>14</v>
      </c>
      <c r="B25" s="86" t="s">
        <v>93</v>
      </c>
      <c r="C25" s="86"/>
      <c r="F25" s="89">
        <f>SUM(F22:F24)</f>
        <v>-284562.94477274001</v>
      </c>
    </row>
    <row r="26" spans="1:6" x14ac:dyDescent="0.3">
      <c r="A26" s="67">
        <f t="shared" si="1"/>
        <v>15</v>
      </c>
      <c r="B26" s="72"/>
      <c r="C26" s="72"/>
    </row>
    <row r="27" spans="1:6" x14ac:dyDescent="0.3">
      <c r="A27" s="67">
        <f t="shared" si="1"/>
        <v>16</v>
      </c>
      <c r="B27" s="90" t="s">
        <v>97</v>
      </c>
      <c r="F27" s="91">
        <f>-F20-F25</f>
        <v>-5920067.0352272606</v>
      </c>
    </row>
    <row r="28" spans="1:6" x14ac:dyDescent="0.3">
      <c r="A28" s="67">
        <f t="shared" si="1"/>
        <v>17</v>
      </c>
      <c r="B28" s="90" t="s">
        <v>98</v>
      </c>
      <c r="C28" s="92">
        <v>0.21</v>
      </c>
      <c r="F28" s="91">
        <f>+C28*F27</f>
        <v>-1243214.0773977246</v>
      </c>
    </row>
    <row r="29" spans="1:6" ht="15" thickBot="1" x14ac:dyDescent="0.35">
      <c r="A29" s="67">
        <f t="shared" si="1"/>
        <v>18</v>
      </c>
      <c r="B29" s="90" t="s">
        <v>99</v>
      </c>
      <c r="F29" s="94">
        <f>F27-F28</f>
        <v>-4676852.9578295359</v>
      </c>
    </row>
    <row r="30" spans="1:6" ht="15" thickTop="1" x14ac:dyDescent="0.3">
      <c r="A30" s="67">
        <f t="shared" si="1"/>
        <v>19</v>
      </c>
    </row>
    <row r="31" spans="1:6" x14ac:dyDescent="0.3">
      <c r="A31" s="67">
        <f t="shared" si="1"/>
        <v>20</v>
      </c>
    </row>
    <row r="32" spans="1:6" x14ac:dyDescent="0.3">
      <c r="A32" s="67">
        <f t="shared" si="1"/>
        <v>21</v>
      </c>
    </row>
    <row r="33" spans="1:1" x14ac:dyDescent="0.3">
      <c r="A33" s="67">
        <f t="shared" si="1"/>
        <v>22</v>
      </c>
    </row>
    <row r="34" spans="1:1" x14ac:dyDescent="0.3">
      <c r="A34" s="67">
        <f t="shared" si="1"/>
        <v>23</v>
      </c>
    </row>
    <row r="35" spans="1:1" x14ac:dyDescent="0.3">
      <c r="A35" s="67">
        <f t="shared" si="1"/>
        <v>24</v>
      </c>
    </row>
  </sheetData>
  <pageMargins left="0.7" right="0.7" top="0.75" bottom="0.75" header="0.3" footer="0.3"/>
  <customProperties>
    <customPr name="_pios_id" r:id="rId1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workbookViewId="0">
      <selection activeCell="F20" sqref="F20"/>
    </sheetView>
  </sheetViews>
  <sheetFormatPr defaultRowHeight="14.4" x14ac:dyDescent="0.3"/>
  <cols>
    <col min="1" max="1" width="5" bestFit="1" customWidth="1"/>
    <col min="2" max="2" width="56.33203125" customWidth="1"/>
    <col min="3" max="3" width="16.33203125" style="1" customWidth="1"/>
    <col min="4" max="5" width="13.33203125" customWidth="1"/>
    <col min="6" max="6" width="14" bestFit="1" customWidth="1"/>
  </cols>
  <sheetData>
    <row r="1" spans="1:6" ht="15" thickBot="1" x14ac:dyDescent="0.35"/>
    <row r="2" spans="1:6" ht="15" thickBot="1" x14ac:dyDescent="0.35">
      <c r="A2" s="52"/>
      <c r="B2" s="52"/>
      <c r="C2" s="52"/>
      <c r="D2" s="52"/>
      <c r="E2" s="52"/>
      <c r="F2" s="53" t="s">
        <v>68</v>
      </c>
    </row>
    <row r="3" spans="1:6" x14ac:dyDescent="0.3">
      <c r="A3" s="54"/>
      <c r="B3" s="54"/>
      <c r="C3" s="54"/>
      <c r="D3" s="54"/>
      <c r="E3" s="54"/>
      <c r="F3" s="54"/>
    </row>
    <row r="4" spans="1:6" x14ac:dyDescent="0.3">
      <c r="A4" s="55" t="s">
        <v>57</v>
      </c>
      <c r="B4" s="56"/>
      <c r="C4" s="56"/>
      <c r="D4" s="56"/>
      <c r="E4" s="56"/>
      <c r="F4" s="56"/>
    </row>
    <row r="5" spans="1:6" x14ac:dyDescent="0.3">
      <c r="A5" s="57" t="s">
        <v>102</v>
      </c>
      <c r="B5" s="58"/>
      <c r="C5" s="58"/>
      <c r="D5" s="58"/>
      <c r="E5" s="58"/>
      <c r="F5" s="58"/>
    </row>
    <row r="6" spans="1:6" x14ac:dyDescent="0.3">
      <c r="A6" s="4" t="str">
        <f>Electric!A6</f>
        <v>FOR THE TWELVE MONTHS ENDED DECEMBER 31, 2022</v>
      </c>
      <c r="B6" s="59"/>
      <c r="C6" s="59"/>
      <c r="D6" s="59"/>
      <c r="E6" s="59"/>
      <c r="F6" s="59"/>
    </row>
    <row r="7" spans="1:6" x14ac:dyDescent="0.3">
      <c r="A7" s="55" t="s">
        <v>58</v>
      </c>
      <c r="B7" s="59"/>
      <c r="C7" s="59"/>
      <c r="D7" s="59"/>
      <c r="E7" s="59"/>
      <c r="F7" s="59"/>
    </row>
    <row r="8" spans="1:6" x14ac:dyDescent="0.3">
      <c r="A8" s="60"/>
      <c r="B8" s="60"/>
      <c r="C8" s="60"/>
      <c r="D8" s="60"/>
      <c r="E8" s="60"/>
      <c r="F8" s="60"/>
    </row>
    <row r="9" spans="1:6" x14ac:dyDescent="0.3">
      <c r="A9" s="61" t="s">
        <v>59</v>
      </c>
      <c r="B9" s="54"/>
      <c r="C9" s="54"/>
      <c r="D9" s="61"/>
      <c r="E9" s="61"/>
      <c r="F9" s="61"/>
    </row>
    <row r="10" spans="1:6" x14ac:dyDescent="0.3">
      <c r="A10" s="62" t="s">
        <v>60</v>
      </c>
      <c r="B10" s="63" t="s">
        <v>61</v>
      </c>
      <c r="C10" s="63"/>
      <c r="D10" s="64" t="s">
        <v>62</v>
      </c>
      <c r="E10" s="64" t="s">
        <v>63</v>
      </c>
      <c r="F10" s="64" t="s">
        <v>64</v>
      </c>
    </row>
    <row r="11" spans="1:6" x14ac:dyDescent="0.3">
      <c r="A11" s="65"/>
      <c r="B11" s="66"/>
      <c r="C11" s="66"/>
      <c r="D11" s="66"/>
      <c r="E11" s="66"/>
      <c r="F11" s="66"/>
    </row>
    <row r="12" spans="1:6" x14ac:dyDescent="0.3">
      <c r="A12" s="67">
        <v>1</v>
      </c>
      <c r="B12" s="68"/>
      <c r="C12" s="68"/>
      <c r="D12" s="69"/>
      <c r="E12" s="69"/>
      <c r="F12" s="69"/>
    </row>
    <row r="13" spans="1:6" x14ac:dyDescent="0.3">
      <c r="A13" s="67">
        <v>2</v>
      </c>
      <c r="B13" s="68" t="s">
        <v>71</v>
      </c>
      <c r="C13" s="68"/>
      <c r="D13" s="65"/>
      <c r="E13" s="66"/>
      <c r="F13" s="66"/>
    </row>
    <row r="14" spans="1:6" x14ac:dyDescent="0.3">
      <c r="A14" s="67">
        <v>3</v>
      </c>
      <c r="B14" s="70" t="s">
        <v>65</v>
      </c>
      <c r="C14" s="70"/>
      <c r="D14" s="69">
        <f>'2022 AMI in  Ratebase'!D14</f>
        <v>104292323.71140899</v>
      </c>
      <c r="E14" s="69">
        <v>0</v>
      </c>
      <c r="F14" s="69">
        <f>E14-D14</f>
        <v>-104292323.71140899</v>
      </c>
    </row>
    <row r="15" spans="1:6" x14ac:dyDescent="0.3">
      <c r="A15" s="67">
        <v>4</v>
      </c>
      <c r="B15" s="70" t="s">
        <v>66</v>
      </c>
      <c r="C15" s="70"/>
      <c r="D15" s="78">
        <f>'2022 AMI in  Ratebase'!D15</f>
        <v>-10713779.193823919</v>
      </c>
      <c r="E15" s="78">
        <v>0</v>
      </c>
      <c r="F15" s="78">
        <f>E15-D15</f>
        <v>10713779.193823919</v>
      </c>
    </row>
    <row r="16" spans="1:6" x14ac:dyDescent="0.3">
      <c r="A16" s="67">
        <v>5</v>
      </c>
      <c r="B16" s="71" t="s">
        <v>67</v>
      </c>
      <c r="C16" s="71"/>
      <c r="D16" s="79">
        <f>'2022 AMI in  Ratebase'!D16</f>
        <v>-10968336.770870598</v>
      </c>
      <c r="E16" s="79">
        <v>0</v>
      </c>
      <c r="F16" s="79">
        <f>E16-D16</f>
        <v>10968336.770870598</v>
      </c>
    </row>
    <row r="17" spans="1:7" x14ac:dyDescent="0.3">
      <c r="A17" s="67">
        <v>6</v>
      </c>
      <c r="B17" s="72" t="s">
        <v>72</v>
      </c>
      <c r="C17" s="72"/>
      <c r="D17" s="69">
        <f>SUM(D14:D16)</f>
        <v>82610207.746714473</v>
      </c>
      <c r="E17" s="69">
        <f t="shared" ref="E17:F17" si="0">SUM(E14:E16)</f>
        <v>0</v>
      </c>
      <c r="F17" s="69">
        <f t="shared" si="0"/>
        <v>-82610207.746714473</v>
      </c>
      <c r="G17" s="77"/>
    </row>
    <row r="18" spans="1:7" x14ac:dyDescent="0.3">
      <c r="A18" s="67">
        <f>+A17+1</f>
        <v>7</v>
      </c>
      <c r="B18" s="73"/>
      <c r="C18" s="73"/>
      <c r="D18" s="73"/>
      <c r="E18" s="73"/>
      <c r="F18" s="73"/>
    </row>
    <row r="19" spans="1:7" x14ac:dyDescent="0.3">
      <c r="A19" s="67">
        <f t="shared" ref="A19:A29" si="1">+A18+1</f>
        <v>8</v>
      </c>
      <c r="B19" s="68" t="s">
        <v>80</v>
      </c>
      <c r="C19" s="68"/>
      <c r="D19" s="1"/>
      <c r="E19" s="1"/>
      <c r="F19" s="1"/>
    </row>
    <row r="20" spans="1:7" x14ac:dyDescent="0.3">
      <c r="A20" s="67">
        <f t="shared" si="1"/>
        <v>9</v>
      </c>
      <c r="B20" s="70" t="s">
        <v>92</v>
      </c>
      <c r="C20" s="70"/>
      <c r="D20" s="84">
        <f>+'49500062'!B13</f>
        <v>-2757454.58</v>
      </c>
      <c r="E20" s="1"/>
      <c r="F20" s="69">
        <f>E20-D20</f>
        <v>2757454.58</v>
      </c>
    </row>
    <row r="21" spans="1:7" x14ac:dyDescent="0.3">
      <c r="A21" s="67">
        <f t="shared" si="1"/>
        <v>10</v>
      </c>
      <c r="B21" s="1"/>
      <c r="D21" s="1"/>
      <c r="E21" s="1"/>
      <c r="F21" s="1"/>
    </row>
    <row r="22" spans="1:7" x14ac:dyDescent="0.3">
      <c r="A22" s="67">
        <f t="shared" si="1"/>
        <v>11</v>
      </c>
      <c r="B22" s="85" t="s">
        <v>94</v>
      </c>
      <c r="C22" s="95">
        <f>[3]Inputs!$B$6</f>
        <v>2.7460000000000002E-3</v>
      </c>
      <c r="D22" s="1"/>
      <c r="E22" s="1"/>
      <c r="F22" s="88">
        <f>-C22*F20</f>
        <v>-7571.970276680001</v>
      </c>
    </row>
    <row r="23" spans="1:7" x14ac:dyDescent="0.3">
      <c r="A23" s="67">
        <f t="shared" si="1"/>
        <v>12</v>
      </c>
      <c r="B23" s="85" t="s">
        <v>95</v>
      </c>
      <c r="C23" s="95">
        <f>[3]Inputs!$B$7</f>
        <v>2E-3</v>
      </c>
      <c r="D23" s="1"/>
      <c r="E23" s="1"/>
      <c r="F23" s="88">
        <f>-C23*F20</f>
        <v>-5514.9091600000002</v>
      </c>
    </row>
    <row r="24" spans="1:7" x14ac:dyDescent="0.3">
      <c r="A24" s="67">
        <f t="shared" si="1"/>
        <v>13</v>
      </c>
      <c r="B24" s="85" t="s">
        <v>96</v>
      </c>
      <c r="C24" s="95">
        <f>[3]Inputs!$B$8</f>
        <v>3.8413999999999997E-2</v>
      </c>
      <c r="D24" s="1"/>
      <c r="E24" s="1"/>
      <c r="F24" s="88">
        <f>-C24*F20</f>
        <v>-105924.86023611999</v>
      </c>
    </row>
    <row r="25" spans="1:7" x14ac:dyDescent="0.3">
      <c r="A25" s="67">
        <f t="shared" si="1"/>
        <v>14</v>
      </c>
      <c r="B25" s="86" t="s">
        <v>93</v>
      </c>
      <c r="C25" s="86"/>
      <c r="D25" s="1"/>
      <c r="E25" s="1"/>
      <c r="F25" s="89">
        <f>SUM(F22:F24)</f>
        <v>-119011.73967279999</v>
      </c>
    </row>
    <row r="26" spans="1:7" x14ac:dyDescent="0.3">
      <c r="A26" s="67">
        <f t="shared" si="1"/>
        <v>15</v>
      </c>
      <c r="B26" s="72"/>
      <c r="C26" s="72"/>
      <c r="D26" s="1"/>
      <c r="E26" s="1"/>
      <c r="F26" s="1"/>
    </row>
    <row r="27" spans="1:7" x14ac:dyDescent="0.3">
      <c r="A27" s="67">
        <f t="shared" si="1"/>
        <v>16</v>
      </c>
      <c r="B27" s="90" t="s">
        <v>97</v>
      </c>
      <c r="D27" s="1"/>
      <c r="E27" s="1"/>
      <c r="F27" s="91">
        <f>-F20-F25</f>
        <v>-2638442.8403272</v>
      </c>
    </row>
    <row r="28" spans="1:7" x14ac:dyDescent="0.3">
      <c r="A28" s="67">
        <f t="shared" si="1"/>
        <v>17</v>
      </c>
      <c r="B28" s="90" t="s">
        <v>98</v>
      </c>
      <c r="C28" s="92">
        <v>0.21</v>
      </c>
      <c r="D28" s="1"/>
      <c r="E28" s="1"/>
      <c r="F28" s="91">
        <f>+C28*F27</f>
        <v>-554072.99646871199</v>
      </c>
    </row>
    <row r="29" spans="1:7" ht="15" thickBot="1" x14ac:dyDescent="0.35">
      <c r="A29" s="67">
        <f t="shared" si="1"/>
        <v>18</v>
      </c>
      <c r="B29" s="90" t="s">
        <v>99</v>
      </c>
      <c r="D29" s="1"/>
      <c r="E29" s="1"/>
      <c r="F29" s="94">
        <f>F27-F28</f>
        <v>-2084369.8438584879</v>
      </c>
    </row>
    <row r="30" spans="1:7" ht="15" thickTop="1" x14ac:dyDescent="0.3"/>
  </sheetData>
  <pageMargins left="0.7" right="0.7" top="0.75" bottom="0.75" header="0.3" footer="0.3"/>
  <customProperties>
    <customPr name="_pios_id" r:id="rId1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workbookViewId="0">
      <selection activeCell="F21" sqref="F21"/>
    </sheetView>
  </sheetViews>
  <sheetFormatPr defaultColWidth="8.88671875" defaultRowHeight="13.8" x14ac:dyDescent="0.25"/>
  <cols>
    <col min="1" max="1" width="4.88671875" style="5" bestFit="1" customWidth="1"/>
    <col min="2" max="2" width="34.44140625" style="5" bestFit="1" customWidth="1"/>
    <col min="3" max="3" width="14.33203125" style="5" bestFit="1" customWidth="1"/>
    <col min="4" max="4" width="13.5546875" style="5" bestFit="1" customWidth="1"/>
    <col min="5" max="5" width="14.33203125" style="5" bestFit="1" customWidth="1"/>
    <col min="6" max="16384" width="8.88671875" style="5"/>
  </cols>
  <sheetData>
    <row r="1" spans="1:5" x14ac:dyDescent="0.25">
      <c r="E1" s="6"/>
    </row>
    <row r="2" spans="1:5" x14ac:dyDescent="0.25">
      <c r="A2" s="7" t="s">
        <v>41</v>
      </c>
      <c r="B2" s="8"/>
      <c r="C2" s="8"/>
      <c r="D2" s="8"/>
      <c r="E2" s="8"/>
    </row>
    <row r="3" spans="1:5" x14ac:dyDescent="0.25">
      <c r="A3" s="9" t="s">
        <v>42</v>
      </c>
      <c r="B3" s="8"/>
      <c r="C3" s="8"/>
      <c r="D3" s="8"/>
      <c r="E3" s="8"/>
    </row>
    <row r="4" spans="1:5" x14ac:dyDescent="0.25">
      <c r="A4" s="10" t="str">
        <f>Electric!A6</f>
        <v>FOR THE TWELVE MONTHS ENDED DECEMBER 31, 2022</v>
      </c>
      <c r="B4" s="8"/>
      <c r="C4" s="8"/>
      <c r="D4" s="8"/>
      <c r="E4" s="8"/>
    </row>
    <row r="5" spans="1:5" x14ac:dyDescent="0.25">
      <c r="A5" s="7" t="s">
        <v>43</v>
      </c>
      <c r="B5" s="8"/>
      <c r="C5" s="8"/>
      <c r="D5" s="8"/>
      <c r="E5" s="8"/>
    </row>
    <row r="6" spans="1:5" x14ac:dyDescent="0.25">
      <c r="A6" s="4"/>
      <c r="B6" s="8"/>
      <c r="C6" s="8"/>
      <c r="D6" s="8"/>
      <c r="E6" s="8"/>
    </row>
    <row r="7" spans="1:5" x14ac:dyDescent="0.25">
      <c r="A7" s="4"/>
      <c r="B7" s="8"/>
      <c r="C7" s="8"/>
      <c r="D7" s="8"/>
      <c r="E7" s="8"/>
    </row>
    <row r="8" spans="1:5" x14ac:dyDescent="0.25">
      <c r="A8" s="4"/>
      <c r="B8" s="8"/>
      <c r="C8" s="8"/>
      <c r="D8" s="8"/>
      <c r="E8" s="8"/>
    </row>
    <row r="9" spans="1:5" x14ac:dyDescent="0.25">
      <c r="A9" s="11" t="s">
        <v>37</v>
      </c>
    </row>
    <row r="10" spans="1:5" x14ac:dyDescent="0.25">
      <c r="A10" s="12" t="s">
        <v>36</v>
      </c>
      <c r="B10" s="12" t="s">
        <v>7</v>
      </c>
      <c r="C10" s="13" t="s">
        <v>35</v>
      </c>
      <c r="D10" s="13" t="s">
        <v>34</v>
      </c>
      <c r="E10" s="13" t="s">
        <v>33</v>
      </c>
    </row>
    <row r="11" spans="1:5" x14ac:dyDescent="0.25">
      <c r="A11" s="15"/>
      <c r="B11" s="15"/>
      <c r="C11" s="16"/>
      <c r="D11" s="16"/>
      <c r="E11" s="16"/>
    </row>
    <row r="12" spans="1:5" x14ac:dyDescent="0.25">
      <c r="A12" s="14">
        <v>1</v>
      </c>
      <c r="B12" s="15"/>
      <c r="C12" s="16"/>
      <c r="D12" s="16"/>
      <c r="E12" s="16"/>
    </row>
    <row r="13" spans="1:5" x14ac:dyDescent="0.25">
      <c r="A13" s="17">
        <v>2</v>
      </c>
      <c r="B13" s="68" t="s">
        <v>71</v>
      </c>
    </row>
    <row r="14" spans="1:5" x14ac:dyDescent="0.25">
      <c r="A14" s="17">
        <v>3</v>
      </c>
      <c r="B14" s="70" t="s">
        <v>65</v>
      </c>
      <c r="C14" s="18">
        <f>'Plant Assets'!C24</f>
        <v>219430371.45025772</v>
      </c>
      <c r="D14" s="18">
        <f>'Plant Assets'!F24</f>
        <v>104292323.71140899</v>
      </c>
      <c r="E14" s="18">
        <f>C14+D14</f>
        <v>323722695.16166669</v>
      </c>
    </row>
    <row r="15" spans="1:5" x14ac:dyDescent="0.25">
      <c r="A15" s="14">
        <v>4</v>
      </c>
      <c r="B15" s="70" t="s">
        <v>66</v>
      </c>
      <c r="C15" s="19">
        <f>-'Plant Assets'!D24</f>
        <v>-31844753.859865982</v>
      </c>
      <c r="D15" s="19">
        <f>-'Plant Assets'!G24</f>
        <v>-10713779.193823919</v>
      </c>
      <c r="E15" s="19">
        <f>D15+C15</f>
        <v>-42558533.053689897</v>
      </c>
    </row>
    <row r="16" spans="1:5" x14ac:dyDescent="0.25">
      <c r="A16" s="14">
        <v>5</v>
      </c>
      <c r="B16" s="71" t="s">
        <v>67</v>
      </c>
      <c r="C16" s="76">
        <f>DFIT!E14</f>
        <v>-23411673.146145329</v>
      </c>
      <c r="D16" s="76">
        <f>DFIT!F14</f>
        <v>-10968336.770870598</v>
      </c>
      <c r="E16" s="76">
        <f>D16+C16</f>
        <v>-34380009.917015925</v>
      </c>
    </row>
    <row r="17" spans="1:5" x14ac:dyDescent="0.25">
      <c r="A17" s="14">
        <v>6</v>
      </c>
      <c r="B17" s="72" t="s">
        <v>72</v>
      </c>
      <c r="C17" s="18">
        <f>SUM(C14:C16)</f>
        <v>164173944.44424641</v>
      </c>
      <c r="D17" s="18">
        <f>SUM(D14:D16)</f>
        <v>82610207.746714473</v>
      </c>
      <c r="E17" s="18">
        <f>SUM(E14:E16)</f>
        <v>246784152.19096088</v>
      </c>
    </row>
    <row r="24" spans="1:5" ht="14.4" x14ac:dyDescent="0.25">
      <c r="B24" s="20"/>
    </row>
    <row r="25" spans="1:5" ht="14.4" x14ac:dyDescent="0.25">
      <c r="B25" s="20"/>
    </row>
  </sheetData>
  <pageMargins left="0.7" right="0.7" top="0.75" bottom="0.75" header="0.3" footer="0.3"/>
  <pageSetup orientation="portrait" r:id="rId1"/>
  <customProperties>
    <customPr name="_pios_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5"/>
  <sheetViews>
    <sheetView workbookViewId="0">
      <pane ySplit="3" topLeftCell="A4" activePane="bottomLeft" state="frozen"/>
      <selection pane="bottomLeft" activeCell="F28" sqref="F28"/>
    </sheetView>
  </sheetViews>
  <sheetFormatPr defaultColWidth="8.88671875" defaultRowHeight="13.8" x14ac:dyDescent="0.25"/>
  <cols>
    <col min="1" max="1" width="36.44140625" style="5" bestFit="1" customWidth="1"/>
    <col min="2" max="2" width="3.44140625" style="28" customWidth="1"/>
    <col min="3" max="3" width="19.6640625" style="26" bestFit="1" customWidth="1"/>
    <col min="4" max="4" width="15.6640625" style="26" bestFit="1" customWidth="1"/>
    <col min="5" max="5" width="4" style="25" customWidth="1"/>
    <col min="6" max="6" width="16.88671875" style="26" bestFit="1" customWidth="1"/>
    <col min="7" max="7" width="15.6640625" style="26" bestFit="1" customWidth="1"/>
    <col min="8" max="8" width="3.88671875" style="25" customWidth="1"/>
    <col min="9" max="10" width="15.6640625" style="26" bestFit="1" customWidth="1"/>
    <col min="11" max="11" width="5.33203125" style="5" customWidth="1"/>
    <col min="12" max="16384" width="8.88671875" style="5"/>
  </cols>
  <sheetData>
    <row r="1" spans="1:12" x14ac:dyDescent="0.25">
      <c r="A1" s="11" t="s">
        <v>24</v>
      </c>
      <c r="B1" s="15"/>
      <c r="C1" s="21" t="s">
        <v>39</v>
      </c>
      <c r="D1" s="22">
        <f>[4]Lead!$E$35</f>
        <v>0.65659999999999996</v>
      </c>
      <c r="E1" s="23"/>
      <c r="F1" s="24"/>
      <c r="G1" s="22">
        <f>[4]Lead!$F$35</f>
        <v>0.34339999999999998</v>
      </c>
    </row>
    <row r="2" spans="1:12" s="99" customFormat="1" x14ac:dyDescent="0.25">
      <c r="A2" s="96" t="s">
        <v>74</v>
      </c>
      <c r="B2" s="97"/>
      <c r="C2" s="100" t="s">
        <v>8</v>
      </c>
      <c r="D2" s="100"/>
      <c r="E2" s="98"/>
      <c r="F2" s="100" t="s">
        <v>9</v>
      </c>
      <c r="G2" s="100"/>
      <c r="H2" s="98"/>
      <c r="I2" s="100" t="s">
        <v>10</v>
      </c>
      <c r="J2" s="100"/>
    </row>
    <row r="3" spans="1:12" x14ac:dyDescent="0.25">
      <c r="C3" s="29" t="s">
        <v>25</v>
      </c>
      <c r="D3" s="29" t="s">
        <v>26</v>
      </c>
      <c r="E3" s="30"/>
      <c r="F3" s="29" t="s">
        <v>25</v>
      </c>
      <c r="G3" s="29" t="s">
        <v>26</v>
      </c>
      <c r="H3" s="30"/>
      <c r="I3" s="29" t="s">
        <v>25</v>
      </c>
      <c r="J3" s="29" t="s">
        <v>26</v>
      </c>
    </row>
    <row r="4" spans="1:12" x14ac:dyDescent="0.25">
      <c r="B4" s="5"/>
      <c r="C4" s="5"/>
      <c r="D4" s="5"/>
      <c r="E4" s="5"/>
      <c r="F4" s="5"/>
      <c r="G4" s="5"/>
      <c r="H4" s="5"/>
      <c r="I4" s="5"/>
      <c r="J4" s="5"/>
    </row>
    <row r="5" spans="1:12" x14ac:dyDescent="0.25">
      <c r="A5" s="31">
        <v>44531</v>
      </c>
      <c r="B5" s="5"/>
      <c r="C5" s="32">
        <v>166330918.37</v>
      </c>
      <c r="D5" s="32">
        <v>18129967.037717599</v>
      </c>
      <c r="E5" s="32"/>
      <c r="F5" s="32">
        <v>79477107.519999996</v>
      </c>
      <c r="G5" s="32">
        <v>4738218.0785166007</v>
      </c>
      <c r="H5" s="32"/>
      <c r="I5" s="32">
        <v>64149043.360000007</v>
      </c>
      <c r="J5" s="32">
        <v>11109026.930916309</v>
      </c>
      <c r="L5" s="5" t="s">
        <v>76</v>
      </c>
    </row>
    <row r="6" spans="1:12" x14ac:dyDescent="0.25">
      <c r="A6" s="31">
        <v>44562</v>
      </c>
      <c r="B6" s="5"/>
      <c r="C6" s="32">
        <v>166402317.05000001</v>
      </c>
      <c r="D6" s="32">
        <v>18887034.899501</v>
      </c>
      <c r="E6" s="32"/>
      <c r="F6" s="32">
        <v>80999872.099999994</v>
      </c>
      <c r="G6" s="32">
        <v>5027064.2319586016</v>
      </c>
      <c r="H6" s="32"/>
      <c r="I6" s="32">
        <v>64990773.370000012</v>
      </c>
      <c r="J6" s="32">
        <v>11558853.890653955</v>
      </c>
    </row>
    <row r="7" spans="1:12" x14ac:dyDescent="0.25">
      <c r="A7" s="31">
        <v>44593</v>
      </c>
      <c r="B7" s="5"/>
      <c r="C7" s="32">
        <v>167955106.15000001</v>
      </c>
      <c r="D7" s="32">
        <v>19653270.765745599</v>
      </c>
      <c r="E7" s="32"/>
      <c r="F7" s="32">
        <v>78980942.539999992</v>
      </c>
      <c r="G7" s="32">
        <v>5158510.3307912815</v>
      </c>
      <c r="H7" s="32"/>
      <c r="I7" s="32">
        <v>65016065.56000001</v>
      </c>
      <c r="J7" s="32">
        <v>12011416.984536752</v>
      </c>
    </row>
    <row r="8" spans="1:12" x14ac:dyDescent="0.25">
      <c r="A8" s="31">
        <v>44621</v>
      </c>
      <c r="B8" s="5"/>
      <c r="C8" s="32">
        <v>173432875.46000001</v>
      </c>
      <c r="D8" s="32">
        <v>20435618.300756101</v>
      </c>
      <c r="E8" s="32"/>
      <c r="F8" s="32">
        <v>80830470.929999992</v>
      </c>
      <c r="G8" s="32">
        <v>5373477.8558366932</v>
      </c>
      <c r="H8" s="32"/>
      <c r="I8" s="32">
        <v>65019903.420000009</v>
      </c>
      <c r="J8" s="32">
        <v>12463986.35308006</v>
      </c>
    </row>
    <row r="9" spans="1:12" x14ac:dyDescent="0.25">
      <c r="A9" s="31">
        <v>44652</v>
      </c>
      <c r="B9" s="5"/>
      <c r="C9" s="32">
        <v>173503338.94</v>
      </c>
      <c r="D9" s="32">
        <v>21230680.294748999</v>
      </c>
      <c r="E9" s="32"/>
      <c r="F9" s="32">
        <v>80273491.999999985</v>
      </c>
      <c r="G9" s="32">
        <v>5605511.0548881227</v>
      </c>
      <c r="H9" s="32"/>
      <c r="I9" s="32">
        <v>65026453.940000013</v>
      </c>
      <c r="J9" s="32">
        <v>12916679.813480902</v>
      </c>
    </row>
    <row r="10" spans="1:12" x14ac:dyDescent="0.25">
      <c r="A10" s="31">
        <v>44682</v>
      </c>
      <c r="B10" s="5"/>
      <c r="C10" s="32">
        <v>173698435</v>
      </c>
      <c r="D10" s="32">
        <v>22026350.800000001</v>
      </c>
      <c r="E10" s="32"/>
      <c r="F10" s="32">
        <v>80344748.809999987</v>
      </c>
      <c r="G10" s="32">
        <v>5891380.3222000003</v>
      </c>
      <c r="H10" s="32"/>
      <c r="I10" s="32">
        <v>64925932.980000012</v>
      </c>
      <c r="J10" s="32">
        <v>13368137.437000001</v>
      </c>
    </row>
    <row r="11" spans="1:12" x14ac:dyDescent="0.25">
      <c r="A11" s="31">
        <v>44713</v>
      </c>
      <c r="B11" s="5"/>
      <c r="C11" s="32">
        <v>173911682.09</v>
      </c>
      <c r="D11" s="32">
        <v>22822957.542475</v>
      </c>
      <c r="E11" s="32"/>
      <c r="F11" s="32">
        <v>82110459.959999993</v>
      </c>
      <c r="G11" s="32">
        <v>6081595.7509585433</v>
      </c>
      <c r="H11" s="32"/>
      <c r="I11" s="32">
        <v>64825436.750000007</v>
      </c>
      <c r="J11" s="32">
        <v>13701340.122506119</v>
      </c>
    </row>
    <row r="12" spans="1:12" x14ac:dyDescent="0.25">
      <c r="A12" s="31">
        <v>44743</v>
      </c>
      <c r="B12" s="5"/>
      <c r="C12" s="32">
        <v>176436606.33000001</v>
      </c>
      <c r="D12" s="32">
        <v>23625838.620730501</v>
      </c>
      <c r="E12" s="32"/>
      <c r="F12" s="32">
        <v>83095882.149999991</v>
      </c>
      <c r="G12" s="32">
        <v>6226311.9118375266</v>
      </c>
      <c r="H12" s="32"/>
      <c r="I12" s="32">
        <v>64839966.110000007</v>
      </c>
      <c r="J12" s="32">
        <v>14151691.30827705</v>
      </c>
    </row>
    <row r="13" spans="1:12" x14ac:dyDescent="0.25">
      <c r="A13" s="31">
        <v>44774</v>
      </c>
      <c r="B13" s="5"/>
      <c r="C13" s="32">
        <v>180587926.13</v>
      </c>
      <c r="D13" s="32">
        <v>24444019.9493712</v>
      </c>
      <c r="E13" s="32"/>
      <c r="F13" s="32">
        <v>83547577.439999998</v>
      </c>
      <c r="G13" s="32">
        <v>6324100.025634544</v>
      </c>
      <c r="H13" s="32"/>
      <c r="I13" s="32">
        <v>64840439.660000004</v>
      </c>
      <c r="J13" s="32">
        <v>14601219.029328279</v>
      </c>
    </row>
    <row r="14" spans="1:12" x14ac:dyDescent="0.25">
      <c r="A14" s="31">
        <v>44805</v>
      </c>
      <c r="B14" s="5"/>
      <c r="C14" s="32">
        <v>184893175.40000001</v>
      </c>
      <c r="D14" s="32">
        <v>25281580.8093905</v>
      </c>
      <c r="E14" s="32"/>
      <c r="F14" s="32">
        <v>84290213.010000005</v>
      </c>
      <c r="G14" s="32">
        <v>6502337.1339801131</v>
      </c>
      <c r="H14" s="32"/>
      <c r="I14" s="32">
        <v>64852044.760000005</v>
      </c>
      <c r="J14" s="32">
        <v>14987750.538520573</v>
      </c>
    </row>
    <row r="15" spans="1:12" x14ac:dyDescent="0.25">
      <c r="A15" s="31">
        <v>44835</v>
      </c>
      <c r="B15" s="5"/>
      <c r="C15" s="32">
        <v>184972954.94999999</v>
      </c>
      <c r="D15" s="32">
        <v>26129190.770659301</v>
      </c>
      <c r="E15" s="32"/>
      <c r="F15" s="32">
        <v>81915803.939999983</v>
      </c>
      <c r="G15" s="32">
        <v>6789786.4228981966</v>
      </c>
      <c r="H15" s="32"/>
      <c r="I15" s="32">
        <v>64791257.720000006</v>
      </c>
      <c r="J15" s="32">
        <v>15436651.272591161</v>
      </c>
    </row>
    <row r="16" spans="1:12" x14ac:dyDescent="0.25">
      <c r="A16" s="31">
        <v>44866</v>
      </c>
      <c r="B16" s="5"/>
      <c r="C16" s="32">
        <v>188582579.18000001</v>
      </c>
      <c r="D16" s="32">
        <v>26985255.537361398</v>
      </c>
      <c r="E16" s="32"/>
      <c r="F16" s="32">
        <v>83554690.939999998</v>
      </c>
      <c r="G16" s="32">
        <v>7090641.3274475271</v>
      </c>
      <c r="H16" s="32"/>
      <c r="I16" s="32">
        <v>64366292.850000001</v>
      </c>
      <c r="J16" s="32">
        <v>15884223.50197986</v>
      </c>
    </row>
    <row r="17" spans="1:10" x14ac:dyDescent="0.25">
      <c r="A17" s="31">
        <v>44896</v>
      </c>
      <c r="B17" s="5"/>
      <c r="C17" s="32">
        <v>189877803.99000001</v>
      </c>
      <c r="D17" s="32">
        <v>26696185.228328899</v>
      </c>
      <c r="E17" s="32"/>
      <c r="F17" s="32">
        <v>89478631.75999999</v>
      </c>
      <c r="G17" s="32">
        <v>7072171.2844134709</v>
      </c>
      <c r="H17" s="32"/>
      <c r="I17" s="32">
        <v>64399743.640000001</v>
      </c>
      <c r="J17" s="32">
        <v>16310294.906413792</v>
      </c>
    </row>
    <row r="18" spans="1:10" x14ac:dyDescent="0.25">
      <c r="B18" s="5"/>
      <c r="C18" s="5"/>
      <c r="D18" s="5"/>
      <c r="E18" s="5"/>
      <c r="F18" s="5"/>
      <c r="G18" s="5"/>
      <c r="H18" s="5"/>
      <c r="I18" s="5"/>
      <c r="J18" s="5"/>
    </row>
    <row r="19" spans="1:10" ht="14.4" thickBot="1" x14ac:dyDescent="0.3">
      <c r="A19" s="33" t="s">
        <v>75</v>
      </c>
      <c r="B19" s="34"/>
      <c r="C19" s="35">
        <f>((C5+C17)+(2*(SUM(C6:C16))))/24</f>
        <v>176873446.48833337</v>
      </c>
      <c r="D19" s="35">
        <f>((D5+D17)+(2*(SUM(D6:D16))))/24</f>
        <v>22827906.201980237</v>
      </c>
      <c r="E19" s="23"/>
      <c r="F19" s="35">
        <f>((F5+F17)+(2*(SUM(F6:F16))))/24</f>
        <v>82035168.621666655</v>
      </c>
      <c r="G19" s="35">
        <f>((G5+G17)+(2*(SUM(G6:G16))))/24</f>
        <v>5997992.5874913484</v>
      </c>
      <c r="H19" s="23"/>
      <c r="I19" s="35">
        <f>((I5+I17)+(2*(SUM(I6:I16))))/24</f>
        <v>64814080.051666677</v>
      </c>
      <c r="J19" s="35">
        <f>((J5+J17)+(2*(SUM(J6:J16))))/24</f>
        <v>13732634.264218315</v>
      </c>
    </row>
    <row r="20" spans="1:10" ht="14.4" thickTop="1" x14ac:dyDescent="0.25"/>
    <row r="22" spans="1:10" x14ac:dyDescent="0.25">
      <c r="A22" s="36" t="s">
        <v>38</v>
      </c>
      <c r="C22" s="26">
        <f>$D$1*I19</f>
        <v>42556924.961924337</v>
      </c>
      <c r="D22" s="26">
        <f>$D$1*J19</f>
        <v>9016847.6578857452</v>
      </c>
      <c r="F22" s="26">
        <f>I19*$G$1</f>
        <v>22257155.089742336</v>
      </c>
      <c r="G22" s="26">
        <f>J19*$G$1</f>
        <v>4715786.6063325694</v>
      </c>
      <c r="I22" s="26">
        <f>-C22-F22</f>
        <v>-64814080.051666677</v>
      </c>
      <c r="J22" s="26">
        <f>-D22-G22</f>
        <v>-13732634.264218315</v>
      </c>
    </row>
    <row r="24" spans="1:10" ht="14.4" thickBot="1" x14ac:dyDescent="0.3">
      <c r="A24" s="33" t="s">
        <v>40</v>
      </c>
      <c r="B24" s="34"/>
      <c r="C24" s="35">
        <f>C19+C22</f>
        <v>219430371.45025772</v>
      </c>
      <c r="D24" s="35">
        <f>D19+D22</f>
        <v>31844753.859865982</v>
      </c>
      <c r="E24" s="23"/>
      <c r="F24" s="35">
        <f>F19+F22</f>
        <v>104292323.71140899</v>
      </c>
      <c r="G24" s="35">
        <f>G19+G22</f>
        <v>10713779.193823919</v>
      </c>
      <c r="H24" s="23"/>
      <c r="I24" s="35">
        <f>I19+I22</f>
        <v>0</v>
      </c>
      <c r="J24" s="35">
        <f>J19+J22</f>
        <v>0</v>
      </c>
    </row>
    <row r="25" spans="1:10" ht="14.4" thickTop="1" x14ac:dyDescent="0.25"/>
  </sheetData>
  <mergeCells count="3">
    <mergeCell ref="C2:D2"/>
    <mergeCell ref="F2:G2"/>
    <mergeCell ref="I2:J2"/>
  </mergeCells>
  <pageMargins left="0.7" right="0.7" top="0.75" bottom="0.75" header="0.3" footer="0.3"/>
  <pageSetup scale="81" orientation="landscape" r:id="rId1"/>
  <customProperties>
    <customPr name="_pios_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Z23"/>
  <sheetViews>
    <sheetView workbookViewId="0">
      <selection activeCell="B22" sqref="B22"/>
    </sheetView>
  </sheetViews>
  <sheetFormatPr defaultColWidth="8.88671875" defaultRowHeight="13.8" x14ac:dyDescent="0.25"/>
  <cols>
    <col min="1" max="1" width="21.6640625" style="5" customWidth="1"/>
    <col min="2" max="2" width="13.33203125" style="5" bestFit="1" customWidth="1"/>
    <col min="3" max="3" width="14.33203125" style="5" bestFit="1" customWidth="1"/>
    <col min="4" max="15" width="12.109375" style="5" bestFit="1" customWidth="1"/>
    <col min="16" max="27" width="12" style="5" bestFit="1" customWidth="1"/>
    <col min="28" max="16384" width="8.88671875" style="5"/>
  </cols>
  <sheetData>
    <row r="2" spans="1:15" x14ac:dyDescent="0.25">
      <c r="A2" s="5" t="s">
        <v>44</v>
      </c>
    </row>
    <row r="4" spans="1:15" ht="14.4" x14ac:dyDescent="0.3">
      <c r="A4" s="36" t="s">
        <v>45</v>
      </c>
      <c r="D4" s="82" t="s">
        <v>77</v>
      </c>
      <c r="E4" s="83" t="s">
        <v>78</v>
      </c>
    </row>
    <row r="5" spans="1:15" x14ac:dyDescent="0.25">
      <c r="A5" s="27" t="s">
        <v>74</v>
      </c>
    </row>
    <row r="7" spans="1:15" x14ac:dyDescent="0.25">
      <c r="E7" s="37" t="s">
        <v>55</v>
      </c>
      <c r="F7" s="37"/>
    </row>
    <row r="8" spans="1:15" x14ac:dyDescent="0.25">
      <c r="B8" s="38" t="s">
        <v>79</v>
      </c>
      <c r="C8" s="39"/>
      <c r="E8" s="38" t="s">
        <v>53</v>
      </c>
      <c r="F8" s="39"/>
    </row>
    <row r="9" spans="1:15" x14ac:dyDescent="0.25">
      <c r="B9" s="40" t="s">
        <v>46</v>
      </c>
      <c r="C9" s="40" t="s">
        <v>47</v>
      </c>
      <c r="E9" s="40" t="s">
        <v>8</v>
      </c>
      <c r="F9" s="40" t="s">
        <v>9</v>
      </c>
    </row>
    <row r="10" spans="1:15" x14ac:dyDescent="0.25">
      <c r="A10" s="5" t="s">
        <v>48</v>
      </c>
      <c r="B10" s="41">
        <v>-16916900.561307043</v>
      </c>
      <c r="C10" s="41">
        <v>-22016497.866317347</v>
      </c>
      <c r="E10" s="42">
        <f>O18</f>
        <v>-19466699.213812202</v>
      </c>
      <c r="F10" s="42"/>
    </row>
    <row r="11" spans="1:15" x14ac:dyDescent="0.25">
      <c r="A11" s="5" t="s">
        <v>49</v>
      </c>
      <c r="B11" s="41">
        <v>-7371098.4778405931</v>
      </c>
      <c r="C11" s="41">
        <v>-10439153.960144294</v>
      </c>
      <c r="E11" s="42"/>
      <c r="F11" s="42">
        <f>O19</f>
        <v>-8905126.2189924438</v>
      </c>
    </row>
    <row r="12" spans="1:15" x14ac:dyDescent="0.25">
      <c r="A12" s="5" t="s">
        <v>50</v>
      </c>
      <c r="B12" s="41">
        <v>-991555.28147229168</v>
      </c>
      <c r="C12" s="41">
        <v>-4702389.4392214529</v>
      </c>
      <c r="E12" s="42">
        <f>O20*'Plant Assets'!$D$1</f>
        <v>-1869322.051803756</v>
      </c>
      <c r="F12" s="42">
        <f>O20*'Plant Assets'!$G$1</f>
        <v>-977650.30854311574</v>
      </c>
    </row>
    <row r="13" spans="1:15" x14ac:dyDescent="0.25">
      <c r="A13" s="5" t="s">
        <v>51</v>
      </c>
      <c r="B13" s="41">
        <v>-5881279.0055342941</v>
      </c>
      <c r="C13" s="41">
        <v>-441145.24219452334</v>
      </c>
      <c r="E13" s="42">
        <f>O21*'Plant Assets'!$D$1</f>
        <v>-2075651.8805293716</v>
      </c>
      <c r="F13" s="42">
        <f>O21*'Plant Assets'!$G$1</f>
        <v>-1085560.2433350384</v>
      </c>
    </row>
    <row r="14" spans="1:15" x14ac:dyDescent="0.25">
      <c r="A14" s="43" t="s">
        <v>52</v>
      </c>
      <c r="B14" s="44">
        <f t="shared" ref="B14:C14" si="0">SUM(B10:B13)</f>
        <v>-31160833.326154225</v>
      </c>
      <c r="C14" s="44">
        <f t="shared" si="0"/>
        <v>-37599186.507877626</v>
      </c>
      <c r="E14" s="45">
        <f>SUM(E10:E13)</f>
        <v>-23411673.146145329</v>
      </c>
      <c r="F14" s="45">
        <f>SUM(F10:F13)</f>
        <v>-10968336.770870598</v>
      </c>
      <c r="G14" s="46">
        <f>SUM(E14:F14)-O22</f>
        <v>0</v>
      </c>
      <c r="H14" s="47" t="s">
        <v>54</v>
      </c>
    </row>
    <row r="16" spans="1:15" x14ac:dyDescent="0.25"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48">
        <v>44896</v>
      </c>
    </row>
    <row r="17" spans="1:26" x14ac:dyDescent="0.25">
      <c r="B17" s="48">
        <v>44531</v>
      </c>
      <c r="C17" s="48">
        <v>44562</v>
      </c>
      <c r="D17" s="48">
        <v>44593</v>
      </c>
      <c r="E17" s="48">
        <v>44621</v>
      </c>
      <c r="F17" s="48">
        <v>44652</v>
      </c>
      <c r="G17" s="48">
        <v>44682</v>
      </c>
      <c r="H17" s="48">
        <v>44713</v>
      </c>
      <c r="I17" s="48">
        <v>44743</v>
      </c>
      <c r="J17" s="48">
        <v>44774</v>
      </c>
      <c r="K17" s="48">
        <v>44805</v>
      </c>
      <c r="L17" s="48">
        <v>44835</v>
      </c>
      <c r="M17" s="48">
        <v>44866</v>
      </c>
      <c r="N17" s="48">
        <v>44896</v>
      </c>
      <c r="O17" s="49" t="s">
        <v>56</v>
      </c>
      <c r="P17" s="48"/>
      <c r="Q17" s="48"/>
      <c r="R17" s="48"/>
      <c r="S17" s="48"/>
      <c r="T17" s="48"/>
      <c r="U17" s="48"/>
      <c r="V17" s="48"/>
      <c r="W17" s="48"/>
      <c r="X17" s="48"/>
      <c r="Y17" s="48"/>
      <c r="Z17" s="48"/>
    </row>
    <row r="18" spans="1:26" x14ac:dyDescent="0.25">
      <c r="A18" s="5" t="s">
        <v>48</v>
      </c>
      <c r="B18" s="41">
        <f>B10</f>
        <v>-16916900.561307043</v>
      </c>
      <c r="C18" s="41">
        <f>B18+(($C$10-$B$10)/12)</f>
        <v>-17341867.003391236</v>
      </c>
      <c r="D18" s="41">
        <f t="shared" ref="D18:N18" si="1">C18+(($C$10-$B$10)/12)</f>
        <v>-17766833.445475429</v>
      </c>
      <c r="E18" s="41">
        <f t="shared" si="1"/>
        <v>-18191799.887559623</v>
      </c>
      <c r="F18" s="41">
        <f t="shared" si="1"/>
        <v>-18616766.329643816</v>
      </c>
      <c r="G18" s="41">
        <f t="shared" si="1"/>
        <v>-19041732.771728009</v>
      </c>
      <c r="H18" s="41">
        <f t="shared" si="1"/>
        <v>-19466699.213812202</v>
      </c>
      <c r="I18" s="41">
        <f t="shared" si="1"/>
        <v>-19891665.655896395</v>
      </c>
      <c r="J18" s="41">
        <f t="shared" si="1"/>
        <v>-20316632.097980589</v>
      </c>
      <c r="K18" s="41">
        <f t="shared" si="1"/>
        <v>-20741598.540064782</v>
      </c>
      <c r="L18" s="41">
        <f t="shared" si="1"/>
        <v>-21166564.982148975</v>
      </c>
      <c r="M18" s="41">
        <f t="shared" si="1"/>
        <v>-21591531.424233168</v>
      </c>
      <c r="N18" s="41">
        <f t="shared" si="1"/>
        <v>-22016497.866317362</v>
      </c>
      <c r="O18" s="41">
        <f>((B18+N18)+(2*(SUM(C18:M18))))/24</f>
        <v>-19466699.213812202</v>
      </c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41"/>
    </row>
    <row r="19" spans="1:26" x14ac:dyDescent="0.25">
      <c r="A19" s="5" t="s">
        <v>49</v>
      </c>
      <c r="B19" s="41">
        <f t="shared" ref="B19:B21" si="2">B11</f>
        <v>-7371098.4778405931</v>
      </c>
      <c r="C19" s="41">
        <f>B19+(($C$11-$B$11)/12)</f>
        <v>-7626769.7680325685</v>
      </c>
      <c r="D19" s="41">
        <f t="shared" ref="D19:N19" si="3">C19+(($C$11-$B$11)/12)</f>
        <v>-7882441.0582245439</v>
      </c>
      <c r="E19" s="41">
        <f t="shared" si="3"/>
        <v>-8138112.3484165194</v>
      </c>
      <c r="F19" s="41">
        <f t="shared" si="3"/>
        <v>-8393783.6386084948</v>
      </c>
      <c r="G19" s="41">
        <f t="shared" si="3"/>
        <v>-8649454.9288004693</v>
      </c>
      <c r="H19" s="41">
        <f t="shared" si="3"/>
        <v>-8905126.2189924438</v>
      </c>
      <c r="I19" s="41">
        <f t="shared" si="3"/>
        <v>-9160797.5091844182</v>
      </c>
      <c r="J19" s="41">
        <f t="shared" si="3"/>
        <v>-9416468.7993763927</v>
      </c>
      <c r="K19" s="41">
        <f t="shared" si="3"/>
        <v>-9672140.0895683672</v>
      </c>
      <c r="L19" s="41">
        <f t="shared" si="3"/>
        <v>-9927811.3797603417</v>
      </c>
      <c r="M19" s="41">
        <f t="shared" si="3"/>
        <v>-10183482.669952316</v>
      </c>
      <c r="N19" s="41">
        <f t="shared" si="3"/>
        <v>-10439153.960144291</v>
      </c>
      <c r="O19" s="41">
        <f>((B19+N19)+(2*(SUM(C19:M19))))/24</f>
        <v>-8905126.2189924438</v>
      </c>
      <c r="P19" s="41"/>
      <c r="Q19" s="41"/>
      <c r="R19" s="41"/>
      <c r="S19" s="41"/>
      <c r="T19" s="41"/>
      <c r="U19" s="41"/>
      <c r="V19" s="41"/>
      <c r="W19" s="41"/>
      <c r="X19" s="41"/>
      <c r="Y19" s="41"/>
      <c r="Z19" s="41"/>
    </row>
    <row r="20" spans="1:26" x14ac:dyDescent="0.25">
      <c r="A20" s="5" t="s">
        <v>50</v>
      </c>
      <c r="B20" s="41">
        <f t="shared" si="2"/>
        <v>-991555.28147229168</v>
      </c>
      <c r="C20" s="41">
        <f>B20+(($C$12-$B$12)/12)</f>
        <v>-1300791.4612847217</v>
      </c>
      <c r="D20" s="41">
        <f t="shared" ref="D20:N20" si="4">C20+(($C$12-$B$12)/12)</f>
        <v>-1610027.6410971519</v>
      </c>
      <c r="E20" s="41">
        <f t="shared" si="4"/>
        <v>-1919263.8209095821</v>
      </c>
      <c r="F20" s="41">
        <f t="shared" si="4"/>
        <v>-2228500.000722012</v>
      </c>
      <c r="G20" s="41">
        <f t="shared" si="4"/>
        <v>-2537736.180534442</v>
      </c>
      <c r="H20" s="41">
        <f t="shared" si="4"/>
        <v>-2846972.3603468719</v>
      </c>
      <c r="I20" s="41">
        <f t="shared" si="4"/>
        <v>-3156208.5401593018</v>
      </c>
      <c r="J20" s="41">
        <f t="shared" si="4"/>
        <v>-3465444.7199717318</v>
      </c>
      <c r="K20" s="41">
        <f t="shared" si="4"/>
        <v>-3774680.8997841617</v>
      </c>
      <c r="L20" s="41">
        <f t="shared" si="4"/>
        <v>-4083917.0795965916</v>
      </c>
      <c r="M20" s="41">
        <f t="shared" si="4"/>
        <v>-4393153.2594090216</v>
      </c>
      <c r="N20" s="41">
        <f t="shared" si="4"/>
        <v>-4702389.439221452</v>
      </c>
      <c r="O20" s="41">
        <f>((B20+N20)+(2*(SUM(C20:M20))))/24</f>
        <v>-2846972.3603468719</v>
      </c>
      <c r="P20" s="41"/>
      <c r="Q20" s="41"/>
      <c r="R20" s="41"/>
      <c r="S20" s="41"/>
      <c r="T20" s="41"/>
      <c r="U20" s="41"/>
      <c r="V20" s="41"/>
      <c r="W20" s="41"/>
      <c r="X20" s="41"/>
      <c r="Y20" s="41"/>
      <c r="Z20" s="41"/>
    </row>
    <row r="21" spans="1:26" x14ac:dyDescent="0.25">
      <c r="A21" s="5" t="s">
        <v>51</v>
      </c>
      <c r="B21" s="41">
        <f t="shared" si="2"/>
        <v>-5881279.0055342941</v>
      </c>
      <c r="C21" s="41">
        <f>B21+(($C$13-$B$13)/12)</f>
        <v>-5427934.52525598</v>
      </c>
      <c r="D21" s="41">
        <f t="shared" ref="D21:N21" si="5">C21+(($C$13-$B$13)/12)</f>
        <v>-4974590.0449776659</v>
      </c>
      <c r="E21" s="41">
        <f t="shared" si="5"/>
        <v>-4521245.5646993518</v>
      </c>
      <c r="F21" s="41">
        <f t="shared" si="5"/>
        <v>-4067901.0844210377</v>
      </c>
      <c r="G21" s="41">
        <f t="shared" si="5"/>
        <v>-3614556.6041427236</v>
      </c>
      <c r="H21" s="41">
        <f t="shared" si="5"/>
        <v>-3161212.1238644095</v>
      </c>
      <c r="I21" s="41">
        <f t="shared" si="5"/>
        <v>-2707867.6435860954</v>
      </c>
      <c r="J21" s="41">
        <f t="shared" si="5"/>
        <v>-2254523.1633077813</v>
      </c>
      <c r="K21" s="41">
        <f t="shared" si="5"/>
        <v>-1801178.683029467</v>
      </c>
      <c r="L21" s="41">
        <f t="shared" si="5"/>
        <v>-1347834.2027511527</v>
      </c>
      <c r="M21" s="41">
        <f t="shared" si="5"/>
        <v>-894489.72247283836</v>
      </c>
      <c r="N21" s="41">
        <f t="shared" si="5"/>
        <v>-441145.24219452409</v>
      </c>
      <c r="O21" s="41">
        <f>((B21+N21)+(2*(SUM(C21:M21))))/24</f>
        <v>-3161212.12386441</v>
      </c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</row>
    <row r="22" spans="1:26" x14ac:dyDescent="0.25">
      <c r="A22" s="43" t="s">
        <v>52</v>
      </c>
      <c r="B22" s="44">
        <f t="shared" ref="B22" si="6">SUM(B18:B21)</f>
        <v>-31160833.326154225</v>
      </c>
      <c r="C22" s="44">
        <f t="shared" ref="C22" si="7">SUM(C18:C21)</f>
        <v>-31697362.757964507</v>
      </c>
      <c r="D22" s="44">
        <f t="shared" ref="D22" si="8">SUM(D18:D21)</f>
        <v>-32233892.189774789</v>
      </c>
      <c r="E22" s="44">
        <f t="shared" ref="E22" si="9">SUM(E18:E21)</f>
        <v>-32770421.621585075</v>
      </c>
      <c r="F22" s="44">
        <f t="shared" ref="F22" si="10">SUM(F18:F21)</f>
        <v>-33306951.053395361</v>
      </c>
      <c r="G22" s="44">
        <f t="shared" ref="G22" si="11">SUM(G18:G21)</f>
        <v>-33843480.485205643</v>
      </c>
      <c r="H22" s="44">
        <f t="shared" ref="H22" si="12">SUM(H18:H21)</f>
        <v>-34380009.917015925</v>
      </c>
      <c r="I22" s="44">
        <f t="shared" ref="I22" si="13">SUM(I18:I21)</f>
        <v>-34916539.348826215</v>
      </c>
      <c r="J22" s="44">
        <f t="shared" ref="J22" si="14">SUM(J18:J21)</f>
        <v>-35453068.780636489</v>
      </c>
      <c r="K22" s="44">
        <f t="shared" ref="K22" si="15">SUM(K18:K21)</f>
        <v>-35989598.212446779</v>
      </c>
      <c r="L22" s="44">
        <f t="shared" ref="L22" si="16">SUM(L18:L21)</f>
        <v>-36526127.644257061</v>
      </c>
      <c r="M22" s="44">
        <f t="shared" ref="M22" si="17">SUM(M18:M21)</f>
        <v>-37062657.076067351</v>
      </c>
      <c r="N22" s="44">
        <f t="shared" ref="N22" si="18">SUM(N18:N21)</f>
        <v>-37599186.507877626</v>
      </c>
      <c r="O22" s="44">
        <f t="shared" ref="O22" si="19">SUM(O18:O21)</f>
        <v>-34380009.917015925</v>
      </c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</row>
    <row r="23" spans="1:26" x14ac:dyDescent="0.25">
      <c r="M23" s="50" t="s">
        <v>54</v>
      </c>
      <c r="N23" s="51">
        <f>N22-C14</f>
        <v>0</v>
      </c>
    </row>
  </sheetData>
  <pageMargins left="0.7" right="0.7" top="0.75" bottom="0.75" header="0.3" footer="0.3"/>
  <pageSetup orientation="portrait" r:id="rId1"/>
  <customProperties>
    <customPr name="_pios_i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83"/>
  <sheetViews>
    <sheetView topLeftCell="F50" workbookViewId="0">
      <selection activeCell="Y18" sqref="Y18"/>
    </sheetView>
  </sheetViews>
  <sheetFormatPr defaultColWidth="8.88671875" defaultRowHeight="14.4" x14ac:dyDescent="0.3"/>
  <cols>
    <col min="1" max="1" width="10" style="1" bestFit="1" customWidth="1"/>
    <col min="2" max="6" width="8.88671875" style="1"/>
    <col min="7" max="7" width="11.88671875" style="1" customWidth="1"/>
    <col min="8" max="14" width="8.88671875" style="1"/>
    <col min="15" max="15" width="10" style="1" bestFit="1" customWidth="1"/>
    <col min="16" max="21" width="8.88671875" style="1"/>
    <col min="22" max="22" width="10" style="1" bestFit="1" customWidth="1"/>
    <col min="23" max="24" width="8.88671875" style="1"/>
    <col min="25" max="25" width="10" style="1" bestFit="1" customWidth="1"/>
    <col min="26" max="16384" width="8.88671875" style="1"/>
  </cols>
  <sheetData>
    <row r="1" spans="1:25" x14ac:dyDescent="0.3">
      <c r="A1" s="1" t="s">
        <v>28</v>
      </c>
      <c r="B1" s="1" t="s">
        <v>27</v>
      </c>
      <c r="D1" s="1" t="s">
        <v>32</v>
      </c>
      <c r="F1" s="1" t="s">
        <v>28</v>
      </c>
      <c r="V1" s="80">
        <v>143002516</v>
      </c>
      <c r="Y1" s="1">
        <v>143002516</v>
      </c>
    </row>
    <row r="2" spans="1:25" x14ac:dyDescent="0.3">
      <c r="V2" s="80">
        <v>143002517</v>
      </c>
      <c r="Y2" s="1">
        <v>143002517</v>
      </c>
    </row>
    <row r="3" spans="1:25" x14ac:dyDescent="0.3">
      <c r="V3" s="80">
        <v>143002542</v>
      </c>
      <c r="W3" s="1" t="s">
        <v>29</v>
      </c>
      <c r="Y3" s="1">
        <v>143002542</v>
      </c>
    </row>
    <row r="4" spans="1:25" x14ac:dyDescent="0.3">
      <c r="V4" s="80">
        <v>143003019</v>
      </c>
      <c r="W4" s="1" t="s">
        <v>29</v>
      </c>
      <c r="Y4" s="1">
        <v>143003019</v>
      </c>
    </row>
    <row r="5" spans="1:25" x14ac:dyDescent="0.3">
      <c r="V5" s="80">
        <v>143003060</v>
      </c>
      <c r="W5" s="1" t="s">
        <v>22</v>
      </c>
      <c r="Y5" s="1">
        <v>143003060</v>
      </c>
    </row>
    <row r="6" spans="1:25" x14ac:dyDescent="0.3">
      <c r="V6" s="80">
        <v>143003173</v>
      </c>
      <c r="W6" s="1" t="s">
        <v>30</v>
      </c>
      <c r="Y6" s="1">
        <v>143003173</v>
      </c>
    </row>
    <row r="7" spans="1:25" x14ac:dyDescent="0.3">
      <c r="V7" s="80">
        <v>143003176</v>
      </c>
      <c r="Y7" s="1">
        <v>143003176</v>
      </c>
    </row>
    <row r="8" spans="1:25" x14ac:dyDescent="0.3">
      <c r="V8" s="80">
        <v>143003178</v>
      </c>
      <c r="Y8" s="1">
        <v>143003178</v>
      </c>
    </row>
    <row r="9" spans="1:25" x14ac:dyDescent="0.3">
      <c r="V9" s="80">
        <v>143003226</v>
      </c>
      <c r="Y9" s="1">
        <v>143003226</v>
      </c>
    </row>
    <row r="10" spans="1:25" x14ac:dyDescent="0.3">
      <c r="V10" s="80">
        <v>143003685</v>
      </c>
      <c r="W10" s="1" t="s">
        <v>30</v>
      </c>
      <c r="Y10" s="1">
        <v>143003685</v>
      </c>
    </row>
    <row r="11" spans="1:25" x14ac:dyDescent="0.3">
      <c r="V11" s="80">
        <v>143003881</v>
      </c>
      <c r="W11" s="1" t="s">
        <v>31</v>
      </c>
      <c r="Y11" s="1">
        <v>143003881</v>
      </c>
    </row>
    <row r="12" spans="1:25" x14ac:dyDescent="0.3">
      <c r="V12" s="80">
        <v>143004550</v>
      </c>
      <c r="Y12" s="1">
        <v>143004550</v>
      </c>
    </row>
    <row r="13" spans="1:25" x14ac:dyDescent="0.3">
      <c r="V13" s="80">
        <v>143004821</v>
      </c>
      <c r="Y13" s="1">
        <v>143004821</v>
      </c>
    </row>
    <row r="14" spans="1:25" x14ac:dyDescent="0.3">
      <c r="V14" s="80">
        <v>143004824</v>
      </c>
      <c r="W14" s="1" t="s">
        <v>31</v>
      </c>
      <c r="Y14" s="1">
        <v>143004824</v>
      </c>
    </row>
    <row r="15" spans="1:25" x14ac:dyDescent="0.3">
      <c r="V15" s="80">
        <v>143004825</v>
      </c>
      <c r="Y15" s="1">
        <v>143004825</v>
      </c>
    </row>
    <row r="16" spans="1:25" x14ac:dyDescent="0.3">
      <c r="V16" s="80">
        <v>143004826</v>
      </c>
      <c r="W16" s="1" t="s">
        <v>31</v>
      </c>
      <c r="Y16" s="1">
        <v>143004826</v>
      </c>
    </row>
    <row r="17" spans="22:25" x14ac:dyDescent="0.3">
      <c r="V17" s="80">
        <v>143005167</v>
      </c>
      <c r="W17" s="1" t="s">
        <v>29</v>
      </c>
      <c r="Y17" s="1">
        <v>143005167</v>
      </c>
    </row>
    <row r="18" spans="22:25" x14ac:dyDescent="0.3">
      <c r="V18" s="80">
        <v>143005361</v>
      </c>
      <c r="Y18" s="1">
        <v>143005361</v>
      </c>
    </row>
    <row r="60" spans="1:7" x14ac:dyDescent="0.3">
      <c r="A60" s="1" t="s">
        <v>21</v>
      </c>
    </row>
    <row r="61" spans="1:7" x14ac:dyDescent="0.3">
      <c r="A61" s="81">
        <v>143002516</v>
      </c>
      <c r="B61" s="1" t="s">
        <v>0</v>
      </c>
      <c r="G61" s="1">
        <f>A61</f>
        <v>143002516</v>
      </c>
    </row>
    <row r="62" spans="1:7" x14ac:dyDescent="0.3">
      <c r="A62" s="81">
        <v>143002517</v>
      </c>
      <c r="B62" s="1" t="s">
        <v>4</v>
      </c>
      <c r="G62" s="1" t="str">
        <f>A62&amp;";"&amp;G61</f>
        <v>143002517;143002516</v>
      </c>
    </row>
    <row r="63" spans="1:7" x14ac:dyDescent="0.3">
      <c r="A63" s="1">
        <v>143002542</v>
      </c>
      <c r="B63" s="1" t="s">
        <v>5</v>
      </c>
      <c r="G63" s="1" t="str">
        <f t="shared" ref="G63:G75" si="0">A63&amp;";"&amp;G62</f>
        <v>143002542;143002517;143002516</v>
      </c>
    </row>
    <row r="64" spans="1:7" x14ac:dyDescent="0.3">
      <c r="A64" s="1">
        <v>143003173</v>
      </c>
      <c r="B64" s="1" t="s">
        <v>13</v>
      </c>
      <c r="G64" s="1" t="str">
        <f t="shared" si="0"/>
        <v>143003173;143002542;143002517;143002516</v>
      </c>
    </row>
    <row r="65" spans="1:7" x14ac:dyDescent="0.3">
      <c r="A65" s="81">
        <v>143003176</v>
      </c>
      <c r="B65" s="1" t="s">
        <v>6</v>
      </c>
      <c r="G65" s="1" t="str">
        <f t="shared" si="0"/>
        <v>143003176;143003173;143002542;143002517;143002516</v>
      </c>
    </row>
    <row r="66" spans="1:7" x14ac:dyDescent="0.3">
      <c r="A66" s="81">
        <v>143003178</v>
      </c>
      <c r="B66" s="1" t="s">
        <v>5</v>
      </c>
      <c r="G66" s="1" t="str">
        <f t="shared" si="0"/>
        <v>143003178;143003176;143003173;143002542;143002517;143002516</v>
      </c>
    </row>
    <row r="67" spans="1:7" x14ac:dyDescent="0.3">
      <c r="A67" s="81">
        <v>143003226</v>
      </c>
      <c r="B67" s="1" t="s">
        <v>3</v>
      </c>
      <c r="G67" s="1" t="str">
        <f t="shared" si="0"/>
        <v>143003226;143003178;143003176;143003173;143002542;143002517;143002516</v>
      </c>
    </row>
    <row r="68" spans="1:7" x14ac:dyDescent="0.3">
      <c r="A68" s="1">
        <v>143003685</v>
      </c>
      <c r="B68" s="1" t="s">
        <v>14</v>
      </c>
      <c r="G68" s="1" t="str">
        <f t="shared" si="0"/>
        <v>143003685;143003226;143003178;143003176;143003173;143002542;143002517;143002516</v>
      </c>
    </row>
    <row r="69" spans="1:7" x14ac:dyDescent="0.3">
      <c r="A69" s="1">
        <v>143003881</v>
      </c>
      <c r="B69" s="1" t="s">
        <v>2</v>
      </c>
      <c r="G69" s="1" t="str">
        <f t="shared" si="0"/>
        <v>143003881;143003685;143003226;143003178;143003176;143003173;143002542;143002517;143002516</v>
      </c>
    </row>
    <row r="70" spans="1:7" x14ac:dyDescent="0.3">
      <c r="A70" s="1">
        <v>143004550</v>
      </c>
      <c r="B70" s="1" t="s">
        <v>15</v>
      </c>
      <c r="G70" s="1" t="str">
        <f t="shared" si="0"/>
        <v>143004550;143003881;143003685;143003226;143003178;143003176;143003173;143002542;143002517;143002516</v>
      </c>
    </row>
    <row r="71" spans="1:7" x14ac:dyDescent="0.3">
      <c r="A71" s="81">
        <v>143004821</v>
      </c>
      <c r="B71" s="1" t="s">
        <v>16</v>
      </c>
      <c r="G71" s="1" t="str">
        <f t="shared" si="0"/>
        <v>143004821;143004550;143003881;143003685;143003226;143003178;143003176;143003173;143002542;143002517;143002516</v>
      </c>
    </row>
    <row r="72" spans="1:7" x14ac:dyDescent="0.3">
      <c r="A72" s="1">
        <v>143004824</v>
      </c>
      <c r="B72" s="1" t="s">
        <v>17</v>
      </c>
      <c r="G72" s="1" t="str">
        <f t="shared" si="0"/>
        <v>143004824;143004821;143004550;143003881;143003685;143003226;143003178;143003176;143003173;143002542;143002517;143002516</v>
      </c>
    </row>
    <row r="73" spans="1:7" x14ac:dyDescent="0.3">
      <c r="A73" s="81">
        <v>143004825</v>
      </c>
      <c r="B73" s="1" t="s">
        <v>11</v>
      </c>
      <c r="G73" s="1" t="str">
        <f t="shared" si="0"/>
        <v>143004825;143004824;143004821;143004550;143003881;143003685;143003226;143003178;143003176;143003173;143002542;143002517;143002516</v>
      </c>
    </row>
    <row r="74" spans="1:7" x14ac:dyDescent="0.3">
      <c r="A74" s="1">
        <v>143004826</v>
      </c>
      <c r="B74" s="1" t="s">
        <v>18</v>
      </c>
      <c r="G74" s="1" t="str">
        <f t="shared" si="0"/>
        <v>143004826;143004825;143004824;143004821;143004550;143003881;143003685;143003226;143003178;143003176;143003173;143002542;143002517;143002516</v>
      </c>
    </row>
    <row r="75" spans="1:7" x14ac:dyDescent="0.3">
      <c r="A75" s="81">
        <v>143002450</v>
      </c>
      <c r="G75" s="1" t="str">
        <f t="shared" si="0"/>
        <v>143002450;143004826;143004825;143004824;143004821;143004550;143003881;143003685;143003226;143003178;143003176;143003173;143002542;143002517;143002516</v>
      </c>
    </row>
    <row r="76" spans="1:7" x14ac:dyDescent="0.3">
      <c r="A76" s="1" t="s">
        <v>22</v>
      </c>
      <c r="G76" s="1" t="s">
        <v>23</v>
      </c>
    </row>
    <row r="77" spans="1:7" x14ac:dyDescent="0.3">
      <c r="A77" s="1">
        <v>143003019</v>
      </c>
      <c r="B77" s="2" t="s">
        <v>12</v>
      </c>
      <c r="G77" s="1">
        <f>A77</f>
        <v>143003019</v>
      </c>
    </row>
    <row r="78" spans="1:7" x14ac:dyDescent="0.3">
      <c r="A78" s="1">
        <v>143003060</v>
      </c>
      <c r="B78" s="2" t="s">
        <v>1</v>
      </c>
      <c r="G78" s="1" t="str">
        <f>A78&amp;";"&amp;G77</f>
        <v>143003060;143003019</v>
      </c>
    </row>
    <row r="79" spans="1:7" x14ac:dyDescent="0.3">
      <c r="A79" s="1">
        <v>143005167</v>
      </c>
      <c r="B79" s="2" t="s">
        <v>19</v>
      </c>
      <c r="G79" s="1" t="str">
        <f t="shared" ref="G79" si="1">A79&amp;";"&amp;G78</f>
        <v>143005167;143003060;143003019</v>
      </c>
    </row>
    <row r="83" spans="1:1" x14ac:dyDescent="0.3">
      <c r="A83" s="1" t="s">
        <v>20</v>
      </c>
    </row>
  </sheetData>
  <pageMargins left="0.7" right="0.7" top="0.75" bottom="0.75" header="0.3" footer="0.3"/>
  <pageSetup scale="40" orientation="landscape" r:id="rId1"/>
  <customProperties>
    <customPr name="_pios_id" r:id="rId2"/>
  </customProperties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"/>
  <sheetViews>
    <sheetView workbookViewId="0">
      <selection activeCell="B13" sqref="B13"/>
    </sheetView>
  </sheetViews>
  <sheetFormatPr defaultColWidth="9.109375" defaultRowHeight="14.4" x14ac:dyDescent="0.3"/>
  <cols>
    <col min="1" max="1" width="44.109375" style="1" bestFit="1" customWidth="1"/>
    <col min="2" max="2" width="14" style="1" bestFit="1" customWidth="1"/>
    <col min="3" max="16384" width="9.109375" style="1"/>
  </cols>
  <sheetData>
    <row r="1" spans="1:3" x14ac:dyDescent="0.3">
      <c r="A1" s="1" t="s">
        <v>90</v>
      </c>
    </row>
    <row r="2" spans="1:3" x14ac:dyDescent="0.3">
      <c r="A2" s="1" t="s">
        <v>89</v>
      </c>
    </row>
    <row r="3" spans="1:3" x14ac:dyDescent="0.3">
      <c r="A3" s="1" t="s">
        <v>88</v>
      </c>
    </row>
    <row r="12" spans="1:3" x14ac:dyDescent="0.3">
      <c r="A12" s="1" t="s">
        <v>87</v>
      </c>
      <c r="B12" s="1" t="s">
        <v>86</v>
      </c>
    </row>
    <row r="13" spans="1:3" x14ac:dyDescent="0.3">
      <c r="A13" s="1" t="s">
        <v>85</v>
      </c>
      <c r="B13" s="3">
        <v>-6204629.9800000004</v>
      </c>
      <c r="C13" s="1" t="s">
        <v>91</v>
      </c>
    </row>
    <row r="14" spans="1:3" x14ac:dyDescent="0.3">
      <c r="A14" s="1" t="s">
        <v>84</v>
      </c>
      <c r="B14" s="3">
        <v>-6204629.9800000004</v>
      </c>
    </row>
    <row r="15" spans="1:3" x14ac:dyDescent="0.3">
      <c r="A15" s="1" t="s">
        <v>83</v>
      </c>
      <c r="B15" s="3">
        <v>-6204629.9800000004</v>
      </c>
    </row>
    <row r="16" spans="1:3" x14ac:dyDescent="0.3">
      <c r="A16" s="1" t="s">
        <v>82</v>
      </c>
      <c r="B16" s="3">
        <v>-6204629.9800000004</v>
      </c>
    </row>
    <row r="17" spans="1:2" x14ac:dyDescent="0.3">
      <c r="A17" s="1" t="s">
        <v>81</v>
      </c>
      <c r="B17" s="3">
        <v>-6204629.9800000004</v>
      </c>
    </row>
    <row r="18" spans="1:2" x14ac:dyDescent="0.3">
      <c r="B18" s="3"/>
    </row>
  </sheetData>
  <pageMargins left="0.7" right="0.7" top="0.75" bottom="0.75" header="0.3" footer="0.3"/>
  <customProperties>
    <customPr name="_pios_id" r:id="rId1"/>
  </customPropertie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7"/>
  <sheetViews>
    <sheetView workbookViewId="0">
      <selection activeCell="D25" sqref="D25"/>
    </sheetView>
  </sheetViews>
  <sheetFormatPr defaultColWidth="9.109375" defaultRowHeight="14.4" x14ac:dyDescent="0.3"/>
  <cols>
    <col min="1" max="1" width="44.109375" style="1" bestFit="1" customWidth="1"/>
    <col min="2" max="2" width="14" style="1" bestFit="1" customWidth="1"/>
    <col min="3" max="16384" width="9.109375" style="1"/>
  </cols>
  <sheetData>
    <row r="1" spans="1:2" x14ac:dyDescent="0.3">
      <c r="A1" s="1" t="s">
        <v>90</v>
      </c>
    </row>
    <row r="2" spans="1:2" x14ac:dyDescent="0.3">
      <c r="A2" s="1" t="s">
        <v>89</v>
      </c>
    </row>
    <row r="3" spans="1:2" x14ac:dyDescent="0.3">
      <c r="A3" s="1" t="s">
        <v>88</v>
      </c>
    </row>
    <row r="12" spans="1:2" x14ac:dyDescent="0.3">
      <c r="A12" s="1" t="s">
        <v>87</v>
      </c>
      <c r="B12" s="1" t="s">
        <v>86</v>
      </c>
    </row>
    <row r="13" spans="1:2" x14ac:dyDescent="0.3">
      <c r="A13" s="1" t="s">
        <v>100</v>
      </c>
      <c r="B13" s="93">
        <v>-2757454.58</v>
      </c>
    </row>
    <row r="14" spans="1:2" x14ac:dyDescent="0.3">
      <c r="A14" s="1" t="s">
        <v>84</v>
      </c>
      <c r="B14" s="93">
        <v>-2757454.58</v>
      </c>
    </row>
    <row r="15" spans="1:2" x14ac:dyDescent="0.3">
      <c r="A15" s="1" t="s">
        <v>83</v>
      </c>
      <c r="B15" s="93">
        <v>-2757454.58</v>
      </c>
    </row>
    <row r="16" spans="1:2" x14ac:dyDescent="0.3">
      <c r="A16" s="1" t="s">
        <v>82</v>
      </c>
      <c r="B16" s="93">
        <v>-2757454.58</v>
      </c>
    </row>
    <row r="17" spans="1:2" x14ac:dyDescent="0.3">
      <c r="A17" s="1" t="s">
        <v>81</v>
      </c>
      <c r="B17" s="93">
        <v>-2757454.58</v>
      </c>
    </row>
  </sheetData>
  <pageMargins left="0.7" right="0.7" top="0.75" bottom="0.75" header="0.3" footer="0.3"/>
  <customProperties>
    <customPr name="_pios_id" r:id="rId1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0CCA0EFAD2D47E42A2D5D991393F51AC" ma:contentTypeVersion="24" ma:contentTypeDescription="" ma:contentTypeScope="" ma:versionID="b3b072060836a50b19203ff3093a37be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150</IndustryCode>
    <CaseStatus xmlns="dc463f71-b30c-4ab2-9473-d307f9d35888">Pending</CaseStatus>
    <OpenedDate xmlns="dc463f71-b30c-4ab2-9473-d307f9d35888">2023-03-30T07:00:00+00:00</OpenedDate>
    <SignificantOrder xmlns="dc463f71-b30c-4ab2-9473-d307f9d35888">false</SignificantOrder>
    <Date1 xmlns="dc463f71-b30c-4ab2-9473-d307f9d35888">2023-03-30T07:00:00+00:00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230209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C2CB7A1E-E3E1-4875-A8DF-CD122CD99A96}"/>
</file>

<file path=customXml/itemProps2.xml><?xml version="1.0" encoding="utf-8"?>
<ds:datastoreItem xmlns:ds="http://schemas.openxmlformats.org/officeDocument/2006/customXml" ds:itemID="{88ADF2C0-05DC-458A-B7DF-3DC6188F5B6F}"/>
</file>

<file path=customXml/itemProps3.xml><?xml version="1.0" encoding="utf-8"?>
<ds:datastoreItem xmlns:ds="http://schemas.openxmlformats.org/officeDocument/2006/customXml" ds:itemID="{F467253B-3427-4D73-B26E-AC1B73C2183B}"/>
</file>

<file path=customXml/itemProps4.xml><?xml version="1.0" encoding="utf-8"?>
<ds:datastoreItem xmlns:ds="http://schemas.openxmlformats.org/officeDocument/2006/customXml" ds:itemID="{A89FE663-60D8-4B13-BA62-5C64CDBB3D6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Electric</vt:lpstr>
      <vt:lpstr>Gas</vt:lpstr>
      <vt:lpstr>2022 AMI in  Ratebase</vt:lpstr>
      <vt:lpstr>Plant Assets</vt:lpstr>
      <vt:lpstr>DFIT</vt:lpstr>
      <vt:lpstr>WBS &amp; WO</vt:lpstr>
      <vt:lpstr>45600091</vt:lpstr>
      <vt:lpstr>49500062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Colleen Oliver</dc:creator>
  <cp:lastModifiedBy>Marina</cp:lastModifiedBy>
  <cp:lastPrinted>2021-02-03T23:52:48Z</cp:lastPrinted>
  <dcterms:created xsi:type="dcterms:W3CDTF">2019-03-25T22:33:27Z</dcterms:created>
  <dcterms:modified xsi:type="dcterms:W3CDTF">2023-03-28T18:50:09Z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0x0101006E56B4D1795A2E4DB2F0B01679ED314A000CCA0EFAD2D47E42A2D5D991393F51AC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