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3.2022\"/>
    </mc:Choice>
  </mc:AlternateContent>
  <xr:revisionPtr revIDLastSave="0" documentId="13_ncr:1_{86852CA4-55BF-4E89-94DA-A51E99380F91}" xr6:coauthVersionLast="46" xr6:coauthVersionMax="46" xr10:uidLastSave="{00000000-0000-0000-0000-000000000000}"/>
  <bookViews>
    <workbookView xWindow="-108" yWindow="-108" windowWidth="23256" windowHeight="12576" tabRatio="772" activeTab="2" xr2:uid="{00000000-000D-0000-FFFF-FFFF00000000}"/>
  </bookViews>
  <sheets>
    <sheet name="Jan 22" sheetId="74" r:id="rId1"/>
    <sheet name="Feb 22" sheetId="75" r:id="rId2"/>
    <sheet name="Mar 22" sheetId="76" r:id="rId3"/>
    <sheet name="191010 WA DEF" sheetId="39" r:id="rId4"/>
    <sheet name="191000 WA Amort" sheetId="41" r:id="rId5"/>
  </sheets>
  <externalReferences>
    <externalReference r:id="rId6"/>
    <externalReference r:id="rId7"/>
    <externalReference r:id="rId8"/>
  </externalReferences>
  <definedNames>
    <definedName name="Actual_Cost_Per_MMBtu" localSheetId="4">'[1]Oregon Gas Costs - 1999'!#REF!</definedName>
    <definedName name="Actual_Cost_Per_MMBtu">'[1]Oregon Gas Costs - 1999'!#REF!</definedName>
    <definedName name="Actual_Gas_Costs" localSheetId="4">#REF!</definedName>
    <definedName name="Actual_Gas_Costs">#REF!</definedName>
    <definedName name="Actual_Volumes" localSheetId="4">#REF!</definedName>
    <definedName name="Actual_Volumes">#REF!</definedName>
    <definedName name="Analysis_of_Year_to_Date_Gas_Costs___WWP_System" localSheetId="4">#REF!</definedName>
    <definedName name="Analysis_of_Year_to_Date_Gas_Costs___WWP_System">#REF!</definedName>
    <definedName name="Balancing_Account_Summary" localSheetId="4">#REF!</definedName>
    <definedName name="Balancing_Account_Summary">#REF!</definedName>
    <definedName name="Budgeted_Costs_Volumes" localSheetId="4">#REF!</definedName>
    <definedName name="Budgeted_Costs_Volumes">#REF!</definedName>
    <definedName name="Commodity_Costs" localSheetId="4">#REF!</definedName>
    <definedName name="Commodity_Costs">#REF!</definedName>
    <definedName name="_xlnm.Database" localSheetId="4">'[2]May 2000'!#REF!</definedName>
    <definedName name="_xlnm.Database">'[2]May 2000'!#REF!</definedName>
    <definedName name="EIA857_Report_Info" localSheetId="4">#REF!</definedName>
    <definedName name="EIA857_Report_Info">#REF!</definedName>
    <definedName name="InputMonth">[3]Start!$B$2</definedName>
    <definedName name="JanJunPretaxRate">[3]Start!$C$7</definedName>
    <definedName name="jj" localSheetId="4">'[1]Oregon Gas Costs - 1999'!#REF!</definedName>
    <definedName name="jj">'[1]Oregon Gas Costs - 1999'!#REF!</definedName>
    <definedName name="Journal_Entry_Dollars" localSheetId="4">#REF!</definedName>
    <definedName name="Journal_Entry_Dollars">#REF!</definedName>
    <definedName name="Journal_Entry_Volumes" localSheetId="4">#REF!</definedName>
    <definedName name="Journal_Entry_Volumes">#REF!</definedName>
    <definedName name="JournalEntryPrintArea" localSheetId="4">#REF!</definedName>
    <definedName name="JournalEntryPrintArea">#REF!</definedName>
    <definedName name="JulDecPretaxRate">[3]Start!$C$8</definedName>
    <definedName name="Notes" localSheetId="4">#REF!</definedName>
    <definedName name="Notes">#REF!</definedName>
    <definedName name="_xlnm.Print_Area" localSheetId="4">'191000 WA Amort'!$A$1:$S$45</definedName>
    <definedName name="_xlnm.Print_Area" localSheetId="3">'191010 WA DEF'!$A$1:$L$45</definedName>
    <definedName name="_xlnm.Print_Area" localSheetId="1">'Feb 22'!$B$1:$R$48</definedName>
    <definedName name="_xlnm.Print_Area" localSheetId="0">'Jan 22'!$B$1:$R$48</definedName>
    <definedName name="_xlnm.Print_Area" localSheetId="2">'Mar 22'!$B$1:$R$48</definedName>
    <definedName name="SPREADSHEET_DOCUMENTATION" localSheetId="4">#REF!</definedName>
    <definedName name="SPREADSHEET_DOCUMENTATION">#REF!</definedName>
    <definedName name="Summary_of_Off_system_Sales" localSheetId="4">'[1]Oregon Gas Costs - 1999'!#REF!</definedName>
    <definedName name="Summary_of_Off_system_Sales">'[1]Oregon Gas Costs - 1999'!#REF!</definedName>
    <definedName name="Transportation_Costs" localSheetId="4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41" l="1"/>
  <c r="D1396" i="76" l="1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L29" i="76" l="1"/>
  <c r="L31" i="76" s="1"/>
  <c r="N17" i="76"/>
  <c r="L36" i="76" s="1"/>
  <c r="P28" i="76"/>
  <c r="P30" i="76" s="1"/>
  <c r="I36" i="76"/>
  <c r="G33" i="76"/>
  <c r="E13" i="76"/>
  <c r="E31" i="76" s="1"/>
  <c r="E32" i="76" s="1"/>
  <c r="G35" i="76"/>
  <c r="E12" i="76"/>
  <c r="I34" i="76"/>
  <c r="R12" i="76"/>
  <c r="Q13" i="76"/>
  <c r="N25" i="76"/>
  <c r="M26" i="76"/>
  <c r="M27" i="76" s="1"/>
  <c r="N23" i="76"/>
  <c r="R11" i="76"/>
  <c r="G53" i="39"/>
  <c r="G52" i="39"/>
  <c r="G50" i="39"/>
  <c r="G8" i="76" l="1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20" i="41"/>
  <c r="N29" i="76" l="1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M37" i="76" l="1"/>
  <c r="F21" i="39" s="1"/>
  <c r="M39" i="76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L29" i="75" l="1"/>
  <c r="L31" i="75" s="1"/>
  <c r="R15" i="75"/>
  <c r="N36" i="75" s="1"/>
  <c r="N17" i="75"/>
  <c r="L36" i="75" s="1"/>
  <c r="I36" i="75"/>
  <c r="G35" i="75"/>
  <c r="G33" i="75"/>
  <c r="E12" i="75"/>
  <c r="E14" i="75" s="1"/>
  <c r="E32" i="75"/>
  <c r="E13" i="75"/>
  <c r="E31" i="75" s="1"/>
  <c r="I34" i="75"/>
  <c r="N25" i="75"/>
  <c r="M26" i="75"/>
  <c r="P28" i="75"/>
  <c r="P30" i="75" s="1"/>
  <c r="N24" i="75"/>
  <c r="N23" i="75"/>
  <c r="K19" i="41"/>
  <c r="F19" i="41"/>
  <c r="H19" i="41" s="1"/>
  <c r="M27" i="75" l="1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A23" i="39" s="1"/>
  <c r="A24" i="39" s="1"/>
  <c r="A25" i="39" s="1"/>
  <c r="A26" i="39" s="1"/>
  <c r="A27" i="39" s="1"/>
  <c r="A28" i="39" s="1"/>
  <c r="A29" i="39" s="1"/>
  <c r="A30" i="39" s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G32" i="74" l="1"/>
  <c r="G39" i="74" s="1"/>
  <c r="O39" i="74"/>
  <c r="F14" i="74"/>
  <c r="F39" i="74" s="1"/>
  <c r="L35" i="74" s="1"/>
  <c r="L37" i="74" s="1"/>
  <c r="G19" i="39" s="1"/>
  <c r="E42" i="74"/>
  <c r="M35" i="74" l="1"/>
  <c r="M37" i="74" s="1"/>
  <c r="F19" i="39" s="1"/>
  <c r="P35" i="74"/>
  <c r="M39" i="74" l="1"/>
  <c r="H17" i="41"/>
  <c r="F17" i="41" l="1"/>
  <c r="F16" i="41" l="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39" i="41" l="1"/>
  <c r="I39" i="41"/>
  <c r="F39" i="39" l="1"/>
  <c r="E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O9" i="41" s="1"/>
  <c r="P9" i="41" s="1"/>
  <c r="I8" i="39"/>
  <c r="S9" i="41" l="1"/>
  <c r="E10" i="41"/>
  <c r="L8" i="39"/>
  <c r="E9" i="39"/>
  <c r="H9" i="39" s="1"/>
  <c r="O10" i="41"/>
  <c r="P10" i="41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S14" i="41"/>
  <c r="I11" i="39"/>
  <c r="O15" i="41"/>
  <c r="P15" i="41" s="1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H31" i="39"/>
  <c r="P20" i="41"/>
  <c r="E22" i="39" l="1"/>
  <c r="H22" i="39" s="1"/>
  <c r="I22" i="39" s="1"/>
  <c r="E23" i="39" s="1"/>
  <c r="H23" i="39" s="1"/>
  <c r="I23" i="39" s="1"/>
  <c r="E38" i="39"/>
  <c r="E37" i="39"/>
  <c r="F38" i="39"/>
  <c r="F36" i="39"/>
  <c r="S20" i="41"/>
  <c r="E21" i="41"/>
  <c r="O21" i="41" s="1"/>
  <c r="P21" i="41" l="1"/>
  <c r="O31" i="41"/>
  <c r="F41" i="39"/>
  <c r="E24" i="39"/>
  <c r="H24" i="39" s="1"/>
  <c r="I24" i="39" s="1"/>
  <c r="E22" i="41" l="1"/>
  <c r="O22" i="41" s="1"/>
  <c r="P22" i="41" s="1"/>
  <c r="E23" i="41" s="1"/>
  <c r="O23" i="41" s="1"/>
  <c r="P23" i="41" s="1"/>
  <c r="E24" i="41" s="1"/>
  <c r="O24" i="41" s="1"/>
  <c r="P24" i="41" s="1"/>
  <c r="E25" i="41" s="1"/>
  <c r="O25" i="41" s="1"/>
  <c r="P25" i="41" s="1"/>
  <c r="S21" i="41"/>
  <c r="I38" i="41"/>
  <c r="H38" i="41"/>
  <c r="I36" i="41"/>
  <c r="H37" i="41"/>
  <c r="E25" i="39"/>
  <c r="H25" i="39" s="1"/>
  <c r="I25" i="39" s="1"/>
  <c r="E47" i="76" l="1"/>
  <c r="F47" i="76" s="1"/>
  <c r="I41" i="41"/>
  <c r="E47" i="74"/>
  <c r="F47" i="74" s="1"/>
  <c r="E47" i="75"/>
  <c r="F47" i="75" s="1"/>
  <c r="E26" i="41"/>
  <c r="O26" i="41" s="1"/>
  <c r="P26" i="41" s="1"/>
  <c r="E26" i="39"/>
  <c r="H26" i="39" s="1"/>
  <c r="I26" i="39" s="1"/>
  <c r="E27" i="41" l="1"/>
  <c r="O27" i="41"/>
  <c r="P27" i="41" s="1"/>
  <c r="E27" i="39"/>
  <c r="H27" i="39" s="1"/>
  <c r="I27" i="39" s="1"/>
  <c r="E28" i="41" l="1"/>
  <c r="O28" i="41"/>
  <c r="P28" i="41" s="1"/>
  <c r="E28" i="39"/>
  <c r="H28" i="39" s="1"/>
  <c r="I28" i="39" s="1"/>
  <c r="E29" i="41" l="1"/>
  <c r="O29" i="41" s="1"/>
  <c r="P29" i="41" s="1"/>
  <c r="E29" i="39"/>
  <c r="E30" i="41" l="1"/>
  <c r="O30" i="41" s="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<sst xmlns="http://schemas.openxmlformats.org/spreadsheetml/2006/main" count="570" uniqueCount="162">
  <si>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</si>
  <si>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</si>
  <si>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</si>
  <si>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</si>
  <si>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</si>
  <si>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</si>
  <si>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</si>
  <si>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</si>
  <si>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</si>
  <si>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</si>
  <si>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</si>
  <si>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</si>
  <si>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</si>
  <si>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</si>
  <si>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</si>
  <si>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</si>
  <si>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</si>
  <si>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</si>
  <si>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</si>
  <si>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</si>
  <si>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</si>
  <si>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</si>
  <si>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</si>
  <si>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</si>
  <si>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</si>
  <si>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</si>
  <si>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</si>
  <si>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</si>
  <si>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</si>
  <si>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</si>
  <si>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</si>
  <si>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</si>
  <si>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</si>
  <si>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</si>
  <si>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</si>
  <si>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</si>
  <si>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</si>
  <si>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</si>
  <si>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</si>
  <si>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</si>
  <si>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</si>
  <si>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</si>
  <si>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</si>
  <si>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</si>
  <si>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</si>
  <si>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</si>
  <si>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</si>
  <si>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</si>
  <si>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</si>
  <si>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</si>
  <si>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</si>
  <si>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</si>
  <si>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</si>
  <si>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</si>
  <si>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</si>
  <si>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</si>
  <si>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</si>
  <si>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</si>
  <si>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</si>
  <si>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</si>
  <si>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</si>
  <si>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</si>
  <si>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</si>
  <si>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</si>
  <si>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</si>
  <si>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</si>
  <si>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</si>
  <si>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</si>
  <si>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</si>
  <si>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</si>
  <si>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</si>
  <si>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</si>
  <si>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</si>
  <si>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</si>
  <si>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</si>
  <si>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</si>
  <si>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</si>
  <si>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</si>
  <si>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</si>
  <si>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</si>
  <si>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</si>
  <si>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</si>
  <si>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</si>
  <si>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</si>
  <si>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</si>
  <si>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</si>
  <si>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</si>
  <si>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</si>
  <si>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</si>
  <si>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</si>
  <si>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</si>
  <si>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</si>
  <si>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</si>
  <si>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</si>
  <si>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</si>
  <si>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</si>
  <si>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</si>
  <si>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</si>
  <si>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</si>
  <si>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</si>
  <si>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</si>
  <si>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</si>
  <si>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</si>
  <si>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</si>
  <si>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</si>
  <si>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</si>
  <si>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</si>
  <si>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</si>
  <si>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</si>
  <si>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</si>
  <si>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</si>
  <si>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</si>
  <si>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</si>
  <si>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</si>
  <si>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</si>
  <si>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</si>
  <si>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</si>
  <si>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</si>
  <si>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</si>
  <si>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</si>
  <si>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</si>
  <si>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</si>
  <si>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</si>
  <si>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</si>
  <si>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</si>
  <si>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</si>
  <si>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</si>
  <si>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</si>
  <si>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</si>
  <si>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</si>
  <si>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</si>
  <si>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</si>
  <si>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</si>
  <si>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</si>
  <si>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</si>
  <si>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</si>
  <si>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</si>
  <si>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</si>
  <si>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</si>
  <si>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</si>
  <si>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</si>
  <si>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</si>
  <si>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</si>
  <si>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202201 original:</t>
  </si>
  <si>
    <t>202201 actual:</t>
  </si>
  <si>
    <t>entry needed:</t>
  </si>
  <si>
    <t>$2.11 Jan demand rate error - fix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</si>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</sst>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9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40" fontId="34" fillId="0" borderId="18" xfId="1" applyFont="1" applyFill="1" applyBorder="1"/>
    <xf numFmtId="0" fontId="53" fillId="0" borderId="0" xfId="137" applyFont="1"/>
    <xf numFmtId="0" fontId="53" fillId="0" borderId="0" xfId="137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43" fontId="54" fillId="0" borderId="0" xfId="138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81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zoomScale="60" zoomScaleNormal="60" workbookViewId="0">
      <selection activeCell="M16" sqref="M16"/>
    </sheetView>
  </sheetViews>
  <sheetFormatPr defaultColWidth="16" defaultRowHeight="15"/>
  <cols>
    <col min="1" max="1" width="2.88671875" style="30" customWidth="1"/>
    <col min="2" max="2" width="48.77734375" style="30" bestFit="1" customWidth="1"/>
    <col min="3" max="3" width="11.5546875" style="30" customWidth="1"/>
    <col min="4" max="4" width="10.77734375" style="30" customWidth="1"/>
    <col min="5" max="5" width="18.77734375" style="7" bestFit="1" customWidth="1"/>
    <col min="6" max="6" width="18.2187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topLeftCell="A13" zoomScale="60" zoomScaleNormal="60" workbookViewId="0">
      <selection activeCell="E48" sqref="E48"/>
    </sheetView>
  </sheetViews>
  <sheetFormatPr defaultColWidth="16" defaultRowHeight="15"/>
  <cols>
    <col min="1" max="1" width="2.88671875" style="30" customWidth="1"/>
    <col min="2" max="2" width="48.77734375" style="30" bestFit="1" customWidth="1"/>
    <col min="3" max="3" width="11.5546875" style="30" customWidth="1"/>
    <col min="4" max="4" width="10.77734375" style="30" customWidth="1"/>
    <col min="5" max="5" width="18.77734375" style="7" bestFit="1" customWidth="1"/>
    <col min="6" max="6" width="18.2187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Amort'!H36:H45)+SUM(#REF!)+SUM(#REF!)+'191010 WA DEF'!G52-0.01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abSelected="1" zoomScale="60" zoomScaleNormal="60" workbookViewId="0">
      <selection activeCell="L16" sqref="L16"/>
    </sheetView>
  </sheetViews>
  <sheetFormatPr defaultColWidth="16" defaultRowHeight="15"/>
  <cols>
    <col min="1" max="1" width="2.88671875" style="30" customWidth="1"/>
    <col min="2" max="2" width="48.77734375" style="30" bestFit="1" customWidth="1"/>
    <col min="3" max="3" width="11.5546875" style="30" customWidth="1"/>
    <col min="4" max="4" width="10.77734375" style="30" customWidth="1"/>
    <col min="5" max="5" width="18.77734375" style="7" bestFit="1" customWidth="1"/>
    <col min="6" max="6" width="18.2187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53"/>
  <sheetViews>
    <sheetView zoomScale="90" zoomScaleNormal="90" workbookViewId="0">
      <pane ySplit="6" topLeftCell="A19" activePane="bottomLeft" state="frozen"/>
      <selection activeCell="F26" sqref="F26"/>
      <selection pane="bottomLeft" activeCell="F12" sqref="F12"/>
    </sheetView>
  </sheetViews>
  <sheetFormatPr defaultColWidth="8.88671875" defaultRowHeight="14.4"/>
  <cols>
    <col min="1" max="1" width="9.109375" style="32" customWidth="1"/>
    <col min="2" max="2" width="8.88671875" style="32"/>
    <col min="3" max="3" width="1.6640625" style="33" customWidth="1"/>
    <col min="4" max="4" width="13.6640625" style="32" customWidth="1"/>
    <col min="5" max="6" width="14.33203125" style="32" customWidth="1"/>
    <col min="7" max="7" width="14.6640625" style="32" bestFit="1" customWidth="1"/>
    <col min="8" max="8" width="12.109375" style="32" customWidth="1"/>
    <col min="9" max="9" width="15.33203125" style="32" bestFit="1" customWidth="1"/>
    <col min="10" max="10" width="1.6640625" style="33" customWidth="1"/>
    <col min="11" max="11" width="14.33203125" style="32" bestFit="1" customWidth="1"/>
    <col min="12" max="12" width="13.88671875" style="32" bestFit="1" customWidth="1"/>
    <col min="13" max="13" width="6.109375" style="71" customWidth="1"/>
    <col min="14" max="14" width="12.44140625" style="32" bestFit="1" customWidth="1"/>
    <col min="15" max="16" width="8.88671875" style="32"/>
    <col min="17" max="17" width="12.6640625" style="32" customWidth="1"/>
    <col min="18" max="19" width="13.109375" style="32" bestFit="1" customWidth="1"/>
    <col min="20" max="16384" width="8.88671875" style="32"/>
  </cols>
  <sheetData>
    <row r="1" spans="1:15" s="36" customFormat="1" ht="15.6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6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6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6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">
      <c r="A5" s="37"/>
      <c r="B5" s="38"/>
      <c r="C5" s="38"/>
      <c r="D5" s="38"/>
      <c r="E5" s="38"/>
      <c r="F5" s="38"/>
      <c r="G5" s="38"/>
    </row>
    <row r="6" spans="1:15" s="40" customFormat="1" ht="56.4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6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6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6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6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6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6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6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6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6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6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6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2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6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6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6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6">
      <c r="A22" s="72">
        <f t="shared" si="23"/>
        <v>202204</v>
      </c>
      <c r="B22" s="77"/>
      <c r="C22" s="57"/>
      <c r="D22" s="60">
        <v>0</v>
      </c>
      <c r="E22" s="79">
        <f t="shared" si="19"/>
        <v>9150074.7205229942</v>
      </c>
      <c r="F22" s="78"/>
      <c r="G22" s="78"/>
      <c r="H22" s="58">
        <f t="shared" ref="H22:H30" si="25">ROUND(((E22)*(B22/12))+((SUM(F22:G22)/2)*(B22/12)),2)</f>
        <v>0</v>
      </c>
      <c r="I22" s="98">
        <f t="shared" si="21"/>
        <v>9150074.7205229942</v>
      </c>
      <c r="J22" s="59"/>
      <c r="K22" s="80"/>
      <c r="L22" s="81"/>
      <c r="M22" s="70"/>
      <c r="N22" s="242"/>
      <c r="O22" s="242"/>
    </row>
    <row r="23" spans="1:23" s="40" customFormat="1" ht="15.6">
      <c r="A23" s="72">
        <f t="shared" si="23"/>
        <v>202205</v>
      </c>
      <c r="B23" s="77"/>
      <c r="C23" s="57"/>
      <c r="D23" s="60">
        <v>0</v>
      </c>
      <c r="E23" s="79">
        <f t="shared" si="19"/>
        <v>9150074.7205229942</v>
      </c>
      <c r="F23" s="78"/>
      <c r="G23" s="78"/>
      <c r="H23" s="58">
        <f t="shared" si="25"/>
        <v>0</v>
      </c>
      <c r="I23" s="98">
        <f t="shared" si="21"/>
        <v>9150074.7205229942</v>
      </c>
      <c r="J23" s="59"/>
      <c r="K23" s="80"/>
      <c r="L23" s="81"/>
      <c r="M23" s="70"/>
      <c r="N23" s="242"/>
      <c r="O23" s="242"/>
    </row>
    <row r="24" spans="1:23" s="40" customFormat="1" ht="15.6">
      <c r="A24" s="72">
        <f t="shared" si="23"/>
        <v>202206</v>
      </c>
      <c r="B24" s="77"/>
      <c r="C24" s="57"/>
      <c r="D24" s="60">
        <v>0</v>
      </c>
      <c r="E24" s="79">
        <f t="shared" si="19"/>
        <v>9150074.7205229942</v>
      </c>
      <c r="F24" s="78"/>
      <c r="G24" s="78"/>
      <c r="H24" s="58">
        <f t="shared" si="25"/>
        <v>0</v>
      </c>
      <c r="I24" s="98">
        <f t="shared" si="21"/>
        <v>9150074.7205229942</v>
      </c>
      <c r="J24" s="59"/>
      <c r="K24" s="80"/>
      <c r="L24" s="81"/>
      <c r="M24" s="70"/>
      <c r="N24" s="242"/>
      <c r="O24" s="242"/>
    </row>
    <row r="25" spans="1:23" s="40" customFormat="1" ht="15.6">
      <c r="A25" s="72">
        <f t="shared" si="23"/>
        <v>202207</v>
      </c>
      <c r="B25" s="77"/>
      <c r="C25" s="57"/>
      <c r="D25" s="60">
        <v>0</v>
      </c>
      <c r="E25" s="79">
        <f t="shared" si="19"/>
        <v>9150074.7205229942</v>
      </c>
      <c r="F25" s="78"/>
      <c r="G25" s="78"/>
      <c r="H25" s="58">
        <f t="shared" si="25"/>
        <v>0</v>
      </c>
      <c r="I25" s="98">
        <f>SUM(E25:H25)</f>
        <v>9150074.7205229942</v>
      </c>
      <c r="J25" s="59"/>
      <c r="K25" s="80"/>
      <c r="L25" s="81"/>
      <c r="M25" s="70"/>
      <c r="N25" s="242"/>
    </row>
    <row r="26" spans="1:23" s="40" customFormat="1" ht="15.6">
      <c r="A26" s="72">
        <f t="shared" si="23"/>
        <v>202208</v>
      </c>
      <c r="B26" s="77"/>
      <c r="C26" s="57"/>
      <c r="D26" s="60">
        <v>0</v>
      </c>
      <c r="E26" s="79">
        <f t="shared" si="19"/>
        <v>9150074.7205229942</v>
      </c>
      <c r="F26" s="78"/>
      <c r="G26" s="78"/>
      <c r="H26" s="58">
        <f t="shared" si="25"/>
        <v>0</v>
      </c>
      <c r="I26" s="98">
        <f>SUM(E26:H26)</f>
        <v>9150074.7205229942</v>
      </c>
      <c r="J26" s="59"/>
      <c r="K26" s="80"/>
      <c r="L26" s="81"/>
      <c r="M26" s="70"/>
    </row>
    <row r="27" spans="1:23" s="40" customFormat="1" ht="15.6">
      <c r="A27" s="72">
        <f t="shared" si="23"/>
        <v>202209</v>
      </c>
      <c r="B27" s="77"/>
      <c r="C27" s="57"/>
      <c r="D27" s="60">
        <v>0</v>
      </c>
      <c r="E27" s="79">
        <f t="shared" si="19"/>
        <v>9150074.7205229942</v>
      </c>
      <c r="F27" s="78"/>
      <c r="G27" s="78"/>
      <c r="H27" s="58">
        <f t="shared" si="25"/>
        <v>0</v>
      </c>
      <c r="I27" s="98">
        <f t="shared" ref="I27:I28" si="26">SUM(E27:H27)</f>
        <v>9150074.7205229942</v>
      </c>
      <c r="J27" s="59"/>
      <c r="K27" s="80"/>
      <c r="L27" s="81"/>
      <c r="M27" s="70"/>
    </row>
    <row r="28" spans="1:23" s="40" customFormat="1" ht="15.6">
      <c r="A28" s="72">
        <f t="shared" si="23"/>
        <v>202210</v>
      </c>
      <c r="B28" s="77"/>
      <c r="C28" s="57"/>
      <c r="D28" s="60">
        <v>0</v>
      </c>
      <c r="E28" s="79">
        <f t="shared" si="19"/>
        <v>9150074.7205229942</v>
      </c>
      <c r="F28" s="78"/>
      <c r="G28" s="78"/>
      <c r="H28" s="58">
        <f t="shared" si="25"/>
        <v>0</v>
      </c>
      <c r="I28" s="98">
        <f t="shared" si="26"/>
        <v>9150074.7205229942</v>
      </c>
      <c r="J28" s="59"/>
      <c r="K28" s="80"/>
      <c r="L28" s="81"/>
      <c r="M28" s="70"/>
    </row>
    <row r="29" spans="1:23" s="40" customFormat="1" ht="15.6">
      <c r="A29" s="72">
        <f t="shared" si="23"/>
        <v>202211</v>
      </c>
      <c r="B29" s="77"/>
      <c r="C29" s="57"/>
      <c r="D29" s="60"/>
      <c r="E29" s="79">
        <f t="shared" si="19"/>
        <v>9150074.7205229942</v>
      </c>
      <c r="F29" s="78"/>
      <c r="G29" s="78"/>
      <c r="H29" s="58">
        <f t="shared" si="25"/>
        <v>0</v>
      </c>
      <c r="I29" s="98">
        <f>SUM(E29:H29)</f>
        <v>9150074.7205229942</v>
      </c>
      <c r="J29" s="59"/>
      <c r="K29" s="80"/>
      <c r="L29" s="81"/>
      <c r="M29" s="46"/>
    </row>
    <row r="30" spans="1:23" s="40" customFormat="1" ht="16.2" thickBot="1">
      <c r="A30" s="73">
        <f t="shared" si="23"/>
        <v>202212</v>
      </c>
      <c r="B30" s="61"/>
      <c r="C30" s="74"/>
      <c r="D30" s="62">
        <v>0</v>
      </c>
      <c r="E30" s="63">
        <f t="shared" si="19"/>
        <v>9150074.7205229942</v>
      </c>
      <c r="F30" s="62"/>
      <c r="G30" s="62"/>
      <c r="H30" s="63">
        <f t="shared" si="25"/>
        <v>0</v>
      </c>
      <c r="I30" s="107">
        <f t="shared" ref="I30" si="27">SUM(E30:H30)</f>
        <v>9150074.7205229942</v>
      </c>
      <c r="J30" s="59"/>
      <c r="K30" s="80"/>
      <c r="L30" s="81"/>
      <c r="M30" s="70"/>
    </row>
    <row r="31" spans="1:23" ht="15.6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1397465.5280680005</v>
      </c>
      <c r="G31" s="64">
        <f>SUMIF($A$7:$A$30,$D34,G$7:G$30)</f>
        <v>-287194.87563999998</v>
      </c>
      <c r="H31" s="64">
        <f>SUMIF($A$7:$A$30,$D34,H$7:H$30)</f>
        <v>23215.09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202203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23215.09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>
        <f>IF($F$31+$G$31+H31&gt;0,ABS($F$31+$G$31+H31),"")</f>
        <v>1133485.7424280006</v>
      </c>
      <c r="F38" s="54" t="str">
        <f>IF($F$31+$G$31+H31&lt;0,ABS($F$31+$G$31+H31),"")</f>
        <v/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1110270.6524280005</v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6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  <row r="48" spans="1:23">
      <c r="D48" s="55"/>
      <c r="E48" s="278" t="s">
        <v>146</v>
      </c>
      <c r="F48" s="278"/>
      <c r="G48" s="278"/>
      <c r="I48" s="33"/>
      <c r="J48" s="32"/>
      <c r="L48" s="71"/>
      <c r="M48" s="32"/>
    </row>
    <row r="49" spans="4:13">
      <c r="D49" s="55"/>
      <c r="E49" s="267" t="s">
        <v>143</v>
      </c>
      <c r="F49" s="267" t="s">
        <v>144</v>
      </c>
      <c r="G49" s="268" t="s">
        <v>145</v>
      </c>
      <c r="I49" s="33"/>
      <c r="J49" s="32"/>
      <c r="L49" s="71"/>
      <c r="M49" s="32"/>
    </row>
    <row r="50" spans="4:13">
      <c r="D50" s="52" t="s">
        <v>54</v>
      </c>
      <c r="E50" s="54">
        <v>-12303.63</v>
      </c>
      <c r="F50" s="54">
        <v>-12303.63</v>
      </c>
      <c r="G50" s="266">
        <f>F50-E50</f>
        <v>0</v>
      </c>
      <c r="H50" s="265"/>
      <c r="I50" s="33"/>
      <c r="J50" s="32"/>
      <c r="L50" s="71"/>
      <c r="M50" s="32"/>
    </row>
    <row r="51" spans="4:13">
      <c r="D51" s="52" t="s">
        <v>55</v>
      </c>
      <c r="E51" s="54"/>
      <c r="F51" s="54"/>
      <c r="G51" s="266"/>
      <c r="H51" s="265"/>
      <c r="I51" s="33"/>
      <c r="J51" s="32"/>
      <c r="L51" s="71"/>
      <c r="M51" s="32"/>
    </row>
    <row r="52" spans="4:13">
      <c r="D52" s="52" t="s">
        <v>56</v>
      </c>
      <c r="E52" s="54">
        <v>3002302.58</v>
      </c>
      <c r="F52" s="54">
        <v>3002304.7</v>
      </c>
      <c r="G52" s="266">
        <f>F52-E52-0.01</f>
        <v>2.1100000001117589</v>
      </c>
      <c r="H52" s="265"/>
      <c r="I52" s="33"/>
      <c r="J52" s="32"/>
      <c r="L52" s="71"/>
      <c r="M52" s="32"/>
    </row>
    <row r="53" spans="4:13">
      <c r="D53" s="52" t="s">
        <v>57</v>
      </c>
      <c r="E53" s="54">
        <v>-2989998.95</v>
      </c>
      <c r="F53" s="54">
        <v>-2990001.07</v>
      </c>
      <c r="G53" s="266">
        <f>F53-E53+0.01</f>
        <v>-2.1099999996460976</v>
      </c>
      <c r="H53" s="265"/>
      <c r="I53" s="33"/>
      <c r="J53" s="32"/>
      <c r="L53" s="71"/>
      <c r="M53" s="32"/>
    </row>
  </sheetData>
  <mergeCells count="1">
    <mergeCell ref="E48:G48"/>
  </mergeCells>
  <printOptions horizontalCentered="1"/>
  <pageMargins left="0.25" right="0.25" top="0.5" bottom="0.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I17" sqref="I17"/>
    </sheetView>
  </sheetViews>
  <sheetFormatPr defaultColWidth="8.88671875" defaultRowHeight="13.8" outlineLevelCol="1"/>
  <cols>
    <col min="1" max="1" width="9.109375" style="55" customWidth="1"/>
    <col min="2" max="2" width="9" style="55" bestFit="1" customWidth="1"/>
    <col min="3" max="3" width="14.109375" style="55" bestFit="1" customWidth="1"/>
    <col min="4" max="4" width="12.88671875" style="55" bestFit="1" customWidth="1"/>
    <col min="5" max="5" width="14.109375" style="55" bestFit="1" customWidth="1"/>
    <col min="6" max="6" width="14.33203125" style="55" bestFit="1" customWidth="1"/>
    <col min="7" max="7" width="12.44140625" style="55" customWidth="1"/>
    <col min="8" max="8" width="13.109375" style="55" bestFit="1" customWidth="1"/>
    <col min="9" max="9" width="11.5546875" style="55" bestFit="1" customWidth="1"/>
    <col min="10" max="10" width="10.109375" style="55" bestFit="1" customWidth="1"/>
    <col min="11" max="11" width="12.44140625" style="55" bestFit="1" customWidth="1"/>
    <col min="12" max="12" width="11.5546875" style="55" hidden="1" customWidth="1" outlineLevel="1"/>
    <col min="13" max="13" width="11" style="55" hidden="1" customWidth="1" outlineLevel="1"/>
    <col min="14" max="14" width="11.5546875" style="55" hidden="1" customWidth="1" outlineLevel="1"/>
    <col min="15" max="15" width="11.33203125" style="55" bestFit="1" customWidth="1" collapsed="1"/>
    <col min="16" max="16" width="14.109375" style="55" bestFit="1" customWidth="1"/>
    <col min="17" max="17" width="1.6640625" style="104" customWidth="1"/>
    <col min="18" max="18" width="14.109375" style="55" bestFit="1" customWidth="1"/>
    <col min="19" max="19" width="13.21875" style="56" bestFit="1" customWidth="1"/>
    <col min="20" max="20" width="13.5546875" style="55" customWidth="1"/>
    <col min="21" max="21" width="13.88671875" style="55" bestFit="1" customWidth="1"/>
    <col min="22" max="24" width="8.88671875" style="55"/>
    <col min="25" max="25" width="12.6640625" style="55" customWidth="1"/>
    <col min="26" max="27" width="13.109375" style="55" bestFit="1" customWidth="1"/>
    <col min="28" max="16384" width="8.88671875" style="55"/>
  </cols>
  <sheetData>
    <row r="1" spans="1:21" s="36" customFormat="1" ht="15.6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6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6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6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4.4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4.4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0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1">F20*G20</f>
        <v>-399883.68286</v>
      </c>
      <c r="I20" s="257">
        <v>7967454</v>
      </c>
      <c r="J20" s="90">
        <v>-2.9020000000000001E-2</v>
      </c>
      <c r="K20" s="101">
        <f t="shared" ref="K20:K28" si="22">I20*J20</f>
        <v>-231215.51508000001</v>
      </c>
      <c r="L20" s="99"/>
      <c r="M20" s="90"/>
      <c r="N20" s="101">
        <f t="shared" ref="N20:N28" si="23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>R20-P20</f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0"/>
        <v>7039422.3188469987</v>
      </c>
      <c r="F21" s="257">
        <f>14466885+38681</f>
        <v>14505566</v>
      </c>
      <c r="G21" s="90">
        <v>-2.0060000000000001E-2</v>
      </c>
      <c r="H21" s="101">
        <f t="shared" si="21"/>
        <v>-290981.65396000003</v>
      </c>
      <c r="I21" s="257">
        <v>6530840</v>
      </c>
      <c r="J21" s="90">
        <v>-2.9020000000000001E-2</v>
      </c>
      <c r="K21" s="101">
        <f t="shared" si="22"/>
        <v>-189524.9768</v>
      </c>
      <c r="L21" s="99"/>
      <c r="M21" s="90"/>
      <c r="N21" s="101">
        <f t="shared" si="23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>R21-P21</f>
        <v>-1.8086998723447323E-2</v>
      </c>
    </row>
    <row r="22" spans="1:23">
      <c r="A22" s="135" t="s">
        <v>132</v>
      </c>
      <c r="B22" s="89"/>
      <c r="C22" s="60">
        <v>0</v>
      </c>
      <c r="D22" s="60">
        <v>0</v>
      </c>
      <c r="E22" s="91">
        <f t="shared" si="20"/>
        <v>6577330.1080869986</v>
      </c>
      <c r="F22" s="257"/>
      <c r="G22" s="90"/>
      <c r="H22" s="101">
        <f t="shared" si="21"/>
        <v>0</v>
      </c>
      <c r="I22" s="257"/>
      <c r="J22" s="90"/>
      <c r="K22" s="101">
        <f t="shared" si="22"/>
        <v>0</v>
      </c>
      <c r="L22" s="99"/>
      <c r="M22" s="90"/>
      <c r="N22" s="101">
        <f t="shared" si="23"/>
        <v>0</v>
      </c>
      <c r="O22" s="98">
        <f t="shared" si="12"/>
        <v>0</v>
      </c>
      <c r="P22" s="58">
        <f t="shared" si="18"/>
        <v>6577330.1080869986</v>
      </c>
      <c r="Q22" s="46"/>
      <c r="R22" s="80"/>
      <c r="S22" s="81"/>
    </row>
    <row r="23" spans="1:23">
      <c r="A23" s="135" t="s">
        <v>133</v>
      </c>
      <c r="B23" s="89"/>
      <c r="C23" s="60">
        <v>0</v>
      </c>
      <c r="D23" s="60">
        <v>0</v>
      </c>
      <c r="E23" s="91">
        <f t="shared" si="20"/>
        <v>6577330.1080869986</v>
      </c>
      <c r="F23" s="257"/>
      <c r="G23" s="90"/>
      <c r="H23" s="101">
        <f t="shared" si="21"/>
        <v>0</v>
      </c>
      <c r="I23" s="257"/>
      <c r="J23" s="90"/>
      <c r="K23" s="101">
        <f t="shared" si="22"/>
        <v>0</v>
      </c>
      <c r="L23" s="99"/>
      <c r="M23" s="90"/>
      <c r="N23" s="101">
        <f t="shared" si="23"/>
        <v>0</v>
      </c>
      <c r="O23" s="98">
        <f t="shared" si="12"/>
        <v>0</v>
      </c>
      <c r="P23" s="58">
        <f t="shared" si="18"/>
        <v>6577330.1080869986</v>
      </c>
      <c r="Q23" s="46"/>
      <c r="R23" s="80"/>
      <c r="S23" s="81"/>
    </row>
    <row r="24" spans="1:23">
      <c r="A24" s="135" t="s">
        <v>134</v>
      </c>
      <c r="B24" s="89"/>
      <c r="C24" s="60">
        <v>0</v>
      </c>
      <c r="D24" s="60">
        <v>0</v>
      </c>
      <c r="E24" s="91">
        <f t="shared" si="20"/>
        <v>6577330.1080869986</v>
      </c>
      <c r="F24" s="257"/>
      <c r="G24" s="90"/>
      <c r="H24" s="101">
        <f t="shared" si="21"/>
        <v>0</v>
      </c>
      <c r="I24" s="257"/>
      <c r="J24" s="90"/>
      <c r="K24" s="101">
        <f t="shared" si="22"/>
        <v>0</v>
      </c>
      <c r="L24" s="99"/>
      <c r="M24" s="90"/>
      <c r="N24" s="101">
        <f t="shared" si="23"/>
        <v>0</v>
      </c>
      <c r="O24" s="98">
        <f>ROUND(((E24*(B24/12))+(H24+K24+N24)/2*(B24/12)),2)</f>
        <v>0</v>
      </c>
      <c r="P24" s="58">
        <f t="shared" si="18"/>
        <v>6577330.1080869986</v>
      </c>
      <c r="Q24" s="46"/>
      <c r="R24" s="80"/>
      <c r="S24" s="81"/>
    </row>
    <row r="25" spans="1:23">
      <c r="A25" s="135" t="s">
        <v>135</v>
      </c>
      <c r="B25" s="89"/>
      <c r="C25" s="60">
        <v>0</v>
      </c>
      <c r="D25" s="60">
        <v>0</v>
      </c>
      <c r="E25" s="91">
        <f t="shared" si="20"/>
        <v>6577330.1080869986</v>
      </c>
      <c r="F25" s="257"/>
      <c r="G25" s="90"/>
      <c r="H25" s="101">
        <f t="shared" si="21"/>
        <v>0</v>
      </c>
      <c r="I25" s="257"/>
      <c r="J25" s="90"/>
      <c r="K25" s="101">
        <f t="shared" si="22"/>
        <v>0</v>
      </c>
      <c r="L25" s="99"/>
      <c r="M25" s="90"/>
      <c r="N25" s="101">
        <f t="shared" si="23"/>
        <v>0</v>
      </c>
      <c r="O25" s="98">
        <f t="shared" ref="O25:O30" si="24">ROUND(((E25*(B25/12))+(H25+K25+N25)/2*(B25/12)),2)</f>
        <v>0</v>
      </c>
      <c r="P25" s="58">
        <f t="shared" si="18"/>
        <v>6577330.1080869986</v>
      </c>
      <c r="Q25" s="46"/>
      <c r="R25" s="80"/>
      <c r="S25" s="81"/>
    </row>
    <row r="26" spans="1:23">
      <c r="A26" s="135" t="s">
        <v>136</v>
      </c>
      <c r="B26" s="89"/>
      <c r="C26" s="60">
        <v>0</v>
      </c>
      <c r="D26" s="60">
        <v>0</v>
      </c>
      <c r="E26" s="91">
        <f t="shared" si="20"/>
        <v>6577330.1080869986</v>
      </c>
      <c r="F26" s="257"/>
      <c r="G26" s="90"/>
      <c r="H26" s="101">
        <f t="shared" si="21"/>
        <v>0</v>
      </c>
      <c r="I26" s="257"/>
      <c r="J26" s="90"/>
      <c r="K26" s="101">
        <f t="shared" si="22"/>
        <v>0</v>
      </c>
      <c r="L26" s="99"/>
      <c r="M26" s="90"/>
      <c r="N26" s="101">
        <f t="shared" si="23"/>
        <v>0</v>
      </c>
      <c r="O26" s="98">
        <f t="shared" si="24"/>
        <v>0</v>
      </c>
      <c r="P26" s="58">
        <f t="shared" si="18"/>
        <v>6577330.1080869986</v>
      </c>
      <c r="Q26" s="46"/>
      <c r="R26" s="80"/>
      <c r="S26" s="81"/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0"/>
        <v>6577330.1080869986</v>
      </c>
      <c r="F27" s="257"/>
      <c r="G27" s="90"/>
      <c r="H27" s="101">
        <f t="shared" si="21"/>
        <v>0</v>
      </c>
      <c r="I27" s="257"/>
      <c r="J27" s="90"/>
      <c r="K27" s="101">
        <f t="shared" si="22"/>
        <v>0</v>
      </c>
      <c r="L27" s="99"/>
      <c r="M27" s="90"/>
      <c r="N27" s="101">
        <f t="shared" si="23"/>
        <v>0</v>
      </c>
      <c r="O27" s="98">
        <f t="shared" si="24"/>
        <v>0</v>
      </c>
      <c r="P27" s="58">
        <f t="shared" si="18"/>
        <v>6577330.1080869986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0"/>
        <v>6577330.1080869986</v>
      </c>
      <c r="F28" s="257"/>
      <c r="G28" s="90"/>
      <c r="H28" s="101">
        <f t="shared" si="21"/>
        <v>0</v>
      </c>
      <c r="I28" s="257"/>
      <c r="J28" s="90"/>
      <c r="K28" s="101">
        <f t="shared" si="22"/>
        <v>0</v>
      </c>
      <c r="L28" s="99"/>
      <c r="M28" s="90"/>
      <c r="N28" s="101">
        <f t="shared" si="23"/>
        <v>0</v>
      </c>
      <c r="O28" s="98">
        <f t="shared" si="24"/>
        <v>0</v>
      </c>
      <c r="P28" s="58">
        <f t="shared" si="18"/>
        <v>6577330.1080869986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0"/>
        <v>6577330.1080869986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4"/>
        <v>0</v>
      </c>
      <c r="P29" s="58">
        <f>E29+H29+K29+N29+O29</f>
        <v>6577330.1080869986</v>
      </c>
      <c r="Q29" s="46"/>
      <c r="R29" s="80"/>
      <c r="S29" s="81"/>
    </row>
    <row r="30" spans="1:23" ht="14.4" thickBot="1">
      <c r="A30" s="156" t="s">
        <v>140</v>
      </c>
      <c r="B30" s="105"/>
      <c r="C30" s="62">
        <v>0</v>
      </c>
      <c r="D30" s="62">
        <v>0</v>
      </c>
      <c r="E30" s="256">
        <f t="shared" si="20"/>
        <v>6577330.1080869986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4"/>
        <v>0</v>
      </c>
      <c r="P30" s="63">
        <f t="shared" ref="P30" si="25">E30+H30+K30+N30+O30</f>
        <v>6577330.1080869986</v>
      </c>
      <c r="Q30" s="108"/>
      <c r="R30" s="157"/>
      <c r="S30" s="158"/>
    </row>
    <row r="31" spans="1:23" s="112" customFormat="1" ht="15.6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-290981.65396000003</v>
      </c>
      <c r="I31" s="65"/>
      <c r="J31" s="109"/>
      <c r="K31" s="64">
        <f>SUMIF($A$7:$A$30,$G34,K$7:N$30)</f>
        <v>-189524.9768</v>
      </c>
      <c r="L31" s="68"/>
      <c r="M31" s="111"/>
      <c r="N31" s="64">
        <f>SUMIF($A$7:$A$18,$G34,N$7:N$18)</f>
        <v>0</v>
      </c>
      <c r="O31" s="64">
        <f>SUMIF($A$7:$A$30,$G34,O$7:O$30)</f>
        <v>18414.419999999998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4.4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4.4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4.4">
      <c r="D34" s="55"/>
      <c r="E34" s="55"/>
      <c r="F34" s="56"/>
      <c r="G34" s="48">
        <v>202203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4.4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4.4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18414.419999999998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4.4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4.4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462092.21076000005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4.4">
      <c r="D39" s="55"/>
      <c r="E39" s="55"/>
      <c r="F39" s="66" t="s">
        <v>76</v>
      </c>
      <c r="G39" s="52" t="s">
        <v>73</v>
      </c>
      <c r="H39" s="54">
        <f>IF(H31+$K$31+$N$31&lt;0,ABS(H31+$K$31+$N$31),"")</f>
        <v>480506.63076000003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4.4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4.4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4.4">
      <c r="F42" s="33"/>
      <c r="J42" s="112"/>
      <c r="M42" s="33"/>
      <c r="P42" s="71"/>
    </row>
    <row r="43" spans="4:26" s="32" customFormat="1" ht="15.6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4.4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4.4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8ED1C1-C374-4277-A369-582DCD2C5D2C}"/>
</file>

<file path=customXml/itemProps2.xml><?xml version="1.0" encoding="utf-8"?>
<ds:datastoreItem xmlns:ds="http://schemas.openxmlformats.org/officeDocument/2006/customXml" ds:itemID="{FC66D0EC-83C9-4A3D-96E3-4F5CD9A67B63}"/>
</file>

<file path=customXml/itemProps3.xml><?xml version="1.0" encoding="utf-8"?>
<ds:datastoreItem xmlns:ds="http://schemas.openxmlformats.org/officeDocument/2006/customXml" ds:itemID="{F736ACED-349C-44D3-A19B-5132BCFCC5F1}"/>
</file>

<file path=customXml/itemProps4.xml><?xml version="1.0" encoding="utf-8"?>
<ds:datastoreItem xmlns:ds="http://schemas.openxmlformats.org/officeDocument/2006/customXml" ds:itemID="{3F71BF9F-27ED-40A4-A660-4308242C7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Jan 22</vt:lpstr>
      <vt:lpstr>Feb 22</vt:lpstr>
      <vt:lpstr>Mar 22</vt:lpstr>
      <vt:lpstr>191010 WA DEF</vt:lpstr>
      <vt:lpstr>191000 WA Amort</vt:lpstr>
      <vt:lpstr>'191000 WA Amort'!Print_Area</vt:lpstr>
      <vt:lpstr>'191010 WA DEF'!Print_Area</vt:lpstr>
      <vt:lpstr>'Feb 22'!Print_Area</vt:lpstr>
      <vt:lpstr>'Jan 22'!Print_Area</vt:lpstr>
      <vt:lpstr>'Mar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2022-04-19T18:06:13Z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