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068" yWindow="-12" windowWidth="9960" windowHeight="9720" activeTab="1"/>
  </bookViews>
  <sheets>
    <sheet name="UG-120437 Base" sheetId="10" r:id="rId1"/>
    <sheet name="PTD 2014 Deferral Calc" sheetId="1" r:id="rId2"/>
    <sheet name="GL Accounts" sheetId="8" r:id="rId3"/>
    <sheet name="12-13 Rebate" sheetId="11" r:id="rId4"/>
  </sheets>
  <externalReferences>
    <externalReference r:id="rId5"/>
  </externalReferences>
  <definedNames>
    <definedName name="Fiscal_Period_Report" localSheetId="0">#REF!</definedName>
    <definedName name="Fiscal_Period_Report">'PTD 2014 Deferral Calc'!$A$1:$P$78</definedName>
    <definedName name="Monthly_Journal" localSheetId="3">'[1]PTD 2013 Deferral Calc'!#REF!</definedName>
    <definedName name="Monthly_Journal">'PTD 2014 Deferral Calc'!#REF!</definedName>
    <definedName name="_xlnm.Print_Area" localSheetId="2">'GL Accounts'!$A$1:$F$104</definedName>
    <definedName name="_xlnm.Print_Area" localSheetId="1">'PTD 2014 Deferral Calc'!$A$1:$P$78</definedName>
    <definedName name="Revenue_Run_Customers" localSheetId="3">#REF!</definedName>
    <definedName name="Revenue_Run_Customers" localSheetId="1">#REF!</definedName>
    <definedName name="Revenue_Run_Customers">#REF!</definedName>
    <definedName name="Revenue_Run_Therms" localSheetId="1">#REF!</definedName>
    <definedName name="Revenue_Run_Therms">#REF!</definedName>
    <definedName name="WC_Unb_Calc" localSheetId="1">#REF!</definedName>
    <definedName name="WC_Unb_Calc">#REF!</definedName>
    <definedName name="Z_0FD22FF2_1019_47D8_B258_1BB68232F092_.wvu.PrintArea" localSheetId="1" hidden="1">'PTD 2014 Deferral Calc'!#REF!</definedName>
    <definedName name="Z_0FD22FF2_1019_47D8_B258_1BB68232F092_.wvu.Rows" localSheetId="1" hidden="1">'PTD 2014 Deferral Calc'!#REF!</definedName>
    <definedName name="Z_81D22F57_B9CC_4D89_903B_6E009051802B_.wvu.PrintArea" localSheetId="1" hidden="1">'PTD 2014 Deferral Calc'!#REF!</definedName>
    <definedName name="Z_81D22F57_B9CC_4D89_903B_6E009051802B_.wvu.Rows" localSheetId="1" hidden="1">'PTD 2014 Deferral Calc'!$39:$74</definedName>
    <definedName name="Z_A6955850_675F_4B7A_99D7_C52DA0B2D2D6_.wvu.PrintArea" localSheetId="1" hidden="1">'PTD 2014 Deferral Calc'!$A$1:$P$78</definedName>
    <definedName name="Z_A6955850_675F_4B7A_99D7_C52DA0B2D2D6_.wvu.Rows" localSheetId="1" hidden="1">'PTD 2014 Deferral Calc'!$39:$74</definedName>
    <definedName name="Z_D4943E0B_60C6_4C0B_BD3A_F3B96E2421DB_.wvu.PrintArea" localSheetId="1" hidden="1">'PTD 2014 Deferral Calc'!$A$1:$P$74</definedName>
    <definedName name="Z_D4943E0B_60C6_4C0B_BD3A_F3B96E2421DB_.wvu.Rows" localSheetId="1" hidden="1">'PTD 2014 Deferral Calc'!#REF!</definedName>
  </definedNames>
  <calcPr calcId="125725" calcMode="manual"/>
  <customWorkbookViews>
    <customWorkbookView name="Monthly Journal Entry" guid="{0FD22FF2-1019-47D8-B258-1BB68232F092}" maximized="1" xWindow="1" yWindow="1" windowWidth="1276" windowHeight="579" activeSheetId="1"/>
    <customWorkbookView name="Annual_Deferral" guid="{D4943E0B-60C6-4C0B-BD3A-F3B96E2421DB}" maximized="1" xWindow="1" yWindow="1" windowWidth="1276" windowHeight="579" activeSheetId="1"/>
    <customWorkbookView name="Monthly Journal 2010 Test Year" guid="{81D22F57-B9CC-4D89-903B-6E009051802B}" maximized="1" xWindow="1" yWindow="1" windowWidth="1276" windowHeight="579" activeSheetId="1" showComments="commIndAndComment"/>
    <customWorkbookView name="Annual Deferral 2012" guid="{A6955850-675F-4B7A-99D7-C52DA0B2D2D6}" maximized="1" xWindow="1" yWindow="1" windowWidth="1143" windowHeight="467" activeSheetId="1" showComments="commIndAndComment"/>
  </customWorkbookViews>
</workbook>
</file>

<file path=xl/calcChain.xml><?xml version="1.0" encoding="utf-8"?>
<calcChain xmlns="http://schemas.openxmlformats.org/spreadsheetml/2006/main">
  <c r="J37" i="11"/>
  <c r="J35"/>
  <c r="H38"/>
  <c r="H36"/>
  <c r="F61" l="1"/>
  <c r="E36"/>
  <c r="B8" s="1"/>
  <c r="O32"/>
  <c r="O31"/>
  <c r="L31"/>
  <c r="O30"/>
  <c r="O29"/>
  <c r="L29"/>
  <c r="O28"/>
  <c r="O27"/>
  <c r="O26"/>
  <c r="O25"/>
  <c r="L25"/>
  <c r="O24"/>
  <c r="O23"/>
  <c r="L23"/>
  <c r="O22"/>
  <c r="O21"/>
  <c r="O20"/>
  <c r="O19"/>
  <c r="L19"/>
  <c r="O18"/>
  <c r="O17"/>
  <c r="L17"/>
  <c r="O16"/>
  <c r="O15"/>
  <c r="O14"/>
  <c r="A14"/>
  <c r="A16" s="1"/>
  <c r="O13"/>
  <c r="O12"/>
  <c r="H12"/>
  <c r="A12"/>
  <c r="O11"/>
  <c r="L11"/>
  <c r="L13" s="1"/>
  <c r="O10"/>
  <c r="O40" s="1"/>
  <c r="I10"/>
  <c r="H10"/>
  <c r="B10"/>
  <c r="B12" l="1"/>
  <c r="C42"/>
  <c r="A18"/>
  <c r="H16"/>
  <c r="C11"/>
  <c r="M40"/>
  <c r="H14"/>
  <c r="A20" l="1"/>
  <c r="H18"/>
  <c r="B14"/>
  <c r="M42"/>
  <c r="E41"/>
  <c r="B16" l="1"/>
  <c r="A22"/>
  <c r="H20"/>
  <c r="C13"/>
  <c r="B18" l="1"/>
  <c r="C17"/>
  <c r="A24"/>
  <c r="H22"/>
  <c r="C15"/>
  <c r="A26" l="1"/>
  <c r="H24"/>
  <c r="B20"/>
  <c r="C19"/>
  <c r="A28" l="1"/>
  <c r="H26"/>
  <c r="C21"/>
  <c r="B22"/>
  <c r="B24" l="1"/>
  <c r="C23"/>
  <c r="A30"/>
  <c r="H28"/>
  <c r="H30" l="1"/>
  <c r="A32"/>
  <c r="C25"/>
  <c r="B26"/>
  <c r="A34" l="1"/>
  <c r="H34" s="1"/>
  <c r="H32"/>
  <c r="B28"/>
  <c r="B30" l="1"/>
  <c r="C27"/>
  <c r="B32" l="1"/>
  <c r="C29"/>
  <c r="B34" l="1"/>
  <c r="C33"/>
  <c r="C36" s="1"/>
  <c r="C39" s="1"/>
  <c r="C45" s="1"/>
  <c r="C31"/>
  <c r="C50" l="1"/>
  <c r="I8"/>
  <c r="E47"/>
  <c r="J33" l="1"/>
  <c r="J27"/>
  <c r="J19"/>
  <c r="J21"/>
  <c r="J23"/>
  <c r="J13"/>
  <c r="J25"/>
  <c r="J15"/>
  <c r="J11"/>
  <c r="J17"/>
  <c r="J29"/>
  <c r="J31"/>
  <c r="M41"/>
  <c r="M43" s="1"/>
  <c r="J40" l="1"/>
  <c r="I12"/>
  <c r="K11"/>
  <c r="K13" l="1"/>
  <c r="I14" l="1"/>
  <c r="K15" l="1"/>
  <c r="I16"/>
  <c r="K17" l="1"/>
  <c r="I18" s="1"/>
  <c r="K19" l="1"/>
  <c r="I20"/>
  <c r="K21" l="1"/>
  <c r="I22" s="1"/>
  <c r="K23" l="1"/>
  <c r="I24"/>
  <c r="K25" l="1"/>
  <c r="I26" s="1"/>
  <c r="K27" l="1"/>
  <c r="I28" s="1"/>
  <c r="K29" l="1"/>
  <c r="I30" s="1"/>
  <c r="K31" l="1"/>
  <c r="I32" s="1"/>
  <c r="K33" l="1"/>
  <c r="P22" i="1"/>
  <c r="P21"/>
  <c r="G16"/>
  <c r="I34" i="11" l="1"/>
  <c r="H31" i="8"/>
  <c r="H32"/>
  <c r="H30"/>
  <c r="K35" i="11" l="1"/>
  <c r="I36" s="1"/>
  <c r="P75" i="1"/>
  <c r="O17" s="1"/>
  <c r="O75"/>
  <c r="N17" s="1"/>
  <c r="L75"/>
  <c r="K17" s="1"/>
  <c r="K75"/>
  <c r="J17" s="1"/>
  <c r="G75"/>
  <c r="F17" s="1"/>
  <c r="D75"/>
  <c r="D16" s="1"/>
  <c r="P73"/>
  <c r="O73"/>
  <c r="N73"/>
  <c r="N75" s="1"/>
  <c r="M73"/>
  <c r="M75" s="1"/>
  <c r="L73"/>
  <c r="K73"/>
  <c r="J73"/>
  <c r="I73"/>
  <c r="I75" s="1"/>
  <c r="H73"/>
  <c r="H75" s="1"/>
  <c r="G17" s="1"/>
  <c r="G73"/>
  <c r="F73"/>
  <c r="E73"/>
  <c r="E75" s="1"/>
  <c r="D73"/>
  <c r="O66"/>
  <c r="N66"/>
  <c r="M66"/>
  <c r="L66"/>
  <c r="K66"/>
  <c r="F75" s="1"/>
  <c r="J66"/>
  <c r="I66"/>
  <c r="H66"/>
  <c r="G66"/>
  <c r="F66"/>
  <c r="E66"/>
  <c r="D66"/>
  <c r="P65"/>
  <c r="P64"/>
  <c r="P63"/>
  <c r="P62"/>
  <c r="P66" s="1"/>
  <c r="L57"/>
  <c r="K57"/>
  <c r="I56"/>
  <c r="O52"/>
  <c r="N52"/>
  <c r="M52"/>
  <c r="L52"/>
  <c r="K52"/>
  <c r="I52"/>
  <c r="H52"/>
  <c r="F52"/>
  <c r="E52"/>
  <c r="O51"/>
  <c r="N51"/>
  <c r="M51"/>
  <c r="K51"/>
  <c r="L51" s="1"/>
  <c r="L56" s="1"/>
  <c r="I51"/>
  <c r="H51"/>
  <c r="E51"/>
  <c r="F51" s="1"/>
  <c r="O50"/>
  <c r="N50"/>
  <c r="M50"/>
  <c r="L50"/>
  <c r="K50"/>
  <c r="I50"/>
  <c r="H50"/>
  <c r="F50"/>
  <c r="E50"/>
  <c r="N48"/>
  <c r="N57" s="1"/>
  <c r="M48"/>
  <c r="M55" s="1"/>
  <c r="L48"/>
  <c r="L55" s="1"/>
  <c r="L58" s="1"/>
  <c r="F18" s="1"/>
  <c r="K48"/>
  <c r="K56" s="1"/>
  <c r="J48"/>
  <c r="J57" s="1"/>
  <c r="I48"/>
  <c r="I57" s="1"/>
  <c r="F48"/>
  <c r="F57" s="1"/>
  <c r="E48"/>
  <c r="E55" s="1"/>
  <c r="O48"/>
  <c r="I47"/>
  <c r="H47"/>
  <c r="H48" s="1"/>
  <c r="G47"/>
  <c r="G48" s="1"/>
  <c r="F47"/>
  <c r="E47"/>
  <c r="D47"/>
  <c r="D48" s="1"/>
  <c r="P46"/>
  <c r="M27"/>
  <c r="L27"/>
  <c r="O25"/>
  <c r="O27" s="1"/>
  <c r="N25"/>
  <c r="N27" s="1"/>
  <c r="M25"/>
  <c r="L25"/>
  <c r="K25"/>
  <c r="K27" s="1"/>
  <c r="J25"/>
  <c r="J27" s="1"/>
  <c r="P15"/>
  <c r="P14"/>
  <c r="P13"/>
  <c r="K37" i="11" l="1"/>
  <c r="K40" s="1"/>
  <c r="J75" i="1"/>
  <c r="M56"/>
  <c r="E17"/>
  <c r="F16"/>
  <c r="F19" s="1"/>
  <c r="F21" s="1"/>
  <c r="F23" s="1"/>
  <c r="F25" s="1"/>
  <c r="F27" s="1"/>
  <c r="I17"/>
  <c r="D55"/>
  <c r="P48"/>
  <c r="D56"/>
  <c r="D57"/>
  <c r="H55"/>
  <c r="H58" s="1"/>
  <c r="N18" s="1"/>
  <c r="H56"/>
  <c r="H57"/>
  <c r="O56"/>
  <c r="O57"/>
  <c r="O55"/>
  <c r="M17"/>
  <c r="N16"/>
  <c r="E58"/>
  <c r="K18" s="1"/>
  <c r="G56"/>
  <c r="G57"/>
  <c r="G55"/>
  <c r="G58" s="1"/>
  <c r="M18" s="1"/>
  <c r="E16"/>
  <c r="D17"/>
  <c r="H17"/>
  <c r="I16"/>
  <c r="M16"/>
  <c r="L17"/>
  <c r="M58"/>
  <c r="G18" s="1"/>
  <c r="J55"/>
  <c r="E56"/>
  <c r="H16"/>
  <c r="P16" s="1"/>
  <c r="I55"/>
  <c r="I58" s="1"/>
  <c r="O18" s="1"/>
  <c r="K16"/>
  <c r="O16"/>
  <c r="P47"/>
  <c r="K55"/>
  <c r="K58" s="1"/>
  <c r="E18" s="1"/>
  <c r="F56"/>
  <c r="J56"/>
  <c r="N56"/>
  <c r="E57"/>
  <c r="M57"/>
  <c r="F55"/>
  <c r="F58" s="1"/>
  <c r="L18" s="1"/>
  <c r="N55"/>
  <c r="N58" s="1"/>
  <c r="H18" s="1"/>
  <c r="L16"/>
  <c r="L19" s="1"/>
  <c r="L21" s="1"/>
  <c r="I38" i="11" l="1"/>
  <c r="J42"/>
  <c r="E43"/>
  <c r="E49" s="1"/>
  <c r="E51" s="1"/>
  <c r="H19" i="1"/>
  <c r="H21" s="1"/>
  <c r="H23" s="1"/>
  <c r="H25" s="1"/>
  <c r="H27" s="1"/>
  <c r="E19"/>
  <c r="E21" s="1"/>
  <c r="E23" s="1"/>
  <c r="E25" s="1"/>
  <c r="E27" s="1"/>
  <c r="O58"/>
  <c r="I18" s="1"/>
  <c r="I19" s="1"/>
  <c r="I21" s="1"/>
  <c r="I23" s="1"/>
  <c r="I25" s="1"/>
  <c r="I27" s="1"/>
  <c r="G19"/>
  <c r="G21" s="1"/>
  <c r="G23" s="1"/>
  <c r="G25" s="1"/>
  <c r="G27" s="1"/>
  <c r="K19"/>
  <c r="K21" s="1"/>
  <c r="J58"/>
  <c r="D18" s="1"/>
  <c r="P17"/>
  <c r="P56"/>
  <c r="P55"/>
  <c r="D58"/>
  <c r="J18" s="1"/>
  <c r="M19"/>
  <c r="M21" s="1"/>
  <c r="O19"/>
  <c r="O21" s="1"/>
  <c r="N19"/>
  <c r="N21" s="1"/>
  <c r="P57"/>
  <c r="J19"/>
  <c r="J21" s="1"/>
  <c r="P58" l="1"/>
  <c r="P18"/>
  <c r="P19" s="1"/>
  <c r="D19"/>
  <c r="D21" s="1"/>
  <c r="D23" l="1"/>
  <c r="P23" l="1"/>
  <c r="D25"/>
  <c r="P25" l="1"/>
  <c r="D27"/>
  <c r="P27" s="1"/>
  <c r="H52" i="8" l="1"/>
  <c r="H54" l="1"/>
  <c r="H53"/>
  <c r="Q67" i="10"/>
  <c r="P67"/>
  <c r="O67"/>
  <c r="N67"/>
  <c r="M67"/>
  <c r="L67"/>
  <c r="K67"/>
  <c r="J67"/>
  <c r="I67"/>
  <c r="H67"/>
  <c r="G67"/>
  <c r="F67"/>
  <c r="R66"/>
  <c r="R65"/>
  <c r="R64"/>
  <c r="R63"/>
  <c r="R67" s="1"/>
  <c r="Q53"/>
  <c r="O53"/>
  <c r="P53" s="1"/>
  <c r="M53"/>
  <c r="N53" s="1"/>
  <c r="J53"/>
  <c r="K53" s="1"/>
  <c r="G53"/>
  <c r="H53" s="1"/>
  <c r="Q52"/>
  <c r="P52"/>
  <c r="O52"/>
  <c r="M52"/>
  <c r="N52" s="1"/>
  <c r="J52"/>
  <c r="K52" s="1"/>
  <c r="G52"/>
  <c r="H52" s="1"/>
  <c r="Q51"/>
  <c r="O51"/>
  <c r="P51" s="1"/>
  <c r="M51"/>
  <c r="N51" s="1"/>
  <c r="J51"/>
  <c r="K51" s="1"/>
  <c r="G51"/>
  <c r="H51" s="1"/>
  <c r="Q49"/>
  <c r="Q58" s="1"/>
  <c r="P49"/>
  <c r="P57" s="1"/>
  <c r="O49"/>
  <c r="O58" s="1"/>
  <c r="N49"/>
  <c r="N57" s="1"/>
  <c r="M49"/>
  <c r="M58" s="1"/>
  <c r="L49"/>
  <c r="L57" s="1"/>
  <c r="K49"/>
  <c r="J49"/>
  <c r="J57" s="1"/>
  <c r="I49"/>
  <c r="I58" s="1"/>
  <c r="H49"/>
  <c r="H57" s="1"/>
  <c r="G49"/>
  <c r="G58" s="1"/>
  <c r="F49"/>
  <c r="F57" s="1"/>
  <c r="R48"/>
  <c r="R47"/>
  <c r="R43"/>
  <c r="G25"/>
  <c r="G27" s="1"/>
  <c r="R19"/>
  <c r="Q19"/>
  <c r="P19"/>
  <c r="O19"/>
  <c r="N19"/>
  <c r="M19"/>
  <c r="L19"/>
  <c r="K19"/>
  <c r="J19"/>
  <c r="I19"/>
  <c r="H19"/>
  <c r="G19"/>
  <c r="F19"/>
  <c r="E15"/>
  <c r="R12"/>
  <c r="Q12"/>
  <c r="P12"/>
  <c r="O12"/>
  <c r="N12"/>
  <c r="M12"/>
  <c r="L12"/>
  <c r="K12"/>
  <c r="J12"/>
  <c r="I12"/>
  <c r="H12"/>
  <c r="G12"/>
  <c r="F12"/>
  <c r="R11"/>
  <c r="Q11"/>
  <c r="P11"/>
  <c r="O11"/>
  <c r="N11"/>
  <c r="M11"/>
  <c r="L11"/>
  <c r="K11"/>
  <c r="J11"/>
  <c r="I11"/>
  <c r="H11"/>
  <c r="G11"/>
  <c r="F11"/>
  <c r="R10"/>
  <c r="Q10"/>
  <c r="P10"/>
  <c r="O10"/>
  <c r="N10"/>
  <c r="M10"/>
  <c r="L10"/>
  <c r="K10"/>
  <c r="J10"/>
  <c r="I10"/>
  <c r="H10"/>
  <c r="G10"/>
  <c r="K58" l="1"/>
  <c r="R49"/>
  <c r="F56"/>
  <c r="H56"/>
  <c r="J56"/>
  <c r="L56"/>
  <c r="N56"/>
  <c r="P56"/>
  <c r="G57"/>
  <c r="R57" s="1"/>
  <c r="I57"/>
  <c r="K57"/>
  <c r="M57"/>
  <c r="O57"/>
  <c r="Q57"/>
  <c r="F58"/>
  <c r="H58"/>
  <c r="J58"/>
  <c r="L58"/>
  <c r="N58"/>
  <c r="P58"/>
  <c r="F10"/>
  <c r="G56"/>
  <c r="I56"/>
  <c r="I59" s="1"/>
  <c r="J14" s="1"/>
  <c r="J15" s="1"/>
  <c r="J20" s="1"/>
  <c r="K56"/>
  <c r="M56"/>
  <c r="M59" s="1"/>
  <c r="N14" s="1"/>
  <c r="N15" s="1"/>
  <c r="N20" s="1"/>
  <c r="O56"/>
  <c r="Q56"/>
  <c r="Q59" s="1"/>
  <c r="R14" s="1"/>
  <c r="R15" s="1"/>
  <c r="R20" s="1"/>
  <c r="O59" l="1"/>
  <c r="P14" s="1"/>
  <c r="P15" s="1"/>
  <c r="P20" s="1"/>
  <c r="K59"/>
  <c r="L14" s="1"/>
  <c r="L15" s="1"/>
  <c r="L20" s="1"/>
  <c r="G59"/>
  <c r="H14" s="1"/>
  <c r="H15" s="1"/>
  <c r="H20" s="1"/>
  <c r="P59"/>
  <c r="Q14" s="1"/>
  <c r="Q15" s="1"/>
  <c r="Q20" s="1"/>
  <c r="L59"/>
  <c r="M14" s="1"/>
  <c r="M15" s="1"/>
  <c r="M20" s="1"/>
  <c r="H59"/>
  <c r="I14" s="1"/>
  <c r="I15" s="1"/>
  <c r="I20" s="1"/>
  <c r="F59"/>
  <c r="G14" s="1"/>
  <c r="R56"/>
  <c r="R58"/>
  <c r="N59"/>
  <c r="O14" s="1"/>
  <c r="O15" s="1"/>
  <c r="O20" s="1"/>
  <c r="J59"/>
  <c r="K14" s="1"/>
  <c r="K15" s="1"/>
  <c r="K20" s="1"/>
  <c r="F14" l="1"/>
  <c r="F15" s="1"/>
  <c r="F20" s="1"/>
  <c r="G15"/>
  <c r="G20" s="1"/>
  <c r="R59"/>
</calcChain>
</file>

<file path=xl/comments1.xml><?xml version="1.0" encoding="utf-8"?>
<comments xmlns="http://schemas.openxmlformats.org/spreadsheetml/2006/main">
  <authors>
    <author>gzhkw6</author>
  </authors>
  <commentList>
    <comment ref="I14" authorId="0">
      <text>
        <r>
          <rPr>
            <b/>
            <sz val="8"/>
            <color indexed="81"/>
            <rFont val="Tahoma"/>
            <family val="2"/>
          </rPr>
          <t>gzhkw6:</t>
        </r>
        <r>
          <rPr>
            <sz val="8"/>
            <color indexed="81"/>
            <rFont val="Tahoma"/>
            <family val="2"/>
          </rPr>
          <t xml:space="preserve">
Includes rollover from prior surcharge after unbilled true-ups in Nov and Dec.</t>
        </r>
      </text>
    </comment>
  </commentList>
</comments>
</file>

<file path=xl/sharedStrings.xml><?xml version="1.0" encoding="utf-8"?>
<sst xmlns="http://schemas.openxmlformats.org/spreadsheetml/2006/main" count="347" uniqueCount="198">
  <si>
    <t>AVISTA UTILITIES</t>
  </si>
  <si>
    <t>Washington - Gas</t>
  </si>
  <si>
    <t>Approved Decoupling Mechanism per Order No. 10 Docket No. UG-090135</t>
  </si>
  <si>
    <t>Adjusted for Actual New Customer Usage and Schedule Shifting</t>
  </si>
  <si>
    <t>Period to Date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</si>
  <si>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</si>
  <si>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</si>
  <si>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</si>
  <si>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</si>
  <si>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</si>
  <si>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</si>
  <si>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</si>
  <si>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</si>
  <si>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</si>
  <si>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</si>
  <si>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</si>
  <si>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</si>
  <si>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</si>
  <si>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Schedule 101</t>
  </si>
  <si>
    <t>Schedule 101 Billed Therms</t>
  </si>
  <si>
    <t>Deduct New Customer Usage(1)</t>
  </si>
  <si>
    <t>Schedule Shifting Adjustment (2)</t>
  </si>
  <si>
    <t>Deduct Prior Month Unbilled Therms</t>
  </si>
  <si>
    <t>Add Current Month Unbilled Therms</t>
  </si>
  <si>
    <t>Add Weather Adjustment</t>
  </si>
  <si>
    <t xml:space="preserve">   Weather Adj Calendar Therms</t>
  </si>
  <si>
    <t>Weather Adj Calendar Therms</t>
  </si>
  <si>
    <t>Less Test Year Therms</t>
  </si>
  <si>
    <t xml:space="preserve">      Therm Difference</t>
  </si>
  <si>
    <t xml:space="preserve">      Times Current Margin Rate per Therm</t>
  </si>
  <si>
    <t xml:space="preserve">         Revenue Excess (Shortfall)</t>
  </si>
  <si>
    <t>45% Limitation</t>
  </si>
  <si>
    <t xml:space="preserve">Deferred Revenue Account Entry </t>
  </si>
  <si>
    <t>407328 or (407428)</t>
  </si>
  <si>
    <t>Weather Normalization</t>
  </si>
  <si>
    <t>Actual Degree Days</t>
  </si>
  <si>
    <t>Monthly</t>
  </si>
  <si>
    <t>Res 101</t>
  </si>
  <si>
    <t>Com 101</t>
  </si>
  <si>
    <t>Ind 101</t>
  </si>
  <si>
    <t>Sch. 101</t>
  </si>
  <si>
    <t xml:space="preserve">  Total 101</t>
  </si>
  <si>
    <t>Monthly Unbilled Calculation</t>
  </si>
  <si>
    <t xml:space="preserve">   Total</t>
  </si>
  <si>
    <t>Revenue Run Customers (Meters Billed)</t>
  </si>
  <si>
    <t>Class</t>
  </si>
  <si>
    <t>Residential 101</t>
  </si>
  <si>
    <t>01</t>
  </si>
  <si>
    <t>Commercial 101</t>
  </si>
  <si>
    <t>21</t>
  </si>
  <si>
    <t>Industrial 101</t>
  </si>
  <si>
    <t>31</t>
  </si>
  <si>
    <t>Interdepartmental 101</t>
  </si>
  <si>
    <t>80</t>
  </si>
  <si>
    <t>Avista Utilities</t>
  </si>
  <si>
    <t xml:space="preserve">Washington - Gas - Test Year Calculations for Decoupling </t>
  </si>
  <si>
    <t>Annual Total</t>
  </si>
  <si>
    <t>Therms</t>
  </si>
  <si>
    <t>Usage from Revenue Run(2)</t>
  </si>
  <si>
    <t>Ded: Prior Mo. Unbilled(2)</t>
  </si>
  <si>
    <t>Add: Current Mo. Unbilled(2)</t>
  </si>
  <si>
    <t>Add: Weather Adjustment(2)</t>
  </si>
  <si>
    <t xml:space="preserve">   Test Year Monthly Therms</t>
  </si>
  <si>
    <t>Customers / Billings</t>
  </si>
  <si>
    <t>Test Yr Customers/Billings(2)</t>
  </si>
  <si>
    <t>Test Year Average Use/Cust</t>
  </si>
  <si>
    <t>Sch 101 Base Rate/therm(3)</t>
  </si>
  <si>
    <t>Times:  1 minus Revenue Related Items (4)</t>
  </si>
  <si>
    <t>Revenue prior to gross up</t>
  </si>
  <si>
    <t>Less: Weighted Average Gas Cost/therm(5)</t>
  </si>
  <si>
    <t xml:space="preserve">   Margin Rate/therm</t>
  </si>
  <si>
    <t>Revenue Run Therms</t>
  </si>
  <si>
    <t xml:space="preserve">(1) Per monthly reports - current month usage for new services opened since that month of the test year. </t>
  </si>
  <si>
    <t xml:space="preserve">(2)  The schedule shifting adjustment adds back test year usage of customers that have shifted away from Schedule 101 and deducts the current month usage of customers that were on a different schedule during the test year and have shifted to Schedule 101. </t>
  </si>
  <si>
    <t>Per PDE(1)</t>
  </si>
  <si>
    <t xml:space="preserve">(2) From Monthly Data below </t>
  </si>
  <si>
    <t>Total 101 (6)</t>
  </si>
  <si>
    <t>Use/DD/Cust(7)</t>
  </si>
  <si>
    <t>(8)</t>
  </si>
  <si>
    <t>WA101 (9)</t>
  </si>
  <si>
    <t>Unbilled Sch 101 per Books</t>
  </si>
  <si>
    <t>Rev Run Customers (Meters Billed)</t>
  </si>
  <si>
    <t>Average Unbilled per Customer</t>
  </si>
  <si>
    <t>Test Year Customer Current Unbilled</t>
  </si>
  <si>
    <t xml:space="preserve"> </t>
  </si>
  <si>
    <t>Current Monthly Unbilled Calculation</t>
  </si>
  <si>
    <t>Degree Day Adjustment (7)</t>
  </si>
  <si>
    <t>Balance Sheet Accounts</t>
  </si>
  <si>
    <t>Ferc Acct:186328</t>
  </si>
  <si>
    <t xml:space="preserve">Ferc Acct Desc:REG ASSET-DECOUPLING DEFERRED </t>
  </si>
  <si>
    <t>Service:GD</t>
  </si>
  <si>
    <t>Jurisdiction:WA</t>
  </si>
  <si>
    <t>Accounting Period</t>
  </si>
  <si>
    <t>Beginning Balance</t>
  </si>
  <si>
    <t>Monthly Activity</t>
  </si>
  <si>
    <t>Ending Balance</t>
  </si>
  <si>
    <t>Ferc Acct:182328</t>
  </si>
  <si>
    <t>Ferc Acct Desc:REG ASSET- DECOUPLING SURCHARG</t>
  </si>
  <si>
    <t>Ferc Acct:182329</t>
  </si>
  <si>
    <t>Ferc Acct Desc:REG ASSET- DECOUPLING PRIOR YE</t>
  </si>
  <si>
    <t>Ferc Acct:283328</t>
  </si>
  <si>
    <t>Ferc Acct Desc:ADFIT DECOUPLING DEFERRED REV</t>
  </si>
  <si>
    <t>Income Statement Accounts</t>
  </si>
  <si>
    <t>Ferc Acct:407428</t>
  </si>
  <si>
    <t>Ferc Acct Desc:REG CREDIT DECOUPLING DEF REV</t>
  </si>
  <si>
    <t>Ferc Acct:407328</t>
  </si>
  <si>
    <t>Ferc Acct Desc:REG DEBIT DECOUPLING DEF REV</t>
  </si>
  <si>
    <t>Ferc Acct:407329</t>
  </si>
  <si>
    <t>Ferc Acct Desc:REG DEBIT AMT DECOUPLING SURCH</t>
  </si>
  <si>
    <t>Check</t>
  </si>
  <si>
    <t>Ferc Acct:254328</t>
  </si>
  <si>
    <t>Ferc Acct Desc:REG LIABILITY DECOUPLING REBAT</t>
  </si>
  <si>
    <t>Ferc Acct:407429</t>
  </si>
  <si>
    <t>Ferc Acct Desc:REG CREDIT AMT DECOUPLING REBA</t>
  </si>
  <si>
    <t>12 Months Ended December 2011 Test Year Monthly Data</t>
  </si>
  <si>
    <t>Normal Degree Days (30 Year Average 1982 - 2011)</t>
  </si>
  <si>
    <t>12 Months Ended December 2011 - Docket No. UG-120437</t>
  </si>
  <si>
    <t xml:space="preserve">12 MONTHS ENDED DECEMBER 2011 TEST YEAR BASE </t>
  </si>
  <si>
    <t>Docket No. UG-120437 Settlement</t>
  </si>
  <si>
    <t>Net Unbilled</t>
  </si>
  <si>
    <t>(1) From Ehrbar workpapers in Docket No. UG-120437  PDE-G -1, PDE-G-3</t>
  </si>
  <si>
    <t>(3) From Docket No. UG-120437 Settlement Appendix 3 page 7, Schedule 101 weighted average block rate per therm</t>
  </si>
  <si>
    <t>(4) From Docket No. UG-120437 Andrews Exhibit No. ___ (EMA-3), page 4, line 7</t>
  </si>
  <si>
    <t>(5) From Docket No. UG-120437 Ehrbar Exhibit No. ___ (PDE-6) proposed Twelfth Revision Sheet 150, weighted average gas cost</t>
  </si>
  <si>
    <t>UG-120437 Weather Normalization and Unbilled Calculation</t>
  </si>
  <si>
    <t>12 Months Ended December 2011 Monthly Data</t>
  </si>
  <si>
    <t>(6) From Knox Revenue Normalization workpapers in Docket No. UG-120437, TLK-R-21</t>
  </si>
  <si>
    <t>(7) From Knox Revenue Normalization workpapers in Docket No. UG-120437, TLK-R-28 also shown in Ehrbar workpapers PDE-G-15</t>
  </si>
  <si>
    <t>(8) From Knox Revenue Normalization workpapers in Docket No. UG-120437, TLK-R-30</t>
  </si>
  <si>
    <t xml:space="preserve">(9) From Knox Revenue Normalization workpapers in Docket No. UG-120437, TLK-R-26 </t>
  </si>
  <si>
    <t>Sum: 0.00</t>
  </si>
  <si>
    <t xml:space="preserve">Actual compared to 2011 Test Year (UG-120437 Settlement) </t>
  </si>
  <si>
    <t>Period July 2013 - June 2014</t>
  </si>
  <si>
    <t>12 Months Ended June 2014 Actual</t>
  </si>
  <si>
    <t>2011 Test Year Factors,  2013 -2014 Actual Weather and Unbilled</t>
  </si>
  <si>
    <t>Net Surcharge</t>
  </si>
  <si>
    <t>GL Account Balance  Accounting Period : '201310, 201311, 201312'</t>
  </si>
  <si>
    <t>201310</t>
  </si>
  <si>
    <t>201311</t>
  </si>
  <si>
    <t>201312</t>
  </si>
  <si>
    <t>Sum: -102,594.00</t>
  </si>
  <si>
    <t>Sum: 61.13</t>
  </si>
  <si>
    <t>Sum: 377.71</t>
  </si>
  <si>
    <t>Sum: 35,754.31</t>
  </si>
  <si>
    <t>Sum: -102,789.00</t>
  </si>
  <si>
    <t>Sum: 205,383.00</t>
  </si>
  <si>
    <t>Sum: -396.76</t>
  </si>
  <si>
    <t>Calculation of Decoupling Rebate/Amortization Rate</t>
  </si>
  <si>
    <t>Decoupling Rebate/Amortization Actual</t>
  </si>
  <si>
    <t>Effective November 1, 2012 - October 31, 2013</t>
  </si>
  <si>
    <t>Actual Interest Rates</t>
  </si>
  <si>
    <t xml:space="preserve">Actual </t>
  </si>
  <si>
    <t>Difference from Forecast</t>
  </si>
  <si>
    <t>Unamortized</t>
  </si>
  <si>
    <t>Forecast</t>
  </si>
  <si>
    <t xml:space="preserve">Deferral </t>
  </si>
  <si>
    <t>Balance(1)</t>
  </si>
  <si>
    <t>Interest(2)</t>
  </si>
  <si>
    <t>Sch. 101 Use</t>
  </si>
  <si>
    <t>Balance(5)</t>
  </si>
  <si>
    <t>Amortization</t>
  </si>
  <si>
    <t>Interest</t>
  </si>
  <si>
    <t>3.25%(3)</t>
  </si>
  <si>
    <t xml:space="preserve">Incremental Rate to </t>
  </si>
  <si>
    <t>Recover Est. Interest</t>
  </si>
  <si>
    <t xml:space="preserve">Est. Rate to Recover </t>
  </si>
  <si>
    <t>Deferral Balance</t>
  </si>
  <si>
    <t>Principal</t>
  </si>
  <si>
    <t>Deferral + Actual Interest</t>
  </si>
  <si>
    <t xml:space="preserve">Rate before Gross-up for  </t>
  </si>
  <si>
    <t>Revenue-related items</t>
  </si>
  <si>
    <t>Prior Surcharge rollover true-up</t>
  </si>
  <si>
    <t>Times: Gross-up for</t>
  </si>
  <si>
    <t>Amount refunded through rebate</t>
  </si>
  <si>
    <t>Revenue-related items(4)</t>
  </si>
  <si>
    <t>Amount rolled into following surcharge/rebate</t>
  </si>
  <si>
    <t>Proposed decoupling rate</t>
  </si>
  <si>
    <t xml:space="preserve">(1)Deferral balance at beginning of the month / Rate of -$0.00004 is rate </t>
  </si>
  <si>
    <t xml:space="preserve">(5) November and December 2012 balances exclude Rollover to prevent double-counting </t>
  </si>
  <si>
    <t>to rebate deferral balance of -$4,736 over 12 months</t>
  </si>
  <si>
    <t>interest calculated on the prior Surcharge unbilled true-ups.  Beginning in January 2013</t>
  </si>
  <si>
    <t>(2)Interest computed on average balance between beginning and end of month.</t>
  </si>
  <si>
    <t xml:space="preserve">these values represent the combined surcharge and rebate balances as if the surcharge </t>
  </si>
  <si>
    <t>(3)FERC rate @ July '12 - changes quarterly (http://ferc.gov/legal/acct-matts/interest-rates.asp)</t>
  </si>
  <si>
    <t>had been rolled over into the rebate creating a net surcharge balance.</t>
  </si>
  <si>
    <t>(4)From page 2 of Exh. 2</t>
  </si>
  <si>
    <t>Current Period Rebate Balance</t>
  </si>
  <si>
    <t>Prior Surcharge Rollover Balance</t>
  </si>
  <si>
    <t>Estimated</t>
  </si>
  <si>
    <t>Total Unamortized Balance</t>
  </si>
  <si>
    <t>Unbilled True-Up</t>
  </si>
  <si>
    <t>October Billed in December</t>
  </si>
  <si>
    <t>Rounding</t>
  </si>
  <si>
    <t>(1)</t>
  </si>
  <si>
    <t>Note (1)</t>
  </si>
  <si>
    <t>In January the rebate balance will be transferred from the Regulatory Liability Account 254328 into the Regulatory Asset Account 182328, as the net roll-over balance is a surcharge of $5,285.52 at December 31, 2013.  As of November 1, 2013 the surcharge/rebate rate is $0.00000.</t>
  </si>
  <si>
    <t>Actual Therms</t>
  </si>
  <si>
    <t>Current Under-refund</t>
  </si>
</sst>
</file>

<file path=xl/styles.xml><?xml version="1.0" encoding="utf-8"?>
<styleSheet xmlns="http://schemas.openxmlformats.org/spreadsheetml/2006/main">
  <numFmts count="2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0"/>
    <numFmt numFmtId="167" formatCode="0.0"/>
    <numFmt numFmtId="168" formatCode="&quot;$&quot;#,##0.00000_);\(&quot;$&quot;#,##0.00000\)"/>
    <numFmt numFmtId="169" formatCode="0.0000%"/>
    <numFmt numFmtId="170" formatCode="_(* #,##0.00000_);_(* \(#,##0.00000\);_(* &quot;-&quot;??_);_(@_)"/>
    <numFmt numFmtId="171" formatCode="&quot;$&quot;#,##0.000000_);\(&quot;$&quot;#,##0.000000\)"/>
    <numFmt numFmtId="172" formatCode="#,###,###,##0.00"/>
    <numFmt numFmtId="173" formatCode="###,###,##0.00"/>
    <numFmt numFmtId="174" formatCode="_(&quot;$&quot;* #,##0_);_(&quot;$&quot;* \(#,##0\);_(&quot;$&quot;* &quot;-&quot;??_);_(@_)"/>
    <numFmt numFmtId="175" formatCode="0.0%"/>
    <numFmt numFmtId="176" formatCode="_(&quot;$&quot;* #,##0.00000_);_(&quot;$&quot;* \(#,##0.00000\);_(&quot;$&quot;* &quot;-&quot;?????_);_(@_)"/>
    <numFmt numFmtId="177" formatCode="[$-409]mmm/yy;@"/>
    <numFmt numFmtId="178" formatCode="&quot;$&quot;#,##0"/>
    <numFmt numFmtId="179" formatCode="#,##0.000000_);\(#,##0.000000\)"/>
    <numFmt numFmtId="180" formatCode="#,##0.00000_);\(#,##0.00000\)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FF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90DB7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20"/>
      <color theme="1"/>
      <name val="Arial"/>
      <family val="2"/>
    </font>
    <font>
      <sz val="16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16"/>
      <name val="Arial"/>
      <family val="2"/>
    </font>
    <font>
      <sz val="10"/>
      <color rgb="FF0070C0"/>
      <name val="Arial"/>
      <family val="2"/>
    </font>
    <font>
      <u val="singleAccounting"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5">
    <xf numFmtId="0" fontId="0" fillId="0" borderId="0" xfId="0"/>
    <xf numFmtId="0" fontId="8" fillId="0" borderId="0" xfId="0" applyFont="1"/>
    <xf numFmtId="0" fontId="7" fillId="0" borderId="0" xfId="0" applyFont="1"/>
    <xf numFmtId="164" fontId="8" fillId="0" borderId="0" xfId="1" applyNumberFormat="1" applyFont="1"/>
    <xf numFmtId="164" fontId="10" fillId="0" borderId="0" xfId="1" applyNumberFormat="1" applyFont="1" applyFill="1"/>
    <xf numFmtId="164" fontId="10" fillId="0" borderId="0" xfId="1" applyNumberFormat="1" applyFont="1" applyFill="1" applyBorder="1"/>
    <xf numFmtId="164" fontId="8" fillId="0" borderId="0" xfId="0" applyNumberFormat="1" applyFont="1"/>
    <xf numFmtId="0" fontId="11" fillId="0" borderId="0" xfId="0" applyFont="1"/>
    <xf numFmtId="5" fontId="7" fillId="0" borderId="0" xfId="2" applyNumberFormat="1" applyFont="1"/>
    <xf numFmtId="5" fontId="7" fillId="0" borderId="0" xfId="2" applyNumberFormat="1" applyFont="1" applyFill="1"/>
    <xf numFmtId="5" fontId="7" fillId="0" borderId="0" xfId="2" applyNumberFormat="1" applyFont="1" applyBorder="1"/>
    <xf numFmtId="0" fontId="7" fillId="0" borderId="0" xfId="4" applyFont="1"/>
    <xf numFmtId="0" fontId="6" fillId="0" borderId="0" xfId="4"/>
    <xf numFmtId="0" fontId="9" fillId="0" borderId="0" xfId="4" applyFont="1"/>
    <xf numFmtId="0" fontId="12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164" fontId="6" fillId="0" borderId="0" xfId="5" applyNumberFormat="1" applyFont="1"/>
    <xf numFmtId="164" fontId="6" fillId="0" borderId="1" xfId="4" applyNumberFormat="1" applyBorder="1"/>
    <xf numFmtId="0" fontId="6" fillId="0" borderId="0" xfId="4" applyFont="1"/>
    <xf numFmtId="0" fontId="6" fillId="0" borderId="0" xfId="4" applyFont="1" applyFill="1"/>
    <xf numFmtId="0" fontId="6" fillId="0" borderId="0" xfId="4" applyFill="1"/>
    <xf numFmtId="17" fontId="12" fillId="0" borderId="0" xfId="4" applyNumberFormat="1" applyFont="1" applyAlignment="1">
      <alignment horizontal="right"/>
    </xf>
    <xf numFmtId="0" fontId="12" fillId="0" borderId="0" xfId="4" applyFont="1" applyAlignment="1">
      <alignment horizontal="right"/>
    </xf>
    <xf numFmtId="0" fontId="13" fillId="0" borderId="0" xfId="4" applyFont="1"/>
    <xf numFmtId="0" fontId="12" fillId="0" borderId="0" xfId="4" quotePrefix="1" applyFont="1" applyAlignment="1">
      <alignment horizontal="right"/>
    </xf>
    <xf numFmtId="166" fontId="6" fillId="0" borderId="0" xfId="4" applyNumberFormat="1"/>
    <xf numFmtId="0" fontId="12" fillId="0" borderId="0" xfId="4" applyFont="1"/>
    <xf numFmtId="164" fontId="6" fillId="0" borderId="1" xfId="5" applyNumberFormat="1" applyFont="1" applyBorder="1"/>
    <xf numFmtId="164" fontId="6" fillId="0" borderId="0" xfId="5" applyNumberFormat="1" applyFont="1" applyBorder="1"/>
    <xf numFmtId="17" fontId="12" fillId="0" borderId="0" xfId="4" applyNumberFormat="1" applyFont="1"/>
    <xf numFmtId="17" fontId="12" fillId="0" borderId="0" xfId="4" applyNumberFormat="1" applyFont="1" applyAlignment="1">
      <alignment horizontal="center"/>
    </xf>
    <xf numFmtId="0" fontId="6" fillId="0" borderId="0" xfId="4" quotePrefix="1" applyAlignment="1">
      <alignment horizontal="center"/>
    </xf>
    <xf numFmtId="164" fontId="6" fillId="0" borderId="0" xfId="5" quotePrefix="1" applyNumberFormat="1" applyFont="1"/>
    <xf numFmtId="0" fontId="6" fillId="0" borderId="0" xfId="4" applyAlignment="1">
      <alignment horizontal="left"/>
    </xf>
    <xf numFmtId="0" fontId="6" fillId="0" borderId="0" xfId="4" applyBorder="1"/>
    <xf numFmtId="167" fontId="6" fillId="0" borderId="0" xfId="4" applyNumberFormat="1" applyFont="1" applyBorder="1"/>
    <xf numFmtId="0" fontId="6" fillId="0" borderId="0" xfId="4" applyFont="1" applyBorder="1"/>
    <xf numFmtId="166" fontId="6" fillId="0" borderId="0" xfId="4" applyNumberFormat="1" applyBorder="1"/>
    <xf numFmtId="0" fontId="6" fillId="0" borderId="0" xfId="0" applyFont="1"/>
    <xf numFmtId="164" fontId="16" fillId="0" borderId="0" xfId="9" applyNumberFormat="1" applyFont="1" applyFill="1" applyBorder="1"/>
    <xf numFmtId="0" fontId="8" fillId="0" borderId="0" xfId="0" applyFont="1" applyAlignment="1">
      <alignment wrapText="1"/>
    </xf>
    <xf numFmtId="164" fontId="6" fillId="0" borderId="0" xfId="4" applyNumberFormat="1" applyFont="1"/>
    <xf numFmtId="0" fontId="11" fillId="0" borderId="0" xfId="4" applyFont="1"/>
    <xf numFmtId="43" fontId="6" fillId="0" borderId="0" xfId="5" applyFont="1"/>
    <xf numFmtId="0" fontId="17" fillId="0" borderId="2" xfId="4" applyFont="1" applyFill="1" applyBorder="1" applyAlignment="1">
      <alignment horizontal="left" vertical="center" wrapText="1"/>
    </xf>
    <xf numFmtId="0" fontId="18" fillId="0" borderId="2" xfId="4" applyFont="1" applyFill="1" applyBorder="1" applyAlignment="1">
      <alignment horizontal="left" vertical="top"/>
    </xf>
    <xf numFmtId="0" fontId="17" fillId="0" borderId="2" xfId="4" applyFont="1" applyFill="1" applyBorder="1" applyAlignment="1">
      <alignment horizontal="left" vertical="top"/>
    </xf>
    <xf numFmtId="0" fontId="19" fillId="0" borderId="0" xfId="4" applyFont="1" applyFill="1" applyBorder="1" applyAlignment="1">
      <alignment horizontal="left" vertical="top"/>
    </xf>
    <xf numFmtId="172" fontId="19" fillId="0" borderId="0" xfId="4" applyNumberFormat="1" applyFont="1" applyFill="1" applyBorder="1" applyAlignment="1">
      <alignment horizontal="left" vertical="top"/>
    </xf>
    <xf numFmtId="173" fontId="19" fillId="0" borderId="0" xfId="4" applyNumberFormat="1" applyFont="1" applyFill="1" applyBorder="1" applyAlignment="1">
      <alignment horizontal="left" vertical="top"/>
    </xf>
    <xf numFmtId="172" fontId="6" fillId="0" borderId="0" xfId="4" applyNumberFormat="1"/>
    <xf numFmtId="0" fontId="6" fillId="0" borderId="0" xfId="4" applyFont="1" applyAlignment="1">
      <alignment vertical="top"/>
    </xf>
    <xf numFmtId="164" fontId="6" fillId="0" borderId="0" xfId="1" applyNumberFormat="1" applyFont="1" applyFill="1"/>
    <xf numFmtId="0" fontId="7" fillId="0" borderId="0" xfId="4" applyFont="1" applyBorder="1" applyAlignment="1">
      <alignment horizontal="center"/>
    </xf>
    <xf numFmtId="0" fontId="9" fillId="0" borderId="0" xfId="4" applyFont="1" applyBorder="1" applyAlignment="1">
      <alignment horizontal="center"/>
    </xf>
    <xf numFmtId="164" fontId="6" fillId="0" borderId="0" xfId="1" applyNumberFormat="1" applyFont="1"/>
    <xf numFmtId="164" fontId="6" fillId="0" borderId="0" xfId="1" applyNumberFormat="1" applyFont="1" applyFill="1" applyBorder="1"/>
    <xf numFmtId="164" fontId="6" fillId="0" borderId="1" xfId="4" applyNumberFormat="1" applyFont="1" applyBorder="1"/>
    <xf numFmtId="164" fontId="6" fillId="0" borderId="0" xfId="4" applyNumberFormat="1" applyFont="1" applyBorder="1"/>
    <xf numFmtId="164" fontId="6" fillId="0" borderId="0" xfId="4" applyNumberFormat="1" applyFill="1" applyBorder="1"/>
    <xf numFmtId="165" fontId="12" fillId="0" borderId="0" xfId="4" applyNumberFormat="1" applyFont="1" applyFill="1" applyBorder="1"/>
    <xf numFmtId="0" fontId="6" fillId="0" borderId="0" xfId="4" applyFont="1" applyAlignment="1">
      <alignment horizontal="right"/>
    </xf>
    <xf numFmtId="9" fontId="6" fillId="0" borderId="0" xfId="3" applyFont="1" applyBorder="1"/>
    <xf numFmtId="164" fontId="6" fillId="0" borderId="0" xfId="1" applyNumberFormat="1" applyFont="1" applyBorder="1"/>
    <xf numFmtId="0" fontId="11" fillId="0" borderId="0" xfId="4" applyFont="1" applyFill="1"/>
    <xf numFmtId="0" fontId="7" fillId="0" borderId="0" xfId="4" applyFont="1" applyFill="1"/>
    <xf numFmtId="5" fontId="7" fillId="0" borderId="0" xfId="4" applyNumberFormat="1" applyFont="1" applyFill="1"/>
    <xf numFmtId="5" fontId="7" fillId="0" borderId="0" xfId="4" applyNumberFormat="1" applyFont="1" applyBorder="1"/>
    <xf numFmtId="164" fontId="6" fillId="0" borderId="0" xfId="0" applyNumberFormat="1" applyFont="1"/>
    <xf numFmtId="164" fontId="6" fillId="0" borderId="0" xfId="4" applyNumberFormat="1" applyFill="1"/>
    <xf numFmtId="0" fontId="8" fillId="0" borderId="0" xfId="0" applyFont="1" applyFill="1"/>
    <xf numFmtId="164" fontId="6" fillId="0" borderId="0" xfId="1" applyNumberFormat="1"/>
    <xf numFmtId="0" fontId="6" fillId="0" borderId="0" xfId="4" applyAlignment="1">
      <alignment horizontal="center"/>
    </xf>
    <xf numFmtId="173" fontId="19" fillId="0" borderId="0" xfId="4" applyNumberFormat="1" applyFont="1" applyFill="1" applyBorder="1" applyAlignment="1">
      <alignment horizontal="right" vertical="top"/>
    </xf>
    <xf numFmtId="0" fontId="0" fillId="0" borderId="0" xfId="0" applyFill="1"/>
    <xf numFmtId="164" fontId="16" fillId="0" borderId="0" xfId="1" applyNumberFormat="1" applyFont="1" applyFill="1"/>
    <xf numFmtId="164" fontId="7" fillId="0" borderId="0" xfId="2" applyNumberFormat="1" applyFont="1" applyBorder="1"/>
    <xf numFmtId="164" fontId="7" fillId="0" borderId="0" xfId="4" applyNumberFormat="1" applyFont="1"/>
    <xf numFmtId="164" fontId="6" fillId="0" borderId="0" xfId="24" applyNumberFormat="1" applyFont="1"/>
    <xf numFmtId="164" fontId="16" fillId="0" borderId="0" xfId="24" applyNumberFormat="1" applyFont="1" applyFill="1"/>
    <xf numFmtId="164" fontId="6" fillId="0" borderId="1" xfId="24" applyNumberFormat="1" applyFont="1" applyBorder="1"/>
    <xf numFmtId="166" fontId="20" fillId="0" borderId="0" xfId="4" applyNumberFormat="1" applyFont="1"/>
    <xf numFmtId="0" fontId="21" fillId="0" borderId="0" xfId="4" applyFont="1"/>
    <xf numFmtId="0" fontId="22" fillId="0" borderId="0" xfId="4" applyFont="1"/>
    <xf numFmtId="0" fontId="21" fillId="0" borderId="0" xfId="4" applyFont="1" applyAlignment="1">
      <alignment horizontal="center"/>
    </xf>
    <xf numFmtId="0" fontId="25" fillId="0" borderId="0" xfId="4" applyFont="1"/>
    <xf numFmtId="0" fontId="26" fillId="0" borderId="0" xfId="4" applyFont="1" applyAlignment="1">
      <alignment horizontal="center"/>
    </xf>
    <xf numFmtId="0" fontId="25" fillId="0" borderId="0" xfId="4" applyFont="1" applyAlignment="1">
      <alignment horizontal="center"/>
    </xf>
    <xf numFmtId="164" fontId="21" fillId="0" borderId="0" xfId="5" applyNumberFormat="1" applyFont="1" applyFill="1"/>
    <xf numFmtId="164" fontId="21" fillId="0" borderId="0" xfId="5" applyNumberFormat="1" applyFont="1"/>
    <xf numFmtId="164" fontId="15" fillId="0" borderId="0" xfId="1" applyNumberFormat="1" applyFont="1" applyBorder="1"/>
    <xf numFmtId="164" fontId="27" fillId="0" borderId="0" xfId="5" applyNumberFormat="1" applyFont="1" applyFill="1"/>
    <xf numFmtId="164" fontId="21" fillId="0" borderId="1" xfId="4" applyNumberFormat="1" applyFont="1" applyBorder="1"/>
    <xf numFmtId="164" fontId="21" fillId="0" borderId="0" xfId="4" applyNumberFormat="1" applyFont="1" applyBorder="1"/>
    <xf numFmtId="164" fontId="21" fillId="0" borderId="0" xfId="4" applyNumberFormat="1" applyFont="1"/>
    <xf numFmtId="0" fontId="1" fillId="0" borderId="0" xfId="13" applyFont="1"/>
    <xf numFmtId="168" fontId="21" fillId="0" borderId="0" xfId="8" applyNumberFormat="1" applyFont="1" applyFill="1" applyBorder="1"/>
    <xf numFmtId="170" fontId="21" fillId="0" borderId="0" xfId="1" applyNumberFormat="1" applyFont="1"/>
    <xf numFmtId="0" fontId="21" fillId="0" borderId="0" xfId="4" applyFont="1" applyFill="1"/>
    <xf numFmtId="168" fontId="21" fillId="0" borderId="1" xfId="8" applyNumberFormat="1" applyFont="1" applyFill="1" applyBorder="1"/>
    <xf numFmtId="168" fontId="21" fillId="0" borderId="0" xfId="4" applyNumberFormat="1" applyFont="1"/>
    <xf numFmtId="170" fontId="21" fillId="0" borderId="0" xfId="4" applyNumberFormat="1" applyFont="1"/>
    <xf numFmtId="168" fontId="22" fillId="0" borderId="1" xfId="4" applyNumberFormat="1" applyFont="1" applyFill="1" applyBorder="1"/>
    <xf numFmtId="171" fontId="21" fillId="0" borderId="0" xfId="4" applyNumberFormat="1" applyFont="1"/>
    <xf numFmtId="169" fontId="21" fillId="0" borderId="0" xfId="9" applyNumberFormat="1" applyFont="1"/>
    <xf numFmtId="17" fontId="26" fillId="0" borderId="0" xfId="4" applyNumberFormat="1" applyFont="1" applyAlignment="1">
      <alignment horizontal="right"/>
    </xf>
    <xf numFmtId="0" fontId="26" fillId="0" borderId="0" xfId="4" applyFont="1" applyAlignment="1">
      <alignment horizontal="right"/>
    </xf>
    <xf numFmtId="0" fontId="28" fillId="0" borderId="0" xfId="4" applyFont="1"/>
    <xf numFmtId="164" fontId="21" fillId="0" borderId="0" xfId="1" applyNumberFormat="1" applyFont="1"/>
    <xf numFmtId="164" fontId="21" fillId="0" borderId="1" xfId="1" applyNumberFormat="1" applyFont="1" applyBorder="1"/>
    <xf numFmtId="0" fontId="26" fillId="0" borderId="0" xfId="4" quotePrefix="1" applyFont="1" applyAlignment="1">
      <alignment horizontal="right"/>
    </xf>
    <xf numFmtId="166" fontId="21" fillId="0" borderId="0" xfId="4" applyNumberFormat="1" applyFont="1"/>
    <xf numFmtId="0" fontId="26" fillId="0" borderId="0" xfId="4" applyFont="1"/>
    <xf numFmtId="164" fontId="21" fillId="0" borderId="1" xfId="5" applyNumberFormat="1" applyFont="1" applyBorder="1"/>
    <xf numFmtId="164" fontId="21" fillId="0" borderId="0" xfId="5" applyNumberFormat="1" applyFont="1" applyBorder="1"/>
    <xf numFmtId="17" fontId="26" fillId="0" borderId="0" xfId="4" applyNumberFormat="1" applyFont="1"/>
    <xf numFmtId="17" fontId="26" fillId="0" borderId="0" xfId="4" applyNumberFormat="1" applyFont="1" applyAlignment="1">
      <alignment horizontal="center"/>
    </xf>
    <xf numFmtId="0" fontId="21" fillId="0" borderId="0" xfId="4" quotePrefix="1" applyFont="1" applyAlignment="1">
      <alignment horizontal="center"/>
    </xf>
    <xf numFmtId="164" fontId="21" fillId="0" borderId="0" xfId="5" quotePrefix="1" applyNumberFormat="1" applyFont="1"/>
    <xf numFmtId="0" fontId="21" fillId="0" borderId="0" xfId="4" applyFont="1" applyAlignment="1">
      <alignment horizontal="left"/>
    </xf>
    <xf numFmtId="0" fontId="21" fillId="0" borderId="0" xfId="4" applyFont="1" applyBorder="1"/>
    <xf numFmtId="167" fontId="21" fillId="0" borderId="0" xfId="4" applyNumberFormat="1" applyFont="1" applyBorder="1"/>
    <xf numFmtId="3" fontId="21" fillId="0" borderId="0" xfId="4" applyNumberFormat="1" applyFont="1" applyBorder="1"/>
    <xf numFmtId="164" fontId="21" fillId="0" borderId="0" xfId="9" applyNumberFormat="1" applyFont="1" applyBorder="1"/>
    <xf numFmtId="10" fontId="21" fillId="0" borderId="0" xfId="9" applyNumberFormat="1" applyFont="1" applyBorder="1"/>
    <xf numFmtId="0" fontId="21" fillId="0" borderId="0" xfId="4" applyFont="1" applyBorder="1" applyAlignment="1">
      <alignment horizontal="center"/>
    </xf>
    <xf numFmtId="0" fontId="26" fillId="0" borderId="0" xfId="4" applyFont="1" applyBorder="1" applyAlignment="1">
      <alignment horizontal="right"/>
    </xf>
    <xf numFmtId="166" fontId="21" fillId="0" borderId="0" xfId="4" applyNumberFormat="1" applyFont="1" applyBorder="1"/>
    <xf numFmtId="0" fontId="26" fillId="0" borderId="0" xfId="4" applyFont="1" applyBorder="1"/>
    <xf numFmtId="0" fontId="25" fillId="0" borderId="0" xfId="4" applyFont="1" applyBorder="1"/>
    <xf numFmtId="0" fontId="26" fillId="0" borderId="0" xfId="4" quotePrefix="1" applyFont="1" applyBorder="1" applyAlignment="1">
      <alignment horizontal="right"/>
    </xf>
    <xf numFmtId="164" fontId="1" fillId="0" borderId="0" xfId="5" applyNumberFormat="1" applyFont="1" applyBorder="1"/>
    <xf numFmtId="0" fontId="6" fillId="0" borderId="0" xfId="4" applyAlignment="1">
      <alignment vertical="top"/>
    </xf>
    <xf numFmtId="164" fontId="7" fillId="0" borderId="0" xfId="1" applyNumberFormat="1" applyFont="1" applyBorder="1"/>
    <xf numFmtId="174" fontId="7" fillId="0" borderId="0" xfId="2" applyNumberFormat="1" applyFont="1" applyBorder="1"/>
    <xf numFmtId="0" fontId="6" fillId="0" borderId="0" xfId="13" applyFill="1"/>
    <xf numFmtId="0" fontId="18" fillId="0" borderId="2" xfId="13" applyFont="1" applyFill="1" applyBorder="1" applyAlignment="1">
      <alignment horizontal="left" vertical="top"/>
    </xf>
    <xf numFmtId="0" fontId="17" fillId="0" borderId="2" xfId="13" applyFont="1" applyFill="1" applyBorder="1" applyAlignment="1">
      <alignment horizontal="left" vertical="top"/>
    </xf>
    <xf numFmtId="0" fontId="17" fillId="0" borderId="2" xfId="13" applyFont="1" applyFill="1" applyBorder="1" applyAlignment="1">
      <alignment horizontal="center" vertical="center" wrapText="1"/>
    </xf>
    <xf numFmtId="0" fontId="17" fillId="0" borderId="2" xfId="13" applyFont="1" applyFill="1" applyBorder="1" applyAlignment="1">
      <alignment horizontal="right" vertical="center" wrapText="1"/>
    </xf>
    <xf numFmtId="0" fontId="17" fillId="0" borderId="2" xfId="13" applyFont="1" applyFill="1" applyBorder="1" applyAlignment="1">
      <alignment horizontal="left" vertical="center"/>
    </xf>
    <xf numFmtId="172" fontId="17" fillId="0" borderId="2" xfId="13" applyNumberFormat="1" applyFont="1" applyFill="1" applyBorder="1" applyAlignment="1">
      <alignment horizontal="right" vertical="center"/>
    </xf>
    <xf numFmtId="173" fontId="17" fillId="0" borderId="2" xfId="13" applyNumberFormat="1" applyFont="1" applyFill="1" applyBorder="1" applyAlignment="1">
      <alignment horizontal="right" vertical="center"/>
    </xf>
    <xf numFmtId="0" fontId="19" fillId="0" borderId="2" xfId="13" applyFont="1" applyFill="1" applyBorder="1" applyAlignment="1">
      <alignment horizontal="left" vertical="top"/>
    </xf>
    <xf numFmtId="172" fontId="19" fillId="0" borderId="2" xfId="13" applyNumberFormat="1" applyFont="1" applyFill="1" applyBorder="1" applyAlignment="1">
      <alignment horizontal="left" vertical="top"/>
    </xf>
    <xf numFmtId="0" fontId="7" fillId="0" borderId="0" xfId="4" applyFont="1" applyAlignment="1">
      <alignment horizontal="center"/>
    </xf>
    <xf numFmtId="164" fontId="16" fillId="0" borderId="0" xfId="1" applyNumberFormat="1" applyFont="1" applyFill="1" applyBorder="1"/>
    <xf numFmtId="164" fontId="6" fillId="0" borderId="0" xfId="4" applyNumberFormat="1" applyFont="1" applyFill="1" applyBorder="1"/>
    <xf numFmtId="164" fontId="6" fillId="0" borderId="0" xfId="24" applyNumberFormat="1" applyFont="1" applyFill="1"/>
    <xf numFmtId="175" fontId="21" fillId="0" borderId="0" xfId="3" applyNumberFormat="1" applyFont="1" applyBorder="1"/>
    <xf numFmtId="173" fontId="19" fillId="0" borderId="2" xfId="13" applyNumberFormat="1" applyFont="1" applyFill="1" applyBorder="1" applyAlignment="1">
      <alignment horizontal="right" vertical="top"/>
    </xf>
    <xf numFmtId="0" fontId="6" fillId="0" borderId="0" xfId="13"/>
    <xf numFmtId="0" fontId="6" fillId="0" borderId="0" xfId="13" applyFont="1" applyAlignment="1">
      <alignment horizontal="center"/>
    </xf>
    <xf numFmtId="0" fontId="6" fillId="0" borderId="0" xfId="13" applyFont="1"/>
    <xf numFmtId="0" fontId="6" fillId="0" borderId="0" xfId="13" applyAlignment="1">
      <alignment horizontal="center"/>
    </xf>
    <xf numFmtId="0" fontId="6" fillId="2" borderId="0" xfId="13" applyFill="1" applyAlignment="1">
      <alignment horizontal="center"/>
    </xf>
    <xf numFmtId="0" fontId="12" fillId="0" borderId="0" xfId="13" applyFont="1" applyAlignment="1">
      <alignment horizontal="center"/>
    </xf>
    <xf numFmtId="0" fontId="6" fillId="0" borderId="0" xfId="13" applyAlignment="1">
      <alignment horizontal="center" wrapText="1"/>
    </xf>
    <xf numFmtId="176" fontId="6" fillId="0" borderId="0" xfId="13" applyNumberFormat="1" applyFont="1" applyAlignment="1">
      <alignment horizontal="center"/>
    </xf>
    <xf numFmtId="10" fontId="6" fillId="0" borderId="0" xfId="13" applyNumberFormat="1" applyAlignment="1">
      <alignment horizontal="right"/>
    </xf>
    <xf numFmtId="176" fontId="7" fillId="0" borderId="0" xfId="13" applyNumberFormat="1" applyFont="1" applyAlignment="1">
      <alignment horizontal="center"/>
    </xf>
    <xf numFmtId="10" fontId="0" fillId="0" borderId="0" xfId="3" applyNumberFormat="1" applyFont="1"/>
    <xf numFmtId="177" fontId="6" fillId="0" borderId="0" xfId="13" applyNumberFormat="1" applyAlignment="1">
      <alignment horizontal="center"/>
    </xf>
    <xf numFmtId="178" fontId="7" fillId="0" borderId="0" xfId="2" applyNumberFormat="1" applyFont="1"/>
    <xf numFmtId="10" fontId="6" fillId="0" borderId="0" xfId="13" applyNumberFormat="1"/>
    <xf numFmtId="41" fontId="6" fillId="2" borderId="0" xfId="1" applyNumberFormat="1" applyFont="1" applyFill="1"/>
    <xf numFmtId="177" fontId="6" fillId="0" borderId="0" xfId="13" applyNumberFormat="1" applyFont="1" applyAlignment="1">
      <alignment horizontal="center"/>
    </xf>
    <xf numFmtId="41" fontId="6" fillId="0" borderId="0" xfId="1" applyNumberFormat="1" applyFont="1" applyFill="1"/>
    <xf numFmtId="164" fontId="6" fillId="0" borderId="0" xfId="13" applyNumberFormat="1"/>
    <xf numFmtId="178" fontId="6" fillId="0" borderId="0" xfId="13" applyNumberFormat="1"/>
    <xf numFmtId="164" fontId="6" fillId="0" borderId="0" xfId="1" applyNumberFormat="1" applyFill="1"/>
    <xf numFmtId="178" fontId="29" fillId="0" borderId="0" xfId="13" applyNumberFormat="1" applyFont="1"/>
    <xf numFmtId="41" fontId="6" fillId="0" borderId="0" xfId="1" applyNumberFormat="1" applyFill="1"/>
    <xf numFmtId="10" fontId="30" fillId="0" borderId="0" xfId="13" applyNumberFormat="1" applyFont="1"/>
    <xf numFmtId="41" fontId="0" fillId="0" borderId="0" xfId="1" applyNumberFormat="1" applyFont="1"/>
    <xf numFmtId="41" fontId="31" fillId="2" borderId="0" xfId="1" applyNumberFormat="1" applyFont="1" applyFill="1"/>
    <xf numFmtId="41" fontId="31" fillId="0" borderId="0" xfId="1" applyNumberFormat="1" applyFont="1"/>
    <xf numFmtId="168" fontId="7" fillId="0" borderId="0" xfId="2" applyNumberFormat="1" applyFont="1"/>
    <xf numFmtId="168" fontId="0" fillId="0" borderId="0" xfId="2" applyNumberFormat="1" applyFont="1"/>
    <xf numFmtId="41" fontId="6" fillId="0" borderId="0" xfId="1" applyNumberFormat="1" applyFont="1"/>
    <xf numFmtId="44" fontId="0" fillId="0" borderId="0" xfId="2" applyFont="1"/>
    <xf numFmtId="168" fontId="9" fillId="0" borderId="0" xfId="2" applyNumberFormat="1" applyFont="1"/>
    <xf numFmtId="44" fontId="6" fillId="0" borderId="0" xfId="13" applyNumberFormat="1"/>
    <xf numFmtId="179" fontId="9" fillId="0" borderId="0" xfId="2" applyNumberFormat="1" applyFont="1"/>
    <xf numFmtId="174" fontId="0" fillId="0" borderId="0" xfId="2" applyNumberFormat="1" applyFont="1"/>
    <xf numFmtId="180" fontId="7" fillId="0" borderId="0" xfId="2" applyNumberFormat="1" applyFont="1"/>
    <xf numFmtId="0" fontId="7" fillId="0" borderId="3" xfId="13" applyFont="1" applyBorder="1"/>
    <xf numFmtId="0" fontId="6" fillId="0" borderId="4" xfId="13" applyBorder="1"/>
    <xf numFmtId="180" fontId="7" fillId="0" borderId="5" xfId="2" applyNumberFormat="1" applyFont="1" applyBorder="1"/>
    <xf numFmtId="0" fontId="6" fillId="0" borderId="0" xfId="13" applyFont="1" applyFill="1"/>
    <xf numFmtId="0" fontId="6" fillId="0" borderId="0" xfId="13" applyAlignment="1"/>
    <xf numFmtId="0" fontId="6" fillId="0" borderId="0" xfId="13" applyFont="1" applyAlignment="1"/>
    <xf numFmtId="0" fontId="6" fillId="0" borderId="0" xfId="13" applyFont="1" applyFill="1" applyBorder="1" applyAlignment="1"/>
    <xf numFmtId="178" fontId="6" fillId="0" borderId="1" xfId="13" applyNumberFormat="1" applyBorder="1"/>
    <xf numFmtId="0" fontId="6" fillId="0" borderId="0" xfId="4" quotePrefix="1"/>
    <xf numFmtId="0" fontId="23" fillId="0" borderId="0" xfId="4" applyFont="1" applyAlignment="1">
      <alignment horizontal="center"/>
    </xf>
    <xf numFmtId="0" fontId="24" fillId="0" borderId="0" xfId="4" applyFont="1" applyAlignment="1">
      <alignment horizontal="center" vertical="top"/>
    </xf>
    <xf numFmtId="0" fontId="11" fillId="0" borderId="0" xfId="0" applyFont="1" applyAlignment="1">
      <alignment wrapText="1"/>
    </xf>
    <xf numFmtId="0" fontId="7" fillId="0" borderId="0" xfId="4" applyFont="1" applyAlignment="1">
      <alignment horizontal="center"/>
    </xf>
    <xf numFmtId="0" fontId="6" fillId="0" borderId="0" xfId="4" applyFont="1" applyAlignment="1">
      <alignment horizontal="justify" vertical="top" wrapText="1"/>
    </xf>
    <xf numFmtId="0" fontId="6" fillId="0" borderId="0" xfId="4" applyAlignment="1">
      <alignment horizontal="justify" vertical="top" wrapText="1"/>
    </xf>
    <xf numFmtId="0" fontId="6" fillId="0" borderId="0" xfId="4" applyAlignment="1">
      <alignment horizontal="left" vertical="top" wrapText="1"/>
    </xf>
    <xf numFmtId="0" fontId="6" fillId="0" borderId="0" xfId="13" applyAlignment="1">
      <alignment horizontal="center" wrapText="1"/>
    </xf>
    <xf numFmtId="0" fontId="6" fillId="0" borderId="0" xfId="13" applyFont="1" applyAlignment="1">
      <alignment horizontal="center" wrapText="1"/>
    </xf>
    <xf numFmtId="0" fontId="7" fillId="0" borderId="0" xfId="13" applyFont="1" applyAlignment="1">
      <alignment horizontal="center"/>
    </xf>
  </cellXfs>
  <cellStyles count="25">
    <cellStyle name="Comma" xfId="1" builtinId="3"/>
    <cellStyle name="Comma 2" xfId="5"/>
    <cellStyle name="Comma 3" xfId="6"/>
    <cellStyle name="Comma 3 2" xfId="10"/>
    <cellStyle name="Comma 3 3" xfId="23"/>
    <cellStyle name="Comma 4" xfId="11"/>
    <cellStyle name="Comma 4 2" xfId="24"/>
    <cellStyle name="Currency" xfId="2" builtinId="4"/>
    <cellStyle name="Currency 2" xfId="8"/>
    <cellStyle name="Normal" xfId="0" builtinId="0"/>
    <cellStyle name="Normal 10" xfId="13"/>
    <cellStyle name="Normal 11" xfId="14"/>
    <cellStyle name="Normal 12" xfId="15"/>
    <cellStyle name="Normal 2" xfId="4"/>
    <cellStyle name="Normal 2 2" xfId="16"/>
    <cellStyle name="Normal 3" xfId="7"/>
    <cellStyle name="Normal 3 2" xfId="17"/>
    <cellStyle name="Normal 4" xfId="12"/>
    <cellStyle name="Normal 5" xfId="18"/>
    <cellStyle name="Normal 6" xfId="19"/>
    <cellStyle name="Normal 7" xfId="20"/>
    <cellStyle name="Normal 8" xfId="21"/>
    <cellStyle name="Normal 9" xfId="22"/>
    <cellStyle name="Percent" xfId="3" builtinId="5"/>
    <cellStyle name="Percent 2" xfId="9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57</xdr:row>
      <xdr:rowOff>19049</xdr:rowOff>
    </xdr:from>
    <xdr:to>
      <xdr:col>15</xdr:col>
      <xdr:colOff>7620</xdr:colOff>
      <xdr:row>62</xdr:row>
      <xdr:rowOff>91440</xdr:rowOff>
    </xdr:to>
    <xdr:sp macro="" textlink="">
      <xdr:nvSpPr>
        <xdr:cNvPr id="2" name="TextBox 1"/>
        <xdr:cNvSpPr txBox="1"/>
      </xdr:nvSpPr>
      <xdr:spPr>
        <a:xfrm>
          <a:off x="6210300" y="9597389"/>
          <a:ext cx="5730240" cy="910591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 The</a:t>
          </a:r>
          <a:r>
            <a:rPr lang="en-US" sz="1100" baseline="0"/>
            <a:t> August 2012 filing supporting this rate included the assumption that the 2011-2012 surcharge would have been reduced to $1,940, however  the actual amount remaining at the conclusion of that surcharge rate was $7,323 causing a net surcharge balance that continued to rebate through October  2013.  The December 31, 2013 net surcharge roll-over balance is $5,286</a:t>
          </a:r>
          <a:r>
            <a:rPr lang="en-US" sz="1100"/>
            <a:t>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nd%20Quarter%202013%20WA%20Decoupling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G-110877 Base"/>
      <sheetName val="UG-120437 Base"/>
      <sheetName val="PTD 2013 Deferral Calc"/>
      <sheetName val="GL Accounts"/>
      <sheetName val="12-13 Rebate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R87"/>
  <sheetViews>
    <sheetView topLeftCell="A12" zoomScaleNormal="100" workbookViewId="0">
      <selection activeCell="K24" sqref="K24"/>
    </sheetView>
  </sheetViews>
  <sheetFormatPr defaultColWidth="9.109375" defaultRowHeight="13.2"/>
  <cols>
    <col min="1" max="1" width="4" style="82" customWidth="1"/>
    <col min="2" max="2" width="2.88671875" style="82" customWidth="1"/>
    <col min="3" max="3" width="19.5546875" style="82" customWidth="1"/>
    <col min="4" max="4" width="6.44140625" style="82" customWidth="1"/>
    <col min="5" max="5" width="15.33203125" style="82" customWidth="1"/>
    <col min="6" max="6" width="12.88671875" style="82" customWidth="1"/>
    <col min="7" max="7" width="13.109375" style="82" customWidth="1"/>
    <col min="8" max="8" width="12.5546875" style="82" customWidth="1"/>
    <col min="9" max="9" width="12.6640625" style="82" customWidth="1"/>
    <col min="10" max="10" width="12.109375" style="82" customWidth="1"/>
    <col min="11" max="11" width="12.6640625" style="82" customWidth="1"/>
    <col min="12" max="12" width="11.5546875" style="82" customWidth="1"/>
    <col min="13" max="14" width="11.44140625" style="82" customWidth="1"/>
    <col min="15" max="15" width="11.33203125" style="82" customWidth="1"/>
    <col min="16" max="16" width="11.44140625" style="82" customWidth="1"/>
    <col min="17" max="17" width="11.88671875" style="82" customWidth="1"/>
    <col min="18" max="18" width="12.6640625" style="82" customWidth="1"/>
    <col min="19" max="19" width="14" style="82" bestFit="1" customWidth="1"/>
    <col min="20" max="20" width="12.88671875" style="82" bestFit="1" customWidth="1"/>
    <col min="21" max="21" width="14" style="82" bestFit="1" customWidth="1"/>
    <col min="22" max="16384" width="9.109375" style="82"/>
  </cols>
  <sheetData>
    <row r="1" spans="1:18">
      <c r="B1" s="83" t="s">
        <v>54</v>
      </c>
    </row>
    <row r="2" spans="1:18">
      <c r="B2" s="83" t="s">
        <v>55</v>
      </c>
    </row>
    <row r="3" spans="1:18">
      <c r="B3" s="83" t="s">
        <v>116</v>
      </c>
    </row>
    <row r="4" spans="1:18" ht="24.6">
      <c r="B4" s="195" t="s">
        <v>117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</row>
    <row r="5" spans="1:18" ht="20.399999999999999">
      <c r="B5" s="196" t="s">
        <v>118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</row>
    <row r="6" spans="1:18">
      <c r="B6" s="83"/>
    </row>
    <row r="8" spans="1:18">
      <c r="A8" s="84">
        <v>1</v>
      </c>
      <c r="B8" s="85" t="s">
        <v>18</v>
      </c>
      <c r="E8" s="86" t="s">
        <v>74</v>
      </c>
      <c r="F8" s="85" t="s">
        <v>56</v>
      </c>
      <c r="G8" s="87" t="s">
        <v>11</v>
      </c>
      <c r="H8" s="87" t="s">
        <v>12</v>
      </c>
      <c r="I8" s="87" t="s">
        <v>13</v>
      </c>
      <c r="J8" s="87" t="s">
        <v>14</v>
      </c>
      <c r="K8" s="87" t="s">
        <v>15</v>
      </c>
      <c r="L8" s="87" t="s">
        <v>16</v>
      </c>
      <c r="M8" s="87" t="s">
        <v>5</v>
      </c>
      <c r="N8" s="87" t="s">
        <v>6</v>
      </c>
      <c r="O8" s="87" t="s">
        <v>7</v>
      </c>
      <c r="P8" s="87" t="s">
        <v>8</v>
      </c>
      <c r="Q8" s="87" t="s">
        <v>9</v>
      </c>
      <c r="R8" s="87" t="s">
        <v>10</v>
      </c>
    </row>
    <row r="9" spans="1:18">
      <c r="A9" s="84">
        <v>2</v>
      </c>
      <c r="B9" s="85" t="s">
        <v>57</v>
      </c>
    </row>
    <row r="10" spans="1:18" ht="14.4">
      <c r="A10" s="84">
        <v>3</v>
      </c>
      <c r="B10" s="82" t="s">
        <v>58</v>
      </c>
      <c r="E10" s="88">
        <v>123192356</v>
      </c>
      <c r="F10" s="89">
        <f>SUM(G10:R10)</f>
        <v>123192356</v>
      </c>
      <c r="G10" s="90">
        <f>F43</f>
        <v>20587656</v>
      </c>
      <c r="H10" s="90">
        <f t="shared" ref="H10:R10" si="0">G43</f>
        <v>18101774</v>
      </c>
      <c r="I10" s="90">
        <f t="shared" si="0"/>
        <v>17689122</v>
      </c>
      <c r="J10" s="90">
        <f t="shared" si="0"/>
        <v>12727741</v>
      </c>
      <c r="K10" s="90">
        <f t="shared" si="0"/>
        <v>10355100</v>
      </c>
      <c r="L10" s="90">
        <f t="shared" si="0"/>
        <v>5262768</v>
      </c>
      <c r="M10" s="90">
        <f t="shared" si="0"/>
        <v>2994883</v>
      </c>
      <c r="N10" s="90">
        <f t="shared" si="0"/>
        <v>2297477</v>
      </c>
      <c r="O10" s="90">
        <f t="shared" si="0"/>
        <v>2203697</v>
      </c>
      <c r="P10" s="90">
        <f t="shared" si="0"/>
        <v>3443780</v>
      </c>
      <c r="Q10" s="90">
        <f t="shared" si="0"/>
        <v>9785451</v>
      </c>
      <c r="R10" s="90">
        <f t="shared" si="0"/>
        <v>17742907</v>
      </c>
    </row>
    <row r="11" spans="1:18">
      <c r="A11" s="84">
        <v>4</v>
      </c>
      <c r="B11" s="82" t="s">
        <v>59</v>
      </c>
      <c r="E11" s="88"/>
      <c r="F11" s="89">
        <f>SUM(G11:R11)</f>
        <v>-92962594</v>
      </c>
      <c r="G11" s="89">
        <f>-F72</f>
        <v>-14293952</v>
      </c>
      <c r="H11" s="89">
        <f t="shared" ref="H11:R11" si="1">-G72</f>
        <v>-14203169</v>
      </c>
      <c r="I11" s="89">
        <f t="shared" si="1"/>
        <v>-14414731</v>
      </c>
      <c r="J11" s="89">
        <f t="shared" si="1"/>
        <v>-10637340</v>
      </c>
      <c r="K11" s="89">
        <f t="shared" si="1"/>
        <v>-9290207</v>
      </c>
      <c r="L11" s="89">
        <f t="shared" si="1"/>
        <v>-4956495</v>
      </c>
      <c r="M11" s="89">
        <f t="shared" si="1"/>
        <v>-2725410</v>
      </c>
      <c r="N11" s="89">
        <f t="shared" si="1"/>
        <v>-1968733</v>
      </c>
      <c r="O11" s="89">
        <f t="shared" si="1"/>
        <v>-1782575</v>
      </c>
      <c r="P11" s="89">
        <f t="shared" si="1"/>
        <v>-2045955</v>
      </c>
      <c r="Q11" s="89">
        <f t="shared" si="1"/>
        <v>-5466092</v>
      </c>
      <c r="R11" s="89">
        <f t="shared" si="1"/>
        <v>-11177935</v>
      </c>
    </row>
    <row r="12" spans="1:18">
      <c r="A12" s="84">
        <v>5</v>
      </c>
      <c r="B12" s="82" t="s">
        <v>60</v>
      </c>
      <c r="E12" s="88"/>
      <c r="F12" s="89">
        <f>SUM(G12:R12)</f>
        <v>92575523</v>
      </c>
      <c r="G12" s="89">
        <f>G72</f>
        <v>14203169</v>
      </c>
      <c r="H12" s="89">
        <f t="shared" ref="H12:R12" si="2">H72</f>
        <v>14414731</v>
      </c>
      <c r="I12" s="89">
        <f t="shared" si="2"/>
        <v>10637340</v>
      </c>
      <c r="J12" s="89">
        <f t="shared" si="2"/>
        <v>9290207</v>
      </c>
      <c r="K12" s="89">
        <f t="shared" si="2"/>
        <v>4956495</v>
      </c>
      <c r="L12" s="89">
        <f t="shared" si="2"/>
        <v>2725410</v>
      </c>
      <c r="M12" s="89">
        <f t="shared" si="2"/>
        <v>1968733</v>
      </c>
      <c r="N12" s="89">
        <f t="shared" si="2"/>
        <v>1782575</v>
      </c>
      <c r="O12" s="89">
        <f t="shared" si="2"/>
        <v>2045955</v>
      </c>
      <c r="P12" s="89">
        <f t="shared" si="2"/>
        <v>5466092</v>
      </c>
      <c r="Q12" s="89">
        <f t="shared" si="2"/>
        <v>11177935</v>
      </c>
      <c r="R12" s="89">
        <f t="shared" si="2"/>
        <v>13906881</v>
      </c>
    </row>
    <row r="13" spans="1:18">
      <c r="A13" s="84">
        <v>6</v>
      </c>
      <c r="C13" s="82" t="s">
        <v>119</v>
      </c>
      <c r="E13" s="88">
        <v>-387071</v>
      </c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spans="1:18" ht="15">
      <c r="A14" s="84">
        <v>7</v>
      </c>
      <c r="B14" s="82" t="s">
        <v>61</v>
      </c>
      <c r="E14" s="91">
        <v>-3780679</v>
      </c>
      <c r="F14" s="89">
        <f>SUM(G14:R14)</f>
        <v>-3780679</v>
      </c>
      <c r="G14" s="89">
        <f>F59</f>
        <v>96935</v>
      </c>
      <c r="H14" s="89">
        <f t="shared" ref="H14:R14" si="3">G59</f>
        <v>-1501339</v>
      </c>
      <c r="I14" s="89">
        <f t="shared" si="3"/>
        <v>-242010</v>
      </c>
      <c r="J14" s="89">
        <f t="shared" si="3"/>
        <v>-1785343</v>
      </c>
      <c r="K14" s="89">
        <f t="shared" si="3"/>
        <v>-898582</v>
      </c>
      <c r="L14" s="89">
        <f t="shared" si="3"/>
        <v>-630375</v>
      </c>
      <c r="M14" s="89">
        <f t="shared" si="3"/>
        <v>0</v>
      </c>
      <c r="N14" s="89">
        <f t="shared" si="3"/>
        <v>0</v>
      </c>
      <c r="O14" s="89">
        <f t="shared" si="3"/>
        <v>0</v>
      </c>
      <c r="P14" s="89">
        <f t="shared" si="3"/>
        <v>364930</v>
      </c>
      <c r="Q14" s="89">
        <f t="shared" si="3"/>
        <v>-61014</v>
      </c>
      <c r="R14" s="89">
        <f t="shared" si="3"/>
        <v>876119</v>
      </c>
    </row>
    <row r="15" spans="1:18">
      <c r="A15" s="84">
        <v>8</v>
      </c>
      <c r="B15" s="82" t="s">
        <v>62</v>
      </c>
      <c r="E15" s="88">
        <f t="shared" ref="E15:R15" si="4">SUM(E10:E14)</f>
        <v>119024606</v>
      </c>
      <c r="F15" s="92">
        <f t="shared" si="4"/>
        <v>119024606</v>
      </c>
      <c r="G15" s="92">
        <f t="shared" si="4"/>
        <v>20593808</v>
      </c>
      <c r="H15" s="92">
        <f t="shared" si="4"/>
        <v>16811997</v>
      </c>
      <c r="I15" s="92">
        <f t="shared" si="4"/>
        <v>13669721</v>
      </c>
      <c r="J15" s="92">
        <f t="shared" si="4"/>
        <v>9595265</v>
      </c>
      <c r="K15" s="92">
        <f t="shared" si="4"/>
        <v>5122806</v>
      </c>
      <c r="L15" s="92">
        <f t="shared" si="4"/>
        <v>2401308</v>
      </c>
      <c r="M15" s="92">
        <f t="shared" si="4"/>
        <v>2238206</v>
      </c>
      <c r="N15" s="92">
        <f t="shared" si="4"/>
        <v>2111319</v>
      </c>
      <c r="O15" s="92">
        <f t="shared" si="4"/>
        <v>2467077</v>
      </c>
      <c r="P15" s="92">
        <f t="shared" si="4"/>
        <v>7228847</v>
      </c>
      <c r="Q15" s="92">
        <f t="shared" si="4"/>
        <v>15436280</v>
      </c>
      <c r="R15" s="92">
        <f t="shared" si="4"/>
        <v>21347972</v>
      </c>
    </row>
    <row r="16" spans="1:18">
      <c r="A16" s="84">
        <v>9</v>
      </c>
      <c r="E16" s="8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</row>
    <row r="17" spans="1:18">
      <c r="A17" s="84">
        <v>10</v>
      </c>
      <c r="E17" s="89"/>
      <c r="F17" s="94"/>
    </row>
    <row r="18" spans="1:18">
      <c r="A18" s="84">
        <v>11</v>
      </c>
      <c r="B18" s="85" t="s">
        <v>63</v>
      </c>
      <c r="E18" s="89"/>
    </row>
    <row r="19" spans="1:18">
      <c r="A19" s="84">
        <v>12</v>
      </c>
      <c r="B19" s="82" t="s">
        <v>64</v>
      </c>
      <c r="E19" s="89">
        <v>1748256</v>
      </c>
      <c r="F19" s="89">
        <f>SUM(G19:R19)</f>
        <v>1748256</v>
      </c>
      <c r="G19" s="93">
        <f>F67</f>
        <v>145882</v>
      </c>
      <c r="H19" s="93">
        <f t="shared" ref="H19:R19" si="5">G67</f>
        <v>145743</v>
      </c>
      <c r="I19" s="93">
        <f t="shared" si="5"/>
        <v>145691</v>
      </c>
      <c r="J19" s="93">
        <f t="shared" si="5"/>
        <v>145487</v>
      </c>
      <c r="K19" s="93">
        <f t="shared" si="5"/>
        <v>145452</v>
      </c>
      <c r="L19" s="93">
        <f t="shared" si="5"/>
        <v>145196</v>
      </c>
      <c r="M19" s="93">
        <f t="shared" si="5"/>
        <v>145263</v>
      </c>
      <c r="N19" s="93">
        <f t="shared" si="5"/>
        <v>145489</v>
      </c>
      <c r="O19" s="93">
        <f t="shared" si="5"/>
        <v>145435</v>
      </c>
      <c r="P19" s="93">
        <f t="shared" si="5"/>
        <v>145737</v>
      </c>
      <c r="Q19" s="93">
        <f t="shared" si="5"/>
        <v>146263</v>
      </c>
      <c r="R19" s="93">
        <f t="shared" si="5"/>
        <v>146618</v>
      </c>
    </row>
    <row r="20" spans="1:18">
      <c r="A20" s="84">
        <v>13</v>
      </c>
      <c r="B20" s="82" t="s">
        <v>65</v>
      </c>
      <c r="E20" s="89"/>
      <c r="F20" s="93">
        <f>F15/F19</f>
        <v>68.081909056797173</v>
      </c>
      <c r="G20" s="93">
        <f>G15/G19</f>
        <v>141.16757379251723</v>
      </c>
      <c r="H20" s="93">
        <f t="shared" ref="H20:R20" si="6">H15/H19</f>
        <v>115.35371853193635</v>
      </c>
      <c r="I20" s="93">
        <f t="shared" si="6"/>
        <v>93.826804675649143</v>
      </c>
      <c r="J20" s="93">
        <f t="shared" si="6"/>
        <v>65.95273117185728</v>
      </c>
      <c r="K20" s="93">
        <f t="shared" si="6"/>
        <v>35.219907598382974</v>
      </c>
      <c r="L20" s="93">
        <f t="shared" si="6"/>
        <v>16.538389487313701</v>
      </c>
      <c r="M20" s="93">
        <f t="shared" si="6"/>
        <v>15.40795660285138</v>
      </c>
      <c r="N20" s="93">
        <f t="shared" si="6"/>
        <v>14.511880623277362</v>
      </c>
      <c r="O20" s="93">
        <f t="shared" si="6"/>
        <v>16.963433836421768</v>
      </c>
      <c r="P20" s="93">
        <f t="shared" si="6"/>
        <v>49.602002236906209</v>
      </c>
      <c r="Q20" s="93">
        <f t="shared" si="6"/>
        <v>105.53783253454394</v>
      </c>
      <c r="R20" s="93">
        <f t="shared" si="6"/>
        <v>145.60266815807063</v>
      </c>
    </row>
    <row r="21" spans="1:18">
      <c r="A21" s="84">
        <v>14</v>
      </c>
      <c r="E21" s="89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</row>
    <row r="22" spans="1:18" ht="14.4">
      <c r="A22" s="84">
        <v>15</v>
      </c>
      <c r="E22" s="89"/>
      <c r="F22" s="95"/>
      <c r="G22" s="93" t="s">
        <v>18</v>
      </c>
      <c r="H22" s="95"/>
      <c r="I22" s="93"/>
      <c r="J22" s="93"/>
      <c r="K22" s="93"/>
      <c r="L22" s="93"/>
      <c r="M22" s="93"/>
      <c r="N22" s="93"/>
      <c r="O22" s="93"/>
      <c r="P22" s="93"/>
      <c r="Q22" s="93"/>
      <c r="R22" s="93"/>
    </row>
    <row r="23" spans="1:18" ht="14.4">
      <c r="A23" s="84">
        <v>16</v>
      </c>
      <c r="B23" s="82" t="s">
        <v>66</v>
      </c>
      <c r="F23" s="95"/>
      <c r="G23" s="96">
        <v>0.80240999999999996</v>
      </c>
      <c r="H23" s="95"/>
      <c r="I23" s="97"/>
      <c r="J23" s="97"/>
    </row>
    <row r="24" spans="1:18" ht="14.4">
      <c r="A24" s="84">
        <v>17</v>
      </c>
      <c r="B24" s="82" t="s">
        <v>67</v>
      </c>
      <c r="F24" s="95"/>
      <c r="G24" s="98">
        <v>0.95530899999999996</v>
      </c>
      <c r="H24" s="95"/>
      <c r="I24" s="97"/>
      <c r="J24" s="97"/>
    </row>
    <row r="25" spans="1:18" ht="14.4">
      <c r="A25" s="84">
        <v>18</v>
      </c>
      <c r="B25" s="82" t="s">
        <v>68</v>
      </c>
      <c r="F25" s="95"/>
      <c r="G25" s="99">
        <f>G23*G24</f>
        <v>0.76654949468999989</v>
      </c>
      <c r="H25" s="95"/>
      <c r="I25" s="97"/>
      <c r="J25" s="97"/>
      <c r="K25" s="100"/>
    </row>
    <row r="26" spans="1:18" ht="14.4">
      <c r="A26" s="84">
        <v>19</v>
      </c>
      <c r="B26" s="82" t="s">
        <v>69</v>
      </c>
      <c r="F26" s="95"/>
      <c r="G26" s="96">
        <v>0.46816999999999998</v>
      </c>
      <c r="H26" s="95"/>
      <c r="I26" s="101"/>
    </row>
    <row r="27" spans="1:18" ht="14.4">
      <c r="A27" s="84">
        <v>20</v>
      </c>
      <c r="B27" s="83" t="s">
        <v>70</v>
      </c>
      <c r="F27" s="95"/>
      <c r="G27" s="102">
        <f>G25-G26</f>
        <v>0.29837949468999991</v>
      </c>
      <c r="H27" s="95"/>
      <c r="J27" s="100"/>
      <c r="K27" s="103"/>
    </row>
    <row r="28" spans="1:18">
      <c r="A28" s="84">
        <v>21</v>
      </c>
      <c r="E28" s="104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</row>
    <row r="29" spans="1:18">
      <c r="A29" s="84">
        <v>22</v>
      </c>
    </row>
    <row r="30" spans="1:18">
      <c r="A30" s="84">
        <v>23</v>
      </c>
    </row>
    <row r="31" spans="1:18">
      <c r="A31" s="84">
        <v>24</v>
      </c>
      <c r="B31" s="98" t="s">
        <v>120</v>
      </c>
      <c r="C31" s="98"/>
    </row>
    <row r="32" spans="1:18">
      <c r="A32" s="84">
        <v>25</v>
      </c>
      <c r="B32" s="98" t="s">
        <v>75</v>
      </c>
      <c r="C32" s="98"/>
    </row>
    <row r="33" spans="1:18">
      <c r="A33" s="84">
        <v>26</v>
      </c>
      <c r="B33" s="98" t="s">
        <v>121</v>
      </c>
      <c r="C33" s="98"/>
      <c r="D33" s="98"/>
      <c r="E33" s="98"/>
      <c r="F33" s="98"/>
      <c r="G33" s="98"/>
      <c r="H33" s="98"/>
      <c r="I33" s="98"/>
      <c r="J33" s="98"/>
    </row>
    <row r="34" spans="1:18">
      <c r="A34" s="84">
        <v>27</v>
      </c>
      <c r="B34" s="98" t="s">
        <v>122</v>
      </c>
      <c r="C34" s="98"/>
      <c r="D34" s="98"/>
      <c r="E34" s="98"/>
      <c r="F34" s="98"/>
      <c r="G34" s="98"/>
      <c r="H34" s="98"/>
      <c r="I34" s="98"/>
      <c r="J34" s="98"/>
    </row>
    <row r="35" spans="1:18">
      <c r="A35" s="84">
        <v>28</v>
      </c>
      <c r="B35" s="98" t="s">
        <v>123</v>
      </c>
      <c r="C35" s="98"/>
      <c r="D35" s="98"/>
      <c r="E35" s="98"/>
      <c r="F35" s="98"/>
      <c r="G35" s="98"/>
      <c r="H35" s="98"/>
      <c r="I35" s="98"/>
      <c r="J35" s="98"/>
    </row>
    <row r="36" spans="1:18">
      <c r="B36" s="98"/>
      <c r="C36" s="98"/>
    </row>
    <row r="37" spans="1:18" ht="24.6">
      <c r="B37" s="195" t="s">
        <v>117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</row>
    <row r="38" spans="1:18" ht="20.399999999999999">
      <c r="B38" s="196" t="s">
        <v>124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</row>
    <row r="40" spans="1:18">
      <c r="A40" s="84">
        <v>1</v>
      </c>
      <c r="B40" s="83" t="s">
        <v>125</v>
      </c>
    </row>
    <row r="41" spans="1:18">
      <c r="A41" s="84">
        <v>2</v>
      </c>
      <c r="B41" s="83"/>
    </row>
    <row r="42" spans="1:18">
      <c r="A42" s="84">
        <v>3</v>
      </c>
      <c r="B42" s="83"/>
      <c r="C42" s="83" t="s">
        <v>71</v>
      </c>
      <c r="F42" s="105">
        <v>40544</v>
      </c>
      <c r="G42" s="105">
        <v>40575</v>
      </c>
      <c r="H42" s="105">
        <v>40603</v>
      </c>
      <c r="I42" s="105">
        <v>40634</v>
      </c>
      <c r="J42" s="105">
        <v>40664</v>
      </c>
      <c r="K42" s="105">
        <v>40695</v>
      </c>
      <c r="L42" s="105">
        <v>40725</v>
      </c>
      <c r="M42" s="105">
        <v>40756</v>
      </c>
      <c r="N42" s="105">
        <v>40787</v>
      </c>
      <c r="O42" s="105">
        <v>40817</v>
      </c>
      <c r="P42" s="105">
        <v>40848</v>
      </c>
      <c r="Q42" s="105">
        <v>40878</v>
      </c>
      <c r="R42" s="106" t="s">
        <v>17</v>
      </c>
    </row>
    <row r="43" spans="1:18">
      <c r="A43" s="84">
        <v>4</v>
      </c>
      <c r="B43" s="83"/>
      <c r="C43" s="82" t="s">
        <v>76</v>
      </c>
      <c r="F43" s="89">
        <v>20587656</v>
      </c>
      <c r="G43" s="89">
        <v>18101774</v>
      </c>
      <c r="H43" s="89">
        <v>17689122</v>
      </c>
      <c r="I43" s="89">
        <v>12727741</v>
      </c>
      <c r="J43" s="89">
        <v>10355100</v>
      </c>
      <c r="K43" s="89">
        <v>5262768</v>
      </c>
      <c r="L43" s="89">
        <v>2994883</v>
      </c>
      <c r="M43" s="89">
        <v>2297477</v>
      </c>
      <c r="N43" s="89">
        <v>2203697</v>
      </c>
      <c r="O43" s="89">
        <v>3443780</v>
      </c>
      <c r="P43" s="89">
        <v>9785451</v>
      </c>
      <c r="Q43" s="89">
        <v>17742907</v>
      </c>
      <c r="R43" s="89">
        <f>SUM(F43:Q43)</f>
        <v>123192356</v>
      </c>
    </row>
    <row r="44" spans="1:18">
      <c r="A44" s="84">
        <v>5</v>
      </c>
    </row>
    <row r="45" spans="1:18">
      <c r="A45" s="84">
        <v>6</v>
      </c>
      <c r="C45" s="85" t="s">
        <v>34</v>
      </c>
    </row>
    <row r="46" spans="1:18">
      <c r="A46" s="84">
        <v>7</v>
      </c>
      <c r="F46" s="105">
        <v>40544</v>
      </c>
      <c r="G46" s="105">
        <v>40575</v>
      </c>
      <c r="H46" s="105">
        <v>40603</v>
      </c>
      <c r="I46" s="105">
        <v>40634</v>
      </c>
      <c r="J46" s="105">
        <v>40664</v>
      </c>
      <c r="K46" s="105">
        <v>40695</v>
      </c>
      <c r="L46" s="105">
        <v>40725</v>
      </c>
      <c r="M46" s="105">
        <v>40756</v>
      </c>
      <c r="N46" s="105">
        <v>40787</v>
      </c>
      <c r="O46" s="105">
        <v>40817</v>
      </c>
      <c r="P46" s="105">
        <v>40848</v>
      </c>
      <c r="Q46" s="105">
        <v>40878</v>
      </c>
      <c r="R46" s="106" t="s">
        <v>17</v>
      </c>
    </row>
    <row r="47" spans="1:18">
      <c r="A47" s="84">
        <v>8</v>
      </c>
      <c r="C47" s="107" t="s">
        <v>115</v>
      </c>
      <c r="F47" s="108">
        <v>1109</v>
      </c>
      <c r="G47" s="108">
        <v>913</v>
      </c>
      <c r="H47" s="108">
        <v>775</v>
      </c>
      <c r="I47" s="108">
        <v>551</v>
      </c>
      <c r="J47" s="108">
        <v>327</v>
      </c>
      <c r="K47" s="108">
        <v>140</v>
      </c>
      <c r="L47" s="108">
        <v>36</v>
      </c>
      <c r="M47" s="108">
        <v>33</v>
      </c>
      <c r="N47" s="108">
        <v>184</v>
      </c>
      <c r="O47" s="108">
        <v>546</v>
      </c>
      <c r="P47" s="108">
        <v>885</v>
      </c>
      <c r="Q47" s="108">
        <v>1172</v>
      </c>
      <c r="R47" s="108">
        <f>SUM(F47:Q47)</f>
        <v>6671</v>
      </c>
    </row>
    <row r="48" spans="1:18">
      <c r="A48" s="84">
        <v>9</v>
      </c>
      <c r="C48" s="82" t="s">
        <v>35</v>
      </c>
      <c r="F48" s="108">
        <v>1103</v>
      </c>
      <c r="G48" s="108">
        <v>1006</v>
      </c>
      <c r="H48" s="108">
        <v>790</v>
      </c>
      <c r="I48" s="108">
        <v>698</v>
      </c>
      <c r="J48" s="108">
        <v>401</v>
      </c>
      <c r="K48" s="108">
        <v>192</v>
      </c>
      <c r="L48" s="108">
        <v>40</v>
      </c>
      <c r="M48" s="108">
        <v>8</v>
      </c>
      <c r="N48" s="108">
        <v>99</v>
      </c>
      <c r="O48" s="108">
        <v>516</v>
      </c>
      <c r="P48" s="108">
        <v>890</v>
      </c>
      <c r="Q48" s="108">
        <v>1118</v>
      </c>
      <c r="R48" s="108">
        <f>SUM(F48:Q48)</f>
        <v>6861</v>
      </c>
    </row>
    <row r="49" spans="1:18">
      <c r="A49" s="84">
        <v>10</v>
      </c>
      <c r="C49" s="83" t="s">
        <v>86</v>
      </c>
      <c r="F49" s="109">
        <f>F47-F48</f>
        <v>6</v>
      </c>
      <c r="G49" s="109">
        <f>G47-G48</f>
        <v>-93</v>
      </c>
      <c r="H49" s="109">
        <f>H47-H48</f>
        <v>-15</v>
      </c>
      <c r="I49" s="109">
        <f>I47-I48</f>
        <v>-147</v>
      </c>
      <c r="J49" s="109">
        <f t="shared" ref="J49:Q49" si="7">J47-J48</f>
        <v>-74</v>
      </c>
      <c r="K49" s="109">
        <f t="shared" si="7"/>
        <v>-52</v>
      </c>
      <c r="L49" s="109">
        <f t="shared" si="7"/>
        <v>-4</v>
      </c>
      <c r="M49" s="109">
        <f t="shared" si="7"/>
        <v>25</v>
      </c>
      <c r="N49" s="109">
        <f t="shared" si="7"/>
        <v>85</v>
      </c>
      <c r="O49" s="109">
        <f t="shared" si="7"/>
        <v>30</v>
      </c>
      <c r="P49" s="109">
        <f t="shared" si="7"/>
        <v>-5</v>
      </c>
      <c r="Q49" s="109">
        <f t="shared" si="7"/>
        <v>54</v>
      </c>
      <c r="R49" s="109">
        <f>SUM(F49:Q49)</f>
        <v>-190</v>
      </c>
    </row>
    <row r="50" spans="1:18">
      <c r="A50" s="84">
        <v>11</v>
      </c>
      <c r="C50" s="83"/>
      <c r="D50" s="110"/>
      <c r="E50" s="86" t="s">
        <v>36</v>
      </c>
    </row>
    <row r="51" spans="1:18">
      <c r="A51" s="84">
        <v>12</v>
      </c>
      <c r="C51" s="82" t="s">
        <v>37</v>
      </c>
      <c r="E51" s="106" t="s">
        <v>77</v>
      </c>
      <c r="F51" s="111">
        <v>9.8000000000000004E-2</v>
      </c>
      <c r="G51" s="111">
        <f t="shared" ref="G51:H53" si="8">F51</f>
        <v>9.8000000000000004E-2</v>
      </c>
      <c r="H51" s="111">
        <f t="shared" si="8"/>
        <v>9.8000000000000004E-2</v>
      </c>
      <c r="I51" s="111">
        <v>7.5999999999999998E-2</v>
      </c>
      <c r="J51" s="111">
        <f t="shared" ref="J51:K53" si="9">I51</f>
        <v>7.5999999999999998E-2</v>
      </c>
      <c r="K51" s="111">
        <f t="shared" si="9"/>
        <v>7.5999999999999998E-2</v>
      </c>
      <c r="L51" s="111">
        <v>0</v>
      </c>
      <c r="M51" s="111">
        <f t="shared" ref="M51:N53" si="10">L51</f>
        <v>0</v>
      </c>
      <c r="N51" s="111">
        <f t="shared" si="10"/>
        <v>0</v>
      </c>
      <c r="O51" s="111">
        <f>I51</f>
        <v>7.5999999999999998E-2</v>
      </c>
      <c r="P51" s="111">
        <f>O51</f>
        <v>7.5999999999999998E-2</v>
      </c>
      <c r="Q51" s="111">
        <f>F51</f>
        <v>9.8000000000000004E-2</v>
      </c>
    </row>
    <row r="52" spans="1:18">
      <c r="A52" s="84">
        <v>13</v>
      </c>
      <c r="C52" s="82" t="s">
        <v>38</v>
      </c>
      <c r="E52" s="106" t="s">
        <v>77</v>
      </c>
      <c r="F52" s="111">
        <v>0.252</v>
      </c>
      <c r="G52" s="111">
        <f t="shared" si="8"/>
        <v>0.252</v>
      </c>
      <c r="H52" s="111">
        <f t="shared" si="8"/>
        <v>0.252</v>
      </c>
      <c r="I52" s="111">
        <v>0.1663</v>
      </c>
      <c r="J52" s="111">
        <f t="shared" si="9"/>
        <v>0.1663</v>
      </c>
      <c r="K52" s="111">
        <f t="shared" si="9"/>
        <v>0.1663</v>
      </c>
      <c r="L52" s="111">
        <v>0</v>
      </c>
      <c r="M52" s="111">
        <f t="shared" si="10"/>
        <v>0</v>
      </c>
      <c r="N52" s="111">
        <f t="shared" si="10"/>
        <v>0</v>
      </c>
      <c r="O52" s="111">
        <f>I52</f>
        <v>0.1663</v>
      </c>
      <c r="P52" s="111">
        <f>O52</f>
        <v>0.1663</v>
      </c>
      <c r="Q52" s="111">
        <f>F52</f>
        <v>0.252</v>
      </c>
    </row>
    <row r="53" spans="1:18">
      <c r="A53" s="84">
        <v>14</v>
      </c>
      <c r="C53" s="82" t="s">
        <v>39</v>
      </c>
      <c r="E53" s="106" t="s">
        <v>77</v>
      </c>
      <c r="F53" s="111">
        <v>0.4123</v>
      </c>
      <c r="G53" s="111">
        <f t="shared" si="8"/>
        <v>0.4123</v>
      </c>
      <c r="H53" s="111">
        <f t="shared" si="8"/>
        <v>0.4123</v>
      </c>
      <c r="I53" s="111">
        <v>0.2742</v>
      </c>
      <c r="J53" s="111">
        <f t="shared" si="9"/>
        <v>0.2742</v>
      </c>
      <c r="K53" s="111">
        <f t="shared" si="9"/>
        <v>0.2742</v>
      </c>
      <c r="L53" s="111">
        <v>0</v>
      </c>
      <c r="M53" s="111">
        <f t="shared" si="10"/>
        <v>0</v>
      </c>
      <c r="N53" s="111">
        <f t="shared" si="10"/>
        <v>0</v>
      </c>
      <c r="O53" s="111">
        <f>I53</f>
        <v>0.2742</v>
      </c>
      <c r="P53" s="111">
        <f>O53</f>
        <v>0.2742</v>
      </c>
      <c r="Q53" s="111">
        <f>F53</f>
        <v>0.4123</v>
      </c>
    </row>
    <row r="54" spans="1:18">
      <c r="A54" s="84">
        <v>15</v>
      </c>
      <c r="D54" s="112"/>
    </row>
    <row r="55" spans="1:18">
      <c r="A55" s="84">
        <v>16</v>
      </c>
      <c r="C55" s="85" t="s">
        <v>40</v>
      </c>
      <c r="D55" s="112"/>
      <c r="E55" s="112"/>
    </row>
    <row r="56" spans="1:18">
      <c r="A56" s="84">
        <v>17</v>
      </c>
      <c r="C56" s="82" t="s">
        <v>37</v>
      </c>
      <c r="F56" s="89">
        <f t="shared" ref="F56:Q58" si="11">ROUND(F$49*F51*F63,0)</f>
        <v>78701</v>
      </c>
      <c r="G56" s="89">
        <f t="shared" si="11"/>
        <v>-1218469</v>
      </c>
      <c r="H56" s="89">
        <f t="shared" si="11"/>
        <v>-196495</v>
      </c>
      <c r="I56" s="89">
        <f t="shared" si="11"/>
        <v>-1491227</v>
      </c>
      <c r="J56" s="89">
        <f t="shared" si="11"/>
        <v>-750483</v>
      </c>
      <c r="K56" s="89">
        <f t="shared" si="11"/>
        <v>-526395</v>
      </c>
      <c r="L56" s="89">
        <f t="shared" si="11"/>
        <v>0</v>
      </c>
      <c r="M56" s="89">
        <f t="shared" si="11"/>
        <v>0</v>
      </c>
      <c r="N56" s="89">
        <f t="shared" si="11"/>
        <v>0</v>
      </c>
      <c r="O56" s="89">
        <f t="shared" si="11"/>
        <v>304909</v>
      </c>
      <c r="P56" s="89">
        <f t="shared" si="11"/>
        <v>-51025</v>
      </c>
      <c r="Q56" s="89">
        <f t="shared" si="11"/>
        <v>712361</v>
      </c>
      <c r="R56" s="89">
        <f>SUM(F56:Q56)</f>
        <v>-3138123</v>
      </c>
    </row>
    <row r="57" spans="1:18">
      <c r="A57" s="84">
        <v>18</v>
      </c>
      <c r="C57" s="82" t="s">
        <v>38</v>
      </c>
      <c r="F57" s="89">
        <f t="shared" si="11"/>
        <v>18031</v>
      </c>
      <c r="G57" s="89">
        <f t="shared" si="11"/>
        <v>-279802</v>
      </c>
      <c r="H57" s="89">
        <f t="shared" si="11"/>
        <v>-45020</v>
      </c>
      <c r="I57" s="89">
        <f t="shared" si="11"/>
        <v>-290811</v>
      </c>
      <c r="J57" s="89">
        <f t="shared" si="11"/>
        <v>-146395</v>
      </c>
      <c r="K57" s="89">
        <f t="shared" si="11"/>
        <v>-102768</v>
      </c>
      <c r="L57" s="89">
        <f t="shared" si="11"/>
        <v>0</v>
      </c>
      <c r="M57" s="89">
        <f t="shared" si="11"/>
        <v>0</v>
      </c>
      <c r="N57" s="89">
        <f t="shared" si="11"/>
        <v>0</v>
      </c>
      <c r="O57" s="89">
        <f t="shared" si="11"/>
        <v>59314</v>
      </c>
      <c r="P57" s="89">
        <f t="shared" si="11"/>
        <v>-9867</v>
      </c>
      <c r="Q57" s="89">
        <f t="shared" si="11"/>
        <v>161799</v>
      </c>
      <c r="R57" s="89">
        <f>SUM(F57:Q57)</f>
        <v>-635519</v>
      </c>
    </row>
    <row r="58" spans="1:18">
      <c r="A58" s="84">
        <v>19</v>
      </c>
      <c r="C58" s="82" t="s">
        <v>39</v>
      </c>
      <c r="F58" s="89">
        <f t="shared" si="11"/>
        <v>203</v>
      </c>
      <c r="G58" s="89">
        <f t="shared" si="11"/>
        <v>-3068</v>
      </c>
      <c r="H58" s="89">
        <f t="shared" si="11"/>
        <v>-495</v>
      </c>
      <c r="I58" s="89">
        <f t="shared" si="11"/>
        <v>-3305</v>
      </c>
      <c r="J58" s="89">
        <f t="shared" si="11"/>
        <v>-1704</v>
      </c>
      <c r="K58" s="89">
        <f t="shared" si="11"/>
        <v>-1212</v>
      </c>
      <c r="L58" s="89">
        <f t="shared" si="11"/>
        <v>0</v>
      </c>
      <c r="M58" s="89">
        <f t="shared" si="11"/>
        <v>0</v>
      </c>
      <c r="N58" s="89">
        <f t="shared" si="11"/>
        <v>0</v>
      </c>
      <c r="O58" s="89">
        <f t="shared" si="11"/>
        <v>707</v>
      </c>
      <c r="P58" s="89">
        <f t="shared" si="11"/>
        <v>-122</v>
      </c>
      <c r="Q58" s="89">
        <f t="shared" si="11"/>
        <v>1959</v>
      </c>
      <c r="R58" s="89">
        <f>SUM(F58:Q58)</f>
        <v>-7037</v>
      </c>
    </row>
    <row r="59" spans="1:18">
      <c r="A59" s="84">
        <v>20</v>
      </c>
      <c r="C59" s="82" t="s">
        <v>41</v>
      </c>
      <c r="F59" s="113">
        <f>SUM(F56:F58)</f>
        <v>96935</v>
      </c>
      <c r="G59" s="113">
        <f>SUM(G56:G58)</f>
        <v>-1501339</v>
      </c>
      <c r="H59" s="113">
        <f>SUM(H56:H58)</f>
        <v>-242010</v>
      </c>
      <c r="I59" s="113">
        <f t="shared" ref="I59:R59" si="12">SUM(I56:I58)</f>
        <v>-1785343</v>
      </c>
      <c r="J59" s="113">
        <f t="shared" si="12"/>
        <v>-898582</v>
      </c>
      <c r="K59" s="113">
        <f t="shared" si="12"/>
        <v>-630375</v>
      </c>
      <c r="L59" s="113">
        <f t="shared" si="12"/>
        <v>0</v>
      </c>
      <c r="M59" s="113">
        <f t="shared" si="12"/>
        <v>0</v>
      </c>
      <c r="N59" s="113">
        <f t="shared" si="12"/>
        <v>0</v>
      </c>
      <c r="O59" s="113">
        <f t="shared" si="12"/>
        <v>364930</v>
      </c>
      <c r="P59" s="113">
        <f t="shared" si="12"/>
        <v>-61014</v>
      </c>
      <c r="Q59" s="113">
        <f t="shared" si="12"/>
        <v>876119</v>
      </c>
      <c r="R59" s="113">
        <f t="shared" si="12"/>
        <v>-3780679</v>
      </c>
    </row>
    <row r="60" spans="1:18">
      <c r="A60" s="84">
        <v>21</v>
      </c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</row>
    <row r="61" spans="1:18">
      <c r="A61" s="84">
        <v>22</v>
      </c>
      <c r="C61" s="83" t="s">
        <v>44</v>
      </c>
    </row>
    <row r="62" spans="1:18">
      <c r="A62" s="84">
        <v>23</v>
      </c>
      <c r="C62" s="83"/>
      <c r="D62" s="82" t="s">
        <v>45</v>
      </c>
      <c r="E62" s="115"/>
      <c r="F62" s="115">
        <v>40544</v>
      </c>
      <c r="G62" s="115">
        <v>40575</v>
      </c>
      <c r="H62" s="115">
        <v>40603</v>
      </c>
      <c r="I62" s="115">
        <v>40634</v>
      </c>
      <c r="J62" s="115">
        <v>40664</v>
      </c>
      <c r="K62" s="115">
        <v>40695</v>
      </c>
      <c r="L62" s="115">
        <v>40725</v>
      </c>
      <c r="M62" s="115">
        <v>40756</v>
      </c>
      <c r="N62" s="115">
        <v>40787</v>
      </c>
      <c r="O62" s="115">
        <v>40817</v>
      </c>
      <c r="P62" s="115">
        <v>40848</v>
      </c>
      <c r="Q62" s="115">
        <v>40878</v>
      </c>
      <c r="R62" s="116" t="s">
        <v>56</v>
      </c>
    </row>
    <row r="63" spans="1:18">
      <c r="A63" s="84">
        <v>24</v>
      </c>
      <c r="C63" s="82" t="s">
        <v>46</v>
      </c>
      <c r="D63" s="117" t="s">
        <v>47</v>
      </c>
      <c r="E63" s="118" t="s">
        <v>78</v>
      </c>
      <c r="F63" s="89">
        <v>133846</v>
      </c>
      <c r="G63" s="89">
        <v>133692</v>
      </c>
      <c r="H63" s="89">
        <v>133670</v>
      </c>
      <c r="I63" s="89">
        <v>133479</v>
      </c>
      <c r="J63" s="89">
        <v>133443</v>
      </c>
      <c r="K63" s="89">
        <v>133197</v>
      </c>
      <c r="L63" s="89">
        <v>133325</v>
      </c>
      <c r="M63" s="89">
        <v>133519</v>
      </c>
      <c r="N63" s="89">
        <v>133444</v>
      </c>
      <c r="O63" s="89">
        <v>133732</v>
      </c>
      <c r="P63" s="89">
        <v>134277</v>
      </c>
      <c r="Q63" s="89">
        <v>134611</v>
      </c>
      <c r="R63" s="89">
        <f>SUM(F63:Q63)</f>
        <v>1604235</v>
      </c>
    </row>
    <row r="64" spans="1:18">
      <c r="A64" s="84">
        <v>25</v>
      </c>
      <c r="C64" s="82" t="s">
        <v>48</v>
      </c>
      <c r="D64" s="117" t="s">
        <v>49</v>
      </c>
      <c r="E64" s="118" t="s">
        <v>78</v>
      </c>
      <c r="F64" s="89">
        <v>11925</v>
      </c>
      <c r="G64" s="89">
        <v>11939</v>
      </c>
      <c r="H64" s="89">
        <v>11910</v>
      </c>
      <c r="I64" s="89">
        <v>11896</v>
      </c>
      <c r="J64" s="89">
        <v>11896</v>
      </c>
      <c r="K64" s="89">
        <v>11884</v>
      </c>
      <c r="L64" s="89">
        <v>11825</v>
      </c>
      <c r="M64" s="89">
        <v>11854</v>
      </c>
      <c r="N64" s="89">
        <v>11878</v>
      </c>
      <c r="O64" s="89">
        <v>11889</v>
      </c>
      <c r="P64" s="89">
        <v>11867</v>
      </c>
      <c r="Q64" s="89">
        <v>11890</v>
      </c>
      <c r="R64" s="89">
        <f>SUM(F64:Q64)</f>
        <v>142653</v>
      </c>
    </row>
    <row r="65" spans="1:18">
      <c r="A65" s="84">
        <v>26</v>
      </c>
      <c r="C65" s="82" t="s">
        <v>50</v>
      </c>
      <c r="D65" s="117" t="s">
        <v>51</v>
      </c>
      <c r="E65" s="118" t="s">
        <v>78</v>
      </c>
      <c r="F65" s="89">
        <v>82</v>
      </c>
      <c r="G65" s="89">
        <v>80</v>
      </c>
      <c r="H65" s="89">
        <v>80</v>
      </c>
      <c r="I65" s="89">
        <v>82</v>
      </c>
      <c r="J65" s="89">
        <v>84</v>
      </c>
      <c r="K65" s="89">
        <v>85</v>
      </c>
      <c r="L65" s="89">
        <v>83</v>
      </c>
      <c r="M65" s="89">
        <v>86</v>
      </c>
      <c r="N65" s="89">
        <v>83</v>
      </c>
      <c r="O65" s="89">
        <v>86</v>
      </c>
      <c r="P65" s="89">
        <v>89</v>
      </c>
      <c r="Q65" s="89">
        <v>88</v>
      </c>
      <c r="R65" s="89">
        <f>SUM(F65:Q65)</f>
        <v>1008</v>
      </c>
    </row>
    <row r="66" spans="1:18">
      <c r="A66" s="84">
        <v>27</v>
      </c>
      <c r="C66" s="82" t="s">
        <v>52</v>
      </c>
      <c r="D66" s="117" t="s">
        <v>53</v>
      </c>
      <c r="E66" s="118" t="s">
        <v>78</v>
      </c>
      <c r="F66" s="89">
        <v>29</v>
      </c>
      <c r="G66" s="89">
        <v>32</v>
      </c>
      <c r="H66" s="89">
        <v>31</v>
      </c>
      <c r="I66" s="89">
        <v>30</v>
      </c>
      <c r="J66" s="89">
        <v>29</v>
      </c>
      <c r="K66" s="89">
        <v>30</v>
      </c>
      <c r="L66" s="89">
        <v>30</v>
      </c>
      <c r="M66" s="89">
        <v>30</v>
      </c>
      <c r="N66" s="89">
        <v>30</v>
      </c>
      <c r="O66" s="89">
        <v>30</v>
      </c>
      <c r="P66" s="89">
        <v>30</v>
      </c>
      <c r="Q66" s="89">
        <v>29</v>
      </c>
      <c r="R66" s="89">
        <f>SUM(F66:Q66)</f>
        <v>360</v>
      </c>
    </row>
    <row r="67" spans="1:18">
      <c r="A67" s="84">
        <v>28</v>
      </c>
      <c r="C67" s="82" t="s">
        <v>43</v>
      </c>
      <c r="E67" s="118"/>
      <c r="F67" s="92">
        <f>SUM(F63:F66)</f>
        <v>145882</v>
      </c>
      <c r="G67" s="92">
        <f>SUM(G63:G66)</f>
        <v>145743</v>
      </c>
      <c r="H67" s="92">
        <f>SUM(H63:H66)</f>
        <v>145691</v>
      </c>
      <c r="I67" s="92">
        <f>SUM(I63:I66)</f>
        <v>145487</v>
      </c>
      <c r="J67" s="92">
        <f t="shared" ref="J67:R67" si="13">SUM(J63:J66)</f>
        <v>145452</v>
      </c>
      <c r="K67" s="92">
        <f t="shared" si="13"/>
        <v>145196</v>
      </c>
      <c r="L67" s="92">
        <f t="shared" si="13"/>
        <v>145263</v>
      </c>
      <c r="M67" s="92">
        <f t="shared" si="13"/>
        <v>145489</v>
      </c>
      <c r="N67" s="92">
        <f t="shared" si="13"/>
        <v>145435</v>
      </c>
      <c r="O67" s="92">
        <f t="shared" si="13"/>
        <v>145737</v>
      </c>
      <c r="P67" s="92">
        <f t="shared" si="13"/>
        <v>146263</v>
      </c>
      <c r="Q67" s="92">
        <f t="shared" si="13"/>
        <v>146618</v>
      </c>
      <c r="R67" s="92">
        <f t="shared" si="13"/>
        <v>1748256</v>
      </c>
    </row>
    <row r="68" spans="1:18">
      <c r="A68" s="84">
        <v>29</v>
      </c>
    </row>
    <row r="69" spans="1:18">
      <c r="A69" s="84">
        <v>30</v>
      </c>
      <c r="C69" s="85" t="s">
        <v>42</v>
      </c>
      <c r="F69" s="114"/>
    </row>
    <row r="70" spans="1:18">
      <c r="A70" s="84">
        <v>31</v>
      </c>
      <c r="C70" s="119"/>
      <c r="F70" s="115">
        <v>40513</v>
      </c>
      <c r="G70" s="115">
        <v>40544</v>
      </c>
      <c r="H70" s="115">
        <v>40575</v>
      </c>
      <c r="I70" s="115">
        <v>40603</v>
      </c>
      <c r="J70" s="115">
        <v>40634</v>
      </c>
      <c r="K70" s="115">
        <v>40664</v>
      </c>
      <c r="L70" s="115">
        <v>40695</v>
      </c>
      <c r="M70" s="115">
        <v>40725</v>
      </c>
      <c r="N70" s="115">
        <v>40756</v>
      </c>
      <c r="O70" s="115">
        <v>40787</v>
      </c>
      <c r="P70" s="115">
        <v>40817</v>
      </c>
      <c r="Q70" s="115">
        <v>40848</v>
      </c>
      <c r="R70" s="115">
        <v>40878</v>
      </c>
    </row>
    <row r="71" spans="1:18">
      <c r="A71" s="84">
        <v>32</v>
      </c>
      <c r="C71" s="120"/>
      <c r="D71" s="120"/>
      <c r="E71" s="120"/>
      <c r="F71" s="121"/>
      <c r="G71" s="120"/>
      <c r="H71" s="121"/>
      <c r="I71" s="120"/>
      <c r="J71" s="121"/>
      <c r="K71" s="120"/>
      <c r="L71" s="121"/>
      <c r="M71" s="121"/>
      <c r="N71" s="121"/>
      <c r="O71" s="121"/>
      <c r="P71" s="121"/>
      <c r="Q71" s="121"/>
      <c r="R71" s="121"/>
    </row>
    <row r="72" spans="1:18">
      <c r="A72" s="84">
        <v>33</v>
      </c>
      <c r="C72" s="120"/>
      <c r="D72" s="120"/>
      <c r="E72" s="122" t="s">
        <v>79</v>
      </c>
      <c r="F72" s="123">
        <v>14293952</v>
      </c>
      <c r="G72" s="123">
        <v>14203169</v>
      </c>
      <c r="H72" s="123">
        <v>14414731</v>
      </c>
      <c r="I72" s="123">
        <v>10637340</v>
      </c>
      <c r="J72" s="123">
        <v>9290207</v>
      </c>
      <c r="K72" s="123">
        <v>4956495</v>
      </c>
      <c r="L72" s="123">
        <v>2725410</v>
      </c>
      <c r="M72" s="123">
        <v>1968733</v>
      </c>
      <c r="N72" s="123">
        <v>1782575</v>
      </c>
      <c r="O72" s="123">
        <v>2045955</v>
      </c>
      <c r="P72" s="123">
        <v>5466092</v>
      </c>
      <c r="Q72" s="123">
        <v>11177935</v>
      </c>
      <c r="R72" s="123">
        <v>13906881</v>
      </c>
    </row>
    <row r="73" spans="1:18">
      <c r="A73" s="84">
        <v>34</v>
      </c>
      <c r="C73" s="120"/>
      <c r="D73" s="120"/>
      <c r="E73" s="120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</row>
    <row r="74" spans="1:18">
      <c r="A74" s="84">
        <v>35</v>
      </c>
      <c r="C74" s="120"/>
      <c r="D74" s="120"/>
      <c r="E74" s="120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</row>
    <row r="75" spans="1:18">
      <c r="A75" s="84">
        <v>36</v>
      </c>
      <c r="C75" s="120"/>
      <c r="D75" s="125"/>
      <c r="E75" s="126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</row>
    <row r="76" spans="1:18">
      <c r="A76" s="84">
        <v>37</v>
      </c>
      <c r="C76" s="120"/>
      <c r="D76" s="125"/>
      <c r="E76" s="126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</row>
    <row r="77" spans="1:18">
      <c r="A77" s="84">
        <v>38</v>
      </c>
      <c r="B77" s="82" t="s">
        <v>126</v>
      </c>
      <c r="C77" s="120"/>
      <c r="D77" s="125"/>
      <c r="E77" s="126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</row>
    <row r="78" spans="1:18">
      <c r="A78" s="84">
        <v>39</v>
      </c>
      <c r="B78" s="82" t="s">
        <v>127</v>
      </c>
      <c r="C78" s="120"/>
      <c r="D78" s="120"/>
      <c r="E78" s="128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</row>
    <row r="79" spans="1:18">
      <c r="A79" s="84">
        <v>40</v>
      </c>
      <c r="B79" s="82" t="s">
        <v>128</v>
      </c>
      <c r="C79" s="129"/>
      <c r="D79" s="130"/>
      <c r="E79" s="126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</row>
    <row r="80" spans="1:18">
      <c r="A80" s="84">
        <v>41</v>
      </c>
      <c r="B80" s="82" t="s">
        <v>129</v>
      </c>
      <c r="C80" s="120"/>
      <c r="D80" s="120"/>
      <c r="E80" s="120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</row>
    <row r="81" spans="3:18">
      <c r="C81" s="120"/>
      <c r="D81" s="120"/>
      <c r="E81" s="120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</row>
    <row r="82" spans="3:18">
      <c r="C82" s="120"/>
      <c r="D82" s="120"/>
      <c r="E82" s="120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</row>
    <row r="83" spans="3:18">
      <c r="C83" s="120"/>
      <c r="D83" s="120"/>
      <c r="E83" s="120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</row>
    <row r="84" spans="3:18"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</row>
    <row r="85" spans="3:18">
      <c r="C85" s="120"/>
      <c r="D85" s="120"/>
      <c r="E85" s="120"/>
      <c r="F85" s="93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93"/>
    </row>
    <row r="86" spans="3:18" ht="14.4">
      <c r="C86" s="120"/>
      <c r="D86" s="120"/>
      <c r="E86" s="120"/>
      <c r="F86" s="131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31"/>
    </row>
    <row r="87" spans="3:18"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</row>
  </sheetData>
  <mergeCells count="4">
    <mergeCell ref="B4:R4"/>
    <mergeCell ref="B5:R5"/>
    <mergeCell ref="B37:R37"/>
    <mergeCell ref="B38:R38"/>
  </mergeCells>
  <printOptions horizontalCentered="1" verticalCentered="1"/>
  <pageMargins left="0.36" right="0.27" top="0.75" bottom="0.75" header="0.3" footer="0.3"/>
  <pageSetup scale="65" orientation="landscape" r:id="rId1"/>
  <headerFooter scaleWithDoc="0">
    <oddFooter>&amp;CAPPENDIX 2&amp;RPage &amp;P of &amp;N</oddFoot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101"/>
  <sheetViews>
    <sheetView tabSelected="1" zoomScaleNormal="100" zoomScaleSheetLayoutView="84" workbookViewId="0">
      <selection activeCell="D13" sqref="D13:G13"/>
    </sheetView>
  </sheetViews>
  <sheetFormatPr defaultColWidth="9.109375" defaultRowHeight="13.2"/>
  <cols>
    <col min="1" max="1" width="18.6640625" style="1" customWidth="1"/>
    <col min="2" max="2" width="12.33203125" style="1" customWidth="1"/>
    <col min="3" max="3" width="10.33203125" style="1" customWidth="1"/>
    <col min="4" max="5" width="12.6640625" style="1" customWidth="1"/>
    <col min="6" max="6" width="13" style="1" customWidth="1"/>
    <col min="7" max="7" width="13.6640625" style="1" bestFit="1" customWidth="1"/>
    <col min="8" max="8" width="13.44140625" style="1" bestFit="1" customWidth="1"/>
    <col min="9" max="9" width="13.6640625" style="1" bestFit="1" customWidth="1"/>
    <col min="10" max="10" width="14.44140625" style="1" bestFit="1" customWidth="1"/>
    <col min="11" max="11" width="13.33203125" style="1" bestFit="1" customWidth="1"/>
    <col min="12" max="12" width="13" style="1" bestFit="1" customWidth="1"/>
    <col min="13" max="13" width="12" style="1" customWidth="1"/>
    <col min="14" max="14" width="11.5546875" style="1" customWidth="1"/>
    <col min="15" max="15" width="12.109375" style="1" customWidth="1"/>
    <col min="16" max="16" width="14.44140625" style="1" customWidth="1"/>
    <col min="17" max="17" width="14" style="1" bestFit="1" customWidth="1"/>
    <col min="18" max="18" width="12" style="1" customWidth="1"/>
    <col min="19" max="16384" width="9.109375" style="1"/>
  </cols>
  <sheetData>
    <row r="1" spans="1:17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17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spans="1:17">
      <c r="A3" s="198" t="s">
        <v>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</row>
    <row r="4" spans="1:17">
      <c r="A4" s="198" t="s">
        <v>131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</row>
    <row r="5" spans="1:17">
      <c r="A5" s="198" t="s">
        <v>3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</row>
    <row r="6" spans="1:17">
      <c r="A6" s="198" t="s">
        <v>132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</row>
    <row r="7" spans="1:17">
      <c r="A7" s="11"/>
      <c r="B7" s="18"/>
      <c r="C7" s="18"/>
      <c r="D7" s="18"/>
      <c r="E7" s="18"/>
      <c r="F7" s="18"/>
      <c r="G7" s="18"/>
      <c r="H7" s="18"/>
      <c r="I7" s="18"/>
      <c r="J7" s="36"/>
      <c r="K7" s="18"/>
      <c r="L7" s="18"/>
      <c r="M7" s="18"/>
      <c r="N7" s="18"/>
      <c r="O7" s="18"/>
      <c r="P7" s="18"/>
    </row>
    <row r="8" spans="1:17">
      <c r="A8" s="11"/>
      <c r="B8" s="18"/>
      <c r="C8" s="18"/>
      <c r="D8" s="18"/>
      <c r="E8" s="18"/>
      <c r="F8" s="18"/>
      <c r="G8" s="18"/>
      <c r="H8" s="18"/>
      <c r="I8" s="36"/>
      <c r="J8" s="36"/>
      <c r="K8" s="18"/>
      <c r="L8" s="18"/>
      <c r="M8" s="18"/>
      <c r="N8" s="18"/>
      <c r="O8" s="18"/>
      <c r="P8" s="18"/>
    </row>
    <row r="9" spans="1:17">
      <c r="A9" s="18"/>
      <c r="B9" s="18"/>
      <c r="C9" s="18"/>
      <c r="D9" s="145">
        <v>2013</v>
      </c>
      <c r="E9" s="145">
        <v>2013</v>
      </c>
      <c r="F9" s="145">
        <v>2013</v>
      </c>
      <c r="G9" s="145">
        <v>2013</v>
      </c>
      <c r="H9" s="145">
        <v>2013</v>
      </c>
      <c r="I9" s="145">
        <v>2013</v>
      </c>
      <c r="J9" s="53">
        <v>2014</v>
      </c>
      <c r="K9" s="53">
        <v>2014</v>
      </c>
      <c r="L9" s="53">
        <v>2014</v>
      </c>
      <c r="M9" s="53">
        <v>2014</v>
      </c>
      <c r="N9" s="53">
        <v>2014</v>
      </c>
      <c r="O9" s="53">
        <v>2014</v>
      </c>
      <c r="P9" s="145" t="s">
        <v>4</v>
      </c>
    </row>
    <row r="10" spans="1:17">
      <c r="A10" s="18"/>
      <c r="B10" s="18"/>
      <c r="C10" s="18"/>
      <c r="D10" s="15" t="s">
        <v>5</v>
      </c>
      <c r="E10" s="15" t="s">
        <v>6</v>
      </c>
      <c r="F10" s="15" t="s">
        <v>7</v>
      </c>
      <c r="G10" s="15" t="s">
        <v>8</v>
      </c>
      <c r="H10" s="15" t="s">
        <v>9</v>
      </c>
      <c r="I10" s="54" t="s">
        <v>10</v>
      </c>
      <c r="J10" s="54" t="s">
        <v>11</v>
      </c>
      <c r="K10" s="15" t="s">
        <v>12</v>
      </c>
      <c r="L10" s="15" t="s">
        <v>13</v>
      </c>
      <c r="M10" s="15" t="s">
        <v>14</v>
      </c>
      <c r="N10" s="15" t="s">
        <v>15</v>
      </c>
      <c r="O10" s="15" t="s">
        <v>16</v>
      </c>
      <c r="P10" s="15" t="s">
        <v>17</v>
      </c>
    </row>
    <row r="11" spans="1:17">
      <c r="A11" s="11" t="s">
        <v>133</v>
      </c>
      <c r="B11" s="11"/>
      <c r="C11" s="18"/>
      <c r="D11" s="18"/>
      <c r="E11" s="18"/>
      <c r="F11" s="18"/>
      <c r="G11" s="18"/>
      <c r="H11" s="18"/>
      <c r="I11" s="36"/>
      <c r="J11" s="36"/>
      <c r="K11" s="18"/>
      <c r="L11" s="18"/>
      <c r="M11" s="18"/>
      <c r="N11" s="18"/>
      <c r="O11" s="18"/>
      <c r="P11" s="18"/>
    </row>
    <row r="12" spans="1:17">
      <c r="A12" s="13" t="s">
        <v>18</v>
      </c>
      <c r="B12" s="18"/>
      <c r="C12" s="18"/>
      <c r="D12" s="55"/>
      <c r="E12" s="55"/>
      <c r="F12" s="55"/>
      <c r="G12" s="52"/>
      <c r="H12" s="52"/>
      <c r="I12" s="56"/>
      <c r="J12" s="56"/>
      <c r="K12" s="52"/>
      <c r="L12" s="52"/>
      <c r="M12" s="52"/>
      <c r="N12" s="52"/>
      <c r="O12" s="52"/>
      <c r="P12" s="18"/>
    </row>
    <row r="13" spans="1:17">
      <c r="A13" s="18" t="s">
        <v>19</v>
      </c>
      <c r="B13" s="18"/>
      <c r="C13" s="18"/>
      <c r="D13" s="4">
        <v>2615171</v>
      </c>
      <c r="E13" s="4">
        <v>1994193</v>
      </c>
      <c r="F13" s="4">
        <v>2083557</v>
      </c>
      <c r="G13" s="4">
        <v>5217693</v>
      </c>
      <c r="H13" s="4">
        <v>10206179</v>
      </c>
      <c r="I13" s="5">
        <v>19810399</v>
      </c>
      <c r="J13" s="5"/>
      <c r="K13" s="4"/>
      <c r="L13" s="4"/>
      <c r="M13" s="4"/>
      <c r="N13" s="4"/>
      <c r="O13" s="4"/>
      <c r="P13" s="41">
        <f t="shared" ref="P13:P18" si="0">SUM(D13:O13)</f>
        <v>41927192</v>
      </c>
    </row>
    <row r="14" spans="1:17">
      <c r="A14" s="42" t="s">
        <v>20</v>
      </c>
      <c r="B14" s="18"/>
      <c r="C14" s="18"/>
      <c r="D14" s="4">
        <v>-47344</v>
      </c>
      <c r="E14" s="4">
        <v>-34574</v>
      </c>
      <c r="F14" s="4">
        <v>-36282</v>
      </c>
      <c r="G14" s="4">
        <v>-98911</v>
      </c>
      <c r="H14" s="4">
        <v>-222096</v>
      </c>
      <c r="I14" s="4">
        <v>-467634</v>
      </c>
      <c r="J14" s="146"/>
      <c r="K14" s="75"/>
      <c r="L14" s="75"/>
      <c r="M14" s="75"/>
      <c r="N14" s="75"/>
      <c r="O14" s="75"/>
      <c r="P14" s="41">
        <f t="shared" si="0"/>
        <v>-906841</v>
      </c>
    </row>
    <row r="15" spans="1:17">
      <c r="A15" s="42" t="s">
        <v>21</v>
      </c>
      <c r="B15" s="18"/>
      <c r="C15" s="18"/>
      <c r="D15" s="4">
        <v>28650</v>
      </c>
      <c r="E15" s="4">
        <v>22507</v>
      </c>
      <c r="F15" s="4">
        <v>23407</v>
      </c>
      <c r="G15" s="4">
        <v>33193</v>
      </c>
      <c r="H15" s="4">
        <v>55834</v>
      </c>
      <c r="I15" s="4">
        <v>79652</v>
      </c>
      <c r="J15" s="146"/>
      <c r="K15" s="75"/>
      <c r="L15" s="75"/>
      <c r="M15" s="75"/>
      <c r="N15" s="75"/>
      <c r="O15" s="75"/>
      <c r="P15" s="41">
        <f t="shared" si="0"/>
        <v>243243</v>
      </c>
      <c r="Q15" s="6"/>
    </row>
    <row r="16" spans="1:17">
      <c r="A16" s="18" t="s">
        <v>22</v>
      </c>
      <c r="B16" s="18"/>
      <c r="C16" s="18"/>
      <c r="D16" s="55">
        <f>-D75</f>
        <v>-2038665</v>
      </c>
      <c r="E16" s="55">
        <f t="shared" ref="E16:I16" si="1">-E75</f>
        <v>-1510487</v>
      </c>
      <c r="F16" s="55">
        <f t="shared" si="1"/>
        <v>-1565932</v>
      </c>
      <c r="G16" s="55">
        <f t="shared" si="1"/>
        <v>-2121593</v>
      </c>
      <c r="H16" s="55">
        <f t="shared" si="1"/>
        <v>-6085923</v>
      </c>
      <c r="I16" s="55">
        <f t="shared" si="1"/>
        <v>-10875393</v>
      </c>
      <c r="J16" s="56"/>
      <c r="K16" s="55">
        <f>-K75</f>
        <v>0</v>
      </c>
      <c r="L16" s="55">
        <f t="shared" ref="L16:O16" si="2">-L75</f>
        <v>0</v>
      </c>
      <c r="M16" s="55">
        <f t="shared" si="2"/>
        <v>0</v>
      </c>
      <c r="N16" s="55">
        <f t="shared" si="2"/>
        <v>0</v>
      </c>
      <c r="O16" s="55">
        <f t="shared" si="2"/>
        <v>0</v>
      </c>
      <c r="P16" s="41">
        <f t="shared" si="0"/>
        <v>-24197993</v>
      </c>
      <c r="Q16" s="6"/>
    </row>
    <row r="17" spans="1:17">
      <c r="A17" s="18" t="s">
        <v>23</v>
      </c>
      <c r="B17" s="18"/>
      <c r="C17" s="18"/>
      <c r="D17" s="55">
        <f>E75</f>
        <v>1510487</v>
      </c>
      <c r="E17" s="55">
        <f t="shared" ref="E17:I17" si="3">F75</f>
        <v>1565932</v>
      </c>
      <c r="F17" s="55">
        <f t="shared" si="3"/>
        <v>2121593</v>
      </c>
      <c r="G17" s="55">
        <f t="shared" si="3"/>
        <v>6085923</v>
      </c>
      <c r="H17" s="55">
        <f t="shared" si="3"/>
        <v>10875393</v>
      </c>
      <c r="I17" s="55">
        <f t="shared" si="3"/>
        <v>13643535</v>
      </c>
      <c r="J17" s="56">
        <f>K75</f>
        <v>0</v>
      </c>
      <c r="K17" s="55">
        <f>L75</f>
        <v>0</v>
      </c>
      <c r="L17" s="55">
        <f t="shared" ref="L17:O17" si="4">M75</f>
        <v>0</v>
      </c>
      <c r="M17" s="55">
        <f t="shared" si="4"/>
        <v>0</v>
      </c>
      <c r="N17" s="55">
        <f t="shared" si="4"/>
        <v>0</v>
      </c>
      <c r="O17" s="55">
        <f t="shared" si="4"/>
        <v>0</v>
      </c>
      <c r="P17" s="41">
        <f t="shared" si="0"/>
        <v>35802863</v>
      </c>
      <c r="Q17" s="6"/>
    </row>
    <row r="18" spans="1:17">
      <c r="A18" s="18" t="s">
        <v>24</v>
      </c>
      <c r="B18" s="18"/>
      <c r="C18" s="18"/>
      <c r="D18" s="55">
        <f>J58</f>
        <v>0</v>
      </c>
      <c r="E18" s="55">
        <f t="shared" ref="E18:I18" si="5">K58</f>
        <v>0</v>
      </c>
      <c r="F18" s="55">
        <f t="shared" si="5"/>
        <v>0</v>
      </c>
      <c r="G18" s="55">
        <f t="shared" si="5"/>
        <v>-535232</v>
      </c>
      <c r="H18" s="55">
        <f t="shared" si="5"/>
        <v>-158638</v>
      </c>
      <c r="I18" s="55">
        <f t="shared" si="5"/>
        <v>-665202</v>
      </c>
      <c r="J18" s="56">
        <f>D58</f>
        <v>0</v>
      </c>
      <c r="K18" s="56">
        <f>E58</f>
        <v>0</v>
      </c>
      <c r="L18" s="56">
        <f t="shared" ref="L18:O18" si="6">F58</f>
        <v>0</v>
      </c>
      <c r="M18" s="56">
        <f t="shared" si="6"/>
        <v>0</v>
      </c>
      <c r="N18" s="56">
        <f t="shared" si="6"/>
        <v>0</v>
      </c>
      <c r="O18" s="56">
        <f t="shared" si="6"/>
        <v>0</v>
      </c>
      <c r="P18" s="41">
        <f t="shared" si="0"/>
        <v>-1359072</v>
      </c>
      <c r="Q18" s="6"/>
    </row>
    <row r="19" spans="1:17">
      <c r="A19" s="18" t="s">
        <v>25</v>
      </c>
      <c r="B19" s="18"/>
      <c r="C19" s="18"/>
      <c r="D19" s="57">
        <f t="shared" ref="D19:O19" si="7">SUM(D13:D18)</f>
        <v>2068299</v>
      </c>
      <c r="E19" s="57">
        <f t="shared" si="7"/>
        <v>2037571</v>
      </c>
      <c r="F19" s="57">
        <f t="shared" si="7"/>
        <v>2626343</v>
      </c>
      <c r="G19" s="57">
        <f t="shared" si="7"/>
        <v>8581073</v>
      </c>
      <c r="H19" s="57">
        <f t="shared" si="7"/>
        <v>14670749</v>
      </c>
      <c r="I19" s="57">
        <f t="shared" si="7"/>
        <v>21525357</v>
      </c>
      <c r="J19" s="57">
        <f>SUM(J13:J18)</f>
        <v>0</v>
      </c>
      <c r="K19" s="57">
        <f t="shared" si="7"/>
        <v>0</v>
      </c>
      <c r="L19" s="57">
        <f t="shared" si="7"/>
        <v>0</v>
      </c>
      <c r="M19" s="57">
        <f t="shared" si="7"/>
        <v>0</v>
      </c>
      <c r="N19" s="57">
        <f t="shared" si="7"/>
        <v>0</v>
      </c>
      <c r="O19" s="57">
        <f t="shared" si="7"/>
        <v>0</v>
      </c>
      <c r="P19" s="57">
        <f>SUM(P13:P18)</f>
        <v>51509392</v>
      </c>
      <c r="Q19" s="3"/>
    </row>
    <row r="20" spans="1:17">
      <c r="A20" s="18"/>
      <c r="B20" s="18"/>
      <c r="C20" s="1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3"/>
    </row>
    <row r="21" spans="1:17">
      <c r="A21" s="18" t="s">
        <v>26</v>
      </c>
      <c r="B21" s="18"/>
      <c r="C21" s="18"/>
      <c r="D21" s="58">
        <f t="shared" ref="D21:O21" si="8">D19</f>
        <v>2068299</v>
      </c>
      <c r="E21" s="58">
        <f t="shared" si="8"/>
        <v>2037571</v>
      </c>
      <c r="F21" s="58">
        <f t="shared" si="8"/>
        <v>2626343</v>
      </c>
      <c r="G21" s="58">
        <f t="shared" si="8"/>
        <v>8581073</v>
      </c>
      <c r="H21" s="58">
        <f t="shared" si="8"/>
        <v>14670749</v>
      </c>
      <c r="I21" s="58">
        <f t="shared" si="8"/>
        <v>21525357</v>
      </c>
      <c r="J21" s="147">
        <f>J19</f>
        <v>0</v>
      </c>
      <c r="K21" s="58">
        <f t="shared" si="8"/>
        <v>0</v>
      </c>
      <c r="L21" s="58">
        <f t="shared" si="8"/>
        <v>0</v>
      </c>
      <c r="M21" s="58">
        <f t="shared" si="8"/>
        <v>0</v>
      </c>
      <c r="N21" s="58">
        <f t="shared" si="8"/>
        <v>0</v>
      </c>
      <c r="O21" s="58">
        <f t="shared" si="8"/>
        <v>0</v>
      </c>
      <c r="P21" s="41">
        <f t="shared" ref="P21:P22" si="9">SUM(D21:O21)</f>
        <v>51509392</v>
      </c>
      <c r="Q21" s="3"/>
    </row>
    <row r="22" spans="1:17">
      <c r="A22" s="12" t="s">
        <v>27</v>
      </c>
      <c r="B22" s="12"/>
      <c r="C22" s="12"/>
      <c r="D22" s="59">
        <v>2238206</v>
      </c>
      <c r="E22" s="59">
        <v>2111319</v>
      </c>
      <c r="F22" s="59">
        <v>2467077</v>
      </c>
      <c r="G22" s="59">
        <v>7228847</v>
      </c>
      <c r="H22" s="59">
        <v>15436280</v>
      </c>
      <c r="I22" s="59">
        <v>21347972</v>
      </c>
      <c r="J22" s="59"/>
      <c r="K22" s="59"/>
      <c r="L22" s="59"/>
      <c r="M22" s="59"/>
      <c r="N22" s="59"/>
      <c r="O22" s="59"/>
      <c r="P22" s="41">
        <f t="shared" si="9"/>
        <v>50829701</v>
      </c>
      <c r="Q22" s="3"/>
    </row>
    <row r="23" spans="1:17">
      <c r="A23" s="18" t="s">
        <v>28</v>
      </c>
      <c r="B23" s="18"/>
      <c r="C23" s="12"/>
      <c r="D23" s="17">
        <f t="shared" ref="D23:I23" si="10">D21-D22</f>
        <v>-169907</v>
      </c>
      <c r="E23" s="17">
        <f t="shared" si="10"/>
        <v>-73748</v>
      </c>
      <c r="F23" s="17">
        <f t="shared" si="10"/>
        <v>159266</v>
      </c>
      <c r="G23" s="17">
        <f t="shared" si="10"/>
        <v>1352226</v>
      </c>
      <c r="H23" s="17">
        <f t="shared" si="10"/>
        <v>-765531</v>
      </c>
      <c r="I23" s="17">
        <f t="shared" si="10"/>
        <v>177385</v>
      </c>
      <c r="J23" s="17"/>
      <c r="K23" s="17"/>
      <c r="L23" s="17"/>
      <c r="M23" s="17"/>
      <c r="N23" s="17"/>
      <c r="O23" s="17"/>
      <c r="P23" s="57">
        <f>SUM(D23:O23)</f>
        <v>679691</v>
      </c>
      <c r="Q23" s="3"/>
    </row>
    <row r="24" spans="1:17">
      <c r="A24" s="18" t="s">
        <v>29</v>
      </c>
      <c r="B24" s="18"/>
      <c r="C24" s="12"/>
      <c r="D24" s="60">
        <v>0.29837999999999998</v>
      </c>
      <c r="E24" s="60">
        <v>0.29837999999999998</v>
      </c>
      <c r="F24" s="60">
        <v>0.29837999999999998</v>
      </c>
      <c r="G24" s="60">
        <v>0.29837999999999998</v>
      </c>
      <c r="H24" s="60">
        <v>0.29837999999999998</v>
      </c>
      <c r="I24" s="60">
        <v>0.29837999999999998</v>
      </c>
      <c r="J24" s="60"/>
      <c r="K24" s="60"/>
      <c r="L24" s="60"/>
      <c r="M24" s="60"/>
      <c r="N24" s="60"/>
      <c r="O24" s="60"/>
      <c r="P24" s="12"/>
    </row>
    <row r="25" spans="1:17">
      <c r="A25" s="11" t="s">
        <v>30</v>
      </c>
      <c r="B25" s="11"/>
      <c r="C25" s="11"/>
      <c r="D25" s="8">
        <f t="shared" ref="D25:O25" si="11">D23*D24</f>
        <v>-50696.850659999996</v>
      </c>
      <c r="E25" s="8">
        <f t="shared" si="11"/>
        <v>-22004.928239999997</v>
      </c>
      <c r="F25" s="9">
        <f t="shared" si="11"/>
        <v>47521.789079999995</v>
      </c>
      <c r="G25" s="8">
        <f t="shared" si="11"/>
        <v>403477.19387999998</v>
      </c>
      <c r="H25" s="8">
        <f t="shared" si="11"/>
        <v>-228419.13978</v>
      </c>
      <c r="I25" s="10">
        <f t="shared" si="11"/>
        <v>52928.136299999998</v>
      </c>
      <c r="J25" s="10">
        <f>J23*J24</f>
        <v>0</v>
      </c>
      <c r="K25" s="8">
        <f t="shared" si="11"/>
        <v>0</v>
      </c>
      <c r="L25" s="8">
        <f t="shared" si="11"/>
        <v>0</v>
      </c>
      <c r="M25" s="9">
        <f t="shared" si="11"/>
        <v>0</v>
      </c>
      <c r="N25" s="8">
        <f t="shared" si="11"/>
        <v>0</v>
      </c>
      <c r="O25" s="9">
        <f t="shared" si="11"/>
        <v>0</v>
      </c>
      <c r="P25" s="8">
        <f>SUM(D25:O25)</f>
        <v>202806.20057999995</v>
      </c>
    </row>
    <row r="26" spans="1:17">
      <c r="A26" s="11"/>
      <c r="B26" s="61" t="s">
        <v>31</v>
      </c>
      <c r="C26" s="18"/>
      <c r="D26" s="62">
        <v>0.45</v>
      </c>
      <c r="E26" s="62">
        <v>0.45</v>
      </c>
      <c r="F26" s="62">
        <v>0.45</v>
      </c>
      <c r="G26" s="62">
        <v>0.45</v>
      </c>
      <c r="H26" s="62">
        <v>0.45</v>
      </c>
      <c r="I26" s="62">
        <v>0.45</v>
      </c>
      <c r="J26" s="62">
        <v>0.45</v>
      </c>
      <c r="K26" s="62">
        <v>0.45</v>
      </c>
      <c r="L26" s="62">
        <v>0.45</v>
      </c>
      <c r="M26" s="62">
        <v>0.45</v>
      </c>
      <c r="N26" s="62">
        <v>0.45</v>
      </c>
      <c r="O26" s="62">
        <v>0.45</v>
      </c>
      <c r="P26" s="8"/>
    </row>
    <row r="27" spans="1:17" s="2" customFormat="1">
      <c r="A27" s="11" t="s">
        <v>32</v>
      </c>
      <c r="B27" s="18"/>
      <c r="C27" s="18"/>
      <c r="D27" s="10">
        <f t="shared" ref="D27:O27" si="12">ROUND(D25*D26,0)</f>
        <v>-22814</v>
      </c>
      <c r="E27" s="10">
        <f t="shared" si="12"/>
        <v>-9902</v>
      </c>
      <c r="F27" s="10">
        <f t="shared" si="12"/>
        <v>21385</v>
      </c>
      <c r="G27" s="10">
        <f t="shared" si="12"/>
        <v>181565</v>
      </c>
      <c r="H27" s="10">
        <f t="shared" si="12"/>
        <v>-102789</v>
      </c>
      <c r="I27" s="10">
        <f t="shared" si="12"/>
        <v>23818</v>
      </c>
      <c r="J27" s="10">
        <f t="shared" si="12"/>
        <v>0</v>
      </c>
      <c r="K27" s="10">
        <f t="shared" si="12"/>
        <v>0</v>
      </c>
      <c r="L27" s="10">
        <f t="shared" si="12"/>
        <v>0</v>
      </c>
      <c r="M27" s="10">
        <f t="shared" si="12"/>
        <v>0</v>
      </c>
      <c r="N27" s="10">
        <f t="shared" si="12"/>
        <v>0</v>
      </c>
      <c r="O27" s="10">
        <f t="shared" si="12"/>
        <v>0</v>
      </c>
      <c r="P27" s="10">
        <f>SUM(D27:O27)</f>
        <v>91263</v>
      </c>
    </row>
    <row r="28" spans="1:17" s="2" customFormat="1">
      <c r="A28" s="12"/>
      <c r="B28" s="11" t="s">
        <v>33</v>
      </c>
      <c r="C28" s="12"/>
      <c r="D28" s="12"/>
      <c r="E28" s="55"/>
      <c r="F28" s="55"/>
      <c r="G28" s="55"/>
      <c r="H28" s="55"/>
      <c r="I28" s="63"/>
      <c r="J28" s="63"/>
      <c r="K28" s="55"/>
      <c r="L28" s="55"/>
      <c r="M28" s="55"/>
      <c r="N28" s="55"/>
      <c r="O28" s="55"/>
      <c r="P28" s="41"/>
    </row>
    <row r="29" spans="1:17">
      <c r="A29" s="12"/>
      <c r="B29" s="11"/>
      <c r="C29" s="12"/>
      <c r="D29" s="12"/>
      <c r="E29" s="55"/>
      <c r="F29" s="55"/>
      <c r="G29" s="55"/>
      <c r="H29" s="55"/>
      <c r="I29" s="63"/>
      <c r="J29" s="63"/>
      <c r="K29" s="55"/>
      <c r="L29" s="55"/>
      <c r="M29" s="55"/>
      <c r="N29" s="55"/>
      <c r="O29" s="55"/>
      <c r="P29" s="41"/>
    </row>
    <row r="30" spans="1:17">
      <c r="A30" s="11"/>
      <c r="B30" s="11"/>
      <c r="C30" s="12"/>
      <c r="D30" s="10"/>
      <c r="E30" s="55"/>
      <c r="F30" s="55"/>
      <c r="G30" s="55"/>
      <c r="H30" s="55"/>
      <c r="I30" s="55"/>
      <c r="J30" s="10"/>
      <c r="K30" s="55"/>
      <c r="L30" s="55"/>
      <c r="M30" s="55"/>
      <c r="N30" s="55"/>
      <c r="O30" s="55"/>
      <c r="P30" s="76"/>
    </row>
    <row r="31" spans="1:17">
      <c r="A31" s="11"/>
      <c r="B31" s="11"/>
      <c r="C31" s="12"/>
      <c r="D31" s="10"/>
      <c r="E31" s="55"/>
      <c r="F31" s="55"/>
      <c r="G31" s="55"/>
      <c r="H31" s="55"/>
      <c r="I31" s="55"/>
      <c r="J31" s="10"/>
      <c r="K31" s="55"/>
      <c r="L31" s="55"/>
      <c r="M31" s="55"/>
      <c r="N31" s="55"/>
      <c r="O31" s="55"/>
      <c r="P31" s="76"/>
    </row>
    <row r="32" spans="1:17">
      <c r="A32" s="11"/>
      <c r="B32" s="65"/>
      <c r="C32" s="20"/>
      <c r="D32" s="19"/>
      <c r="E32" s="66"/>
      <c r="F32" s="52"/>
      <c r="G32" s="52"/>
      <c r="H32" s="52"/>
      <c r="I32" s="76"/>
      <c r="J32" s="133"/>
      <c r="K32" s="55"/>
      <c r="L32" s="55"/>
      <c r="M32" s="55"/>
      <c r="N32" s="55"/>
      <c r="O32" s="55"/>
      <c r="P32" s="77"/>
    </row>
    <row r="33" spans="1:20" ht="12.75" customHeight="1">
      <c r="A33" s="11"/>
      <c r="B33" s="11"/>
      <c r="C33" s="12"/>
      <c r="D33" s="12"/>
      <c r="E33" s="67"/>
      <c r="F33" s="55"/>
      <c r="G33" s="55"/>
      <c r="H33" s="55"/>
      <c r="I33" s="55"/>
      <c r="J33" s="134"/>
      <c r="K33" s="55"/>
      <c r="L33" s="55"/>
      <c r="M33" s="55"/>
      <c r="N33" s="55"/>
      <c r="O33" s="55"/>
      <c r="P33" s="10"/>
    </row>
    <row r="34" spans="1:20" ht="21" customHeight="1">
      <c r="A34" s="7" t="s">
        <v>72</v>
      </c>
      <c r="B34" s="38"/>
      <c r="C34" s="38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68"/>
    </row>
    <row r="35" spans="1:20" ht="33.75" customHeight="1">
      <c r="A35" s="197" t="s">
        <v>73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R35" s="40"/>
      <c r="S35" s="40"/>
      <c r="T35" s="40"/>
    </row>
    <row r="36" spans="1:20" ht="12.75" customHeight="1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R36" s="40"/>
      <c r="S36" s="40"/>
      <c r="T36" s="40"/>
    </row>
    <row r="37" spans="1:20" ht="12.75" customHeight="1">
      <c r="A37" s="20"/>
      <c r="B37" s="20"/>
      <c r="C37" s="20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2"/>
    </row>
    <row r="38" spans="1:20" ht="12.75" customHeight="1">
      <c r="A38" s="20"/>
      <c r="B38" s="20"/>
      <c r="C38" s="20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2"/>
    </row>
    <row r="39" spans="1:20" s="70" customFormat="1" ht="12.75" customHeight="1">
      <c r="A39" s="64"/>
      <c r="B39" s="19"/>
      <c r="C39" s="19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41"/>
    </row>
    <row r="40" spans="1:20" s="70" customFormat="1" ht="12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20" ht="12.75" customHeight="1">
      <c r="A41" s="42" t="s">
        <v>134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</row>
    <row r="42" spans="1:20" ht="12.75" customHeight="1">
      <c r="A42" s="11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20" ht="12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20" ht="12.75" customHeight="1">
      <c r="A44" s="13" t="s">
        <v>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20" ht="12.75" customHeight="1">
      <c r="A45" s="12"/>
      <c r="B45" s="12"/>
      <c r="C45" s="12"/>
      <c r="D45" s="21">
        <v>41640</v>
      </c>
      <c r="E45" s="21">
        <v>41671</v>
      </c>
      <c r="F45" s="21">
        <v>41699</v>
      </c>
      <c r="G45" s="21">
        <v>41730</v>
      </c>
      <c r="H45" s="21">
        <v>41760</v>
      </c>
      <c r="I45" s="21">
        <v>41791</v>
      </c>
      <c r="J45" s="21">
        <v>41456</v>
      </c>
      <c r="K45" s="21">
        <v>41487</v>
      </c>
      <c r="L45" s="21">
        <v>41518</v>
      </c>
      <c r="M45" s="21">
        <v>41548</v>
      </c>
      <c r="N45" s="21">
        <v>41579</v>
      </c>
      <c r="O45" s="21">
        <v>41609</v>
      </c>
      <c r="P45" s="22" t="s">
        <v>17</v>
      </c>
    </row>
    <row r="46" spans="1:20" ht="12.75" customHeight="1">
      <c r="A46" s="23" t="s">
        <v>115</v>
      </c>
      <c r="B46" s="12"/>
      <c r="C46" s="12"/>
      <c r="D46" s="78">
        <v>1109</v>
      </c>
      <c r="E46" s="78">
        <v>913</v>
      </c>
      <c r="F46" s="78">
        <v>775</v>
      </c>
      <c r="G46" s="78">
        <v>551</v>
      </c>
      <c r="H46" s="78">
        <v>327</v>
      </c>
      <c r="I46" s="78">
        <v>140</v>
      </c>
      <c r="J46" s="78">
        <v>36</v>
      </c>
      <c r="K46" s="78">
        <v>33</v>
      </c>
      <c r="L46" s="78">
        <v>184</v>
      </c>
      <c r="M46" s="78">
        <v>546</v>
      </c>
      <c r="N46" s="78">
        <v>885</v>
      </c>
      <c r="O46" s="78">
        <v>1172</v>
      </c>
      <c r="P46" s="78">
        <f>SUM(D46:O46)</f>
        <v>6671</v>
      </c>
    </row>
    <row r="47" spans="1:20" ht="12.75" customHeight="1">
      <c r="A47" s="12" t="s">
        <v>35</v>
      </c>
      <c r="B47" s="12"/>
      <c r="C47" s="12"/>
      <c r="D47" s="148">
        <f t="shared" ref="D47:I47" si="13">D46</f>
        <v>1109</v>
      </c>
      <c r="E47" s="148">
        <f t="shared" si="13"/>
        <v>913</v>
      </c>
      <c r="F47" s="148">
        <f t="shared" si="13"/>
        <v>775</v>
      </c>
      <c r="G47" s="148">
        <f t="shared" si="13"/>
        <v>551</v>
      </c>
      <c r="H47" s="148">
        <f t="shared" si="13"/>
        <v>327</v>
      </c>
      <c r="I47" s="148">
        <f t="shared" si="13"/>
        <v>140</v>
      </c>
      <c r="J47" s="79">
        <v>0</v>
      </c>
      <c r="K47" s="79">
        <v>7</v>
      </c>
      <c r="L47" s="79">
        <v>160</v>
      </c>
      <c r="M47" s="79">
        <v>590</v>
      </c>
      <c r="N47" s="79">
        <v>898</v>
      </c>
      <c r="O47" s="79">
        <v>1213</v>
      </c>
      <c r="P47" s="78">
        <f>SUM(D47:O47)</f>
        <v>6683</v>
      </c>
    </row>
    <row r="48" spans="1:20" ht="12.75" customHeight="1">
      <c r="A48" s="11" t="s">
        <v>86</v>
      </c>
      <c r="B48" s="12"/>
      <c r="C48" s="12"/>
      <c r="D48" s="80">
        <f>D46-D47</f>
        <v>0</v>
      </c>
      <c r="E48" s="80">
        <f>E46-E47</f>
        <v>0</v>
      </c>
      <c r="F48" s="80">
        <f>F46-F47</f>
        <v>0</v>
      </c>
      <c r="G48" s="80">
        <f>G46-G47</f>
        <v>0</v>
      </c>
      <c r="H48" s="80">
        <f t="shared" ref="H48:O48" si="14">H46-H47</f>
        <v>0</v>
      </c>
      <c r="I48" s="80">
        <f t="shared" si="14"/>
        <v>0</v>
      </c>
      <c r="J48" s="80">
        <f t="shared" si="14"/>
        <v>36</v>
      </c>
      <c r="K48" s="80">
        <f t="shared" si="14"/>
        <v>26</v>
      </c>
      <c r="L48" s="80">
        <f t="shared" si="14"/>
        <v>24</v>
      </c>
      <c r="M48" s="80">
        <f t="shared" si="14"/>
        <v>-44</v>
      </c>
      <c r="N48" s="80">
        <f t="shared" si="14"/>
        <v>-13</v>
      </c>
      <c r="O48" s="80">
        <f t="shared" si="14"/>
        <v>-41</v>
      </c>
      <c r="P48" s="80">
        <f>SUM(D48:O48)</f>
        <v>-12</v>
      </c>
    </row>
    <row r="49" spans="1:16" ht="12.75" customHeight="1">
      <c r="A49" s="11"/>
      <c r="B49" s="24"/>
      <c r="C49" s="14" t="s">
        <v>36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ht="12.75" customHeight="1">
      <c r="A50" s="12" t="s">
        <v>37</v>
      </c>
      <c r="B50" s="12"/>
      <c r="C50" s="22" t="s">
        <v>77</v>
      </c>
      <c r="D50" s="81">
        <v>9.8000000000000004E-2</v>
      </c>
      <c r="E50" s="25">
        <f t="shared" ref="E50:F52" si="15">D50</f>
        <v>9.8000000000000004E-2</v>
      </c>
      <c r="F50" s="25">
        <f t="shared" si="15"/>
        <v>9.8000000000000004E-2</v>
      </c>
      <c r="G50" s="81">
        <v>7.5999999999999998E-2</v>
      </c>
      <c r="H50" s="25">
        <f t="shared" ref="H50:I52" si="16">G50</f>
        <v>7.5999999999999998E-2</v>
      </c>
      <c r="I50" s="25">
        <f t="shared" si="16"/>
        <v>7.5999999999999998E-2</v>
      </c>
      <c r="J50" s="25">
        <v>0</v>
      </c>
      <c r="K50" s="25">
        <f t="shared" ref="K50:L52" si="17">J50</f>
        <v>0</v>
      </c>
      <c r="L50" s="25">
        <f t="shared" si="17"/>
        <v>0</v>
      </c>
      <c r="M50" s="25">
        <f>G50</f>
        <v>7.5999999999999998E-2</v>
      </c>
      <c r="N50" s="25">
        <f>M50</f>
        <v>7.5999999999999998E-2</v>
      </c>
      <c r="O50" s="25">
        <f>D50</f>
        <v>9.8000000000000004E-2</v>
      </c>
      <c r="P50" s="12"/>
    </row>
    <row r="51" spans="1:16" ht="12.75" customHeight="1">
      <c r="A51" s="12" t="s">
        <v>38</v>
      </c>
      <c r="B51" s="12"/>
      <c r="C51" s="22" t="s">
        <v>77</v>
      </c>
      <c r="D51" s="81">
        <v>0.252</v>
      </c>
      <c r="E51" s="25">
        <f t="shared" si="15"/>
        <v>0.252</v>
      </c>
      <c r="F51" s="25">
        <f t="shared" si="15"/>
        <v>0.252</v>
      </c>
      <c r="G51" s="81">
        <v>0.1663</v>
      </c>
      <c r="H51" s="25">
        <f t="shared" si="16"/>
        <v>0.1663</v>
      </c>
      <c r="I51" s="25">
        <f t="shared" si="16"/>
        <v>0.1663</v>
      </c>
      <c r="J51" s="25">
        <v>0</v>
      </c>
      <c r="K51" s="25">
        <f t="shared" si="17"/>
        <v>0</v>
      </c>
      <c r="L51" s="25">
        <f t="shared" si="17"/>
        <v>0</v>
      </c>
      <c r="M51" s="25">
        <f>G51</f>
        <v>0.1663</v>
      </c>
      <c r="N51" s="25">
        <f>M51</f>
        <v>0.1663</v>
      </c>
      <c r="O51" s="25">
        <f>D51</f>
        <v>0.252</v>
      </c>
      <c r="P51" s="12"/>
    </row>
    <row r="52" spans="1:16" ht="12.75" customHeight="1">
      <c r="A52" s="12" t="s">
        <v>39</v>
      </c>
      <c r="B52" s="12"/>
      <c r="C52" s="22" t="s">
        <v>77</v>
      </c>
      <c r="D52" s="81">
        <v>0.4123</v>
      </c>
      <c r="E52" s="25">
        <f t="shared" si="15"/>
        <v>0.4123</v>
      </c>
      <c r="F52" s="25">
        <f t="shared" si="15"/>
        <v>0.4123</v>
      </c>
      <c r="G52" s="81">
        <v>0.2742</v>
      </c>
      <c r="H52" s="25">
        <f t="shared" si="16"/>
        <v>0.2742</v>
      </c>
      <c r="I52" s="25">
        <f t="shared" si="16"/>
        <v>0.2742</v>
      </c>
      <c r="J52" s="25">
        <v>0</v>
      </c>
      <c r="K52" s="25">
        <f t="shared" si="17"/>
        <v>0</v>
      </c>
      <c r="L52" s="25">
        <f t="shared" si="17"/>
        <v>0</v>
      </c>
      <c r="M52" s="25">
        <f>G52</f>
        <v>0.2742</v>
      </c>
      <c r="N52" s="25">
        <f>M52</f>
        <v>0.2742</v>
      </c>
      <c r="O52" s="25">
        <f>D52</f>
        <v>0.4123</v>
      </c>
      <c r="P52" s="12"/>
    </row>
    <row r="53" spans="1:16" ht="12.75" customHeight="1">
      <c r="A53" s="12"/>
      <c r="B53" s="26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ht="12.75" customHeight="1">
      <c r="A54" s="13" t="s">
        <v>40</v>
      </c>
      <c r="B54" s="26"/>
      <c r="C54" s="26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ht="12.75" customHeight="1">
      <c r="A55" s="12" t="s">
        <v>37</v>
      </c>
      <c r="B55" s="12"/>
      <c r="C55" s="12"/>
      <c r="D55" s="16">
        <f t="shared" ref="D55:O57" si="18">ROUND(D$48*D50*D62,0)</f>
        <v>0</v>
      </c>
      <c r="E55" s="16">
        <f t="shared" si="18"/>
        <v>0</v>
      </c>
      <c r="F55" s="16">
        <f t="shared" si="18"/>
        <v>0</v>
      </c>
      <c r="G55" s="16">
        <f t="shared" si="18"/>
        <v>0</v>
      </c>
      <c r="H55" s="16">
        <f t="shared" si="18"/>
        <v>0</v>
      </c>
      <c r="I55" s="16">
        <f t="shared" si="18"/>
        <v>0</v>
      </c>
      <c r="J55" s="16">
        <f t="shared" si="18"/>
        <v>0</v>
      </c>
      <c r="K55" s="16">
        <f t="shared" si="18"/>
        <v>0</v>
      </c>
      <c r="L55" s="16">
        <f t="shared" si="18"/>
        <v>0</v>
      </c>
      <c r="M55" s="16">
        <f t="shared" si="18"/>
        <v>-447200</v>
      </c>
      <c r="N55" s="16">
        <f t="shared" si="18"/>
        <v>-132666</v>
      </c>
      <c r="O55" s="16">
        <f t="shared" si="18"/>
        <v>-540867</v>
      </c>
      <c r="P55" s="16">
        <f>SUM(D55:O55)</f>
        <v>-1120733</v>
      </c>
    </row>
    <row r="56" spans="1:16" ht="12.75" customHeight="1">
      <c r="A56" s="12" t="s">
        <v>38</v>
      </c>
      <c r="B56" s="12"/>
      <c r="C56" s="12"/>
      <c r="D56" s="16">
        <f t="shared" si="18"/>
        <v>0</v>
      </c>
      <c r="E56" s="16">
        <f t="shared" si="18"/>
        <v>0</v>
      </c>
      <c r="F56" s="16">
        <f t="shared" si="18"/>
        <v>0</v>
      </c>
      <c r="G56" s="16">
        <f t="shared" si="18"/>
        <v>0</v>
      </c>
      <c r="H56" s="16">
        <f t="shared" si="18"/>
        <v>0</v>
      </c>
      <c r="I56" s="16">
        <f t="shared" si="18"/>
        <v>0</v>
      </c>
      <c r="J56" s="16">
        <f t="shared" si="18"/>
        <v>0</v>
      </c>
      <c r="K56" s="16">
        <f t="shared" si="18"/>
        <v>0</v>
      </c>
      <c r="L56" s="16">
        <f t="shared" si="18"/>
        <v>0</v>
      </c>
      <c r="M56" s="16">
        <f t="shared" si="18"/>
        <v>-86994</v>
      </c>
      <c r="N56" s="16">
        <f t="shared" si="18"/>
        <v>-25655</v>
      </c>
      <c r="O56" s="16">
        <f t="shared" si="18"/>
        <v>-122847</v>
      </c>
      <c r="P56" s="16">
        <f>SUM(D56:O56)</f>
        <v>-235496</v>
      </c>
    </row>
    <row r="57" spans="1:16" ht="12.75" customHeight="1">
      <c r="A57" s="12" t="s">
        <v>39</v>
      </c>
      <c r="B57" s="12"/>
      <c r="C57" s="12"/>
      <c r="D57" s="16">
        <f t="shared" si="18"/>
        <v>0</v>
      </c>
      <c r="E57" s="16">
        <f t="shared" si="18"/>
        <v>0</v>
      </c>
      <c r="F57" s="16">
        <f t="shared" si="18"/>
        <v>0</v>
      </c>
      <c r="G57" s="16">
        <f t="shared" si="18"/>
        <v>0</v>
      </c>
      <c r="H57" s="16">
        <f t="shared" si="18"/>
        <v>0</v>
      </c>
      <c r="I57" s="16">
        <f t="shared" si="18"/>
        <v>0</v>
      </c>
      <c r="J57" s="16">
        <f t="shared" si="18"/>
        <v>0</v>
      </c>
      <c r="K57" s="16">
        <f t="shared" si="18"/>
        <v>0</v>
      </c>
      <c r="L57" s="16">
        <f t="shared" si="18"/>
        <v>0</v>
      </c>
      <c r="M57" s="16">
        <f t="shared" si="18"/>
        <v>-1038</v>
      </c>
      <c r="N57" s="16">
        <f t="shared" si="18"/>
        <v>-317</v>
      </c>
      <c r="O57" s="16">
        <f t="shared" si="18"/>
        <v>-1488</v>
      </c>
      <c r="P57" s="16">
        <f>SUM(D57:O57)</f>
        <v>-2843</v>
      </c>
    </row>
    <row r="58" spans="1:16" ht="12.75" customHeight="1">
      <c r="A58" s="12" t="s">
        <v>41</v>
      </c>
      <c r="B58" s="12"/>
      <c r="C58" s="12"/>
      <c r="D58" s="27">
        <f>SUM(D55:D57)</f>
        <v>0</v>
      </c>
      <c r="E58" s="27">
        <f>SUM(E55:E57)</f>
        <v>0</v>
      </c>
      <c r="F58" s="27">
        <f>SUM(F55:F57)</f>
        <v>0</v>
      </c>
      <c r="G58" s="27">
        <f t="shared" ref="G58:P58" si="19">SUM(G55:G57)</f>
        <v>0</v>
      </c>
      <c r="H58" s="27">
        <f t="shared" si="19"/>
        <v>0</v>
      </c>
      <c r="I58" s="27">
        <f t="shared" si="19"/>
        <v>0</v>
      </c>
      <c r="J58" s="27">
        <f t="shared" si="19"/>
        <v>0</v>
      </c>
      <c r="K58" s="27">
        <f t="shared" si="19"/>
        <v>0</v>
      </c>
      <c r="L58" s="27">
        <f t="shared" si="19"/>
        <v>0</v>
      </c>
      <c r="M58" s="27">
        <f t="shared" si="19"/>
        <v>-535232</v>
      </c>
      <c r="N58" s="27">
        <f t="shared" si="19"/>
        <v>-158638</v>
      </c>
      <c r="O58" s="27">
        <f t="shared" si="19"/>
        <v>-665202</v>
      </c>
      <c r="P58" s="27">
        <f t="shared" si="19"/>
        <v>-1359072</v>
      </c>
    </row>
    <row r="59" spans="1:16" ht="12.75" customHeight="1">
      <c r="A59" s="12"/>
      <c r="B59" s="12"/>
      <c r="C59" s="12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1:16" ht="12.75" customHeight="1">
      <c r="A60" s="11" t="s">
        <v>44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ht="12.75" customHeight="1">
      <c r="A61" s="11"/>
      <c r="B61" s="12" t="s">
        <v>45</v>
      </c>
      <c r="C61" s="29"/>
      <c r="D61" s="29">
        <v>40544</v>
      </c>
      <c r="E61" s="29">
        <v>40575</v>
      </c>
      <c r="F61" s="29">
        <v>40603</v>
      </c>
      <c r="G61" s="29">
        <v>40634</v>
      </c>
      <c r="H61" s="29">
        <v>40664</v>
      </c>
      <c r="I61" s="29">
        <v>40695</v>
      </c>
      <c r="J61" s="29">
        <v>40725</v>
      </c>
      <c r="K61" s="29">
        <v>40756</v>
      </c>
      <c r="L61" s="29">
        <v>40787</v>
      </c>
      <c r="M61" s="29">
        <v>40817</v>
      </c>
      <c r="N61" s="29">
        <v>40848</v>
      </c>
      <c r="O61" s="29">
        <v>40878</v>
      </c>
      <c r="P61" s="30" t="s">
        <v>56</v>
      </c>
    </row>
    <row r="62" spans="1:16" ht="12.75" customHeight="1">
      <c r="A62" s="12" t="s">
        <v>46</v>
      </c>
      <c r="B62" s="31" t="s">
        <v>47</v>
      </c>
      <c r="C62" s="32" t="s">
        <v>78</v>
      </c>
      <c r="D62" s="16">
        <v>133846</v>
      </c>
      <c r="E62" s="16">
        <v>133692</v>
      </c>
      <c r="F62" s="16">
        <v>133670</v>
      </c>
      <c r="G62" s="16">
        <v>133479</v>
      </c>
      <c r="H62" s="16">
        <v>133443</v>
      </c>
      <c r="I62" s="16">
        <v>133197</v>
      </c>
      <c r="J62" s="16">
        <v>133325</v>
      </c>
      <c r="K62" s="16">
        <v>133519</v>
      </c>
      <c r="L62" s="16">
        <v>133444</v>
      </c>
      <c r="M62" s="16">
        <v>133732</v>
      </c>
      <c r="N62" s="16">
        <v>134277</v>
      </c>
      <c r="O62" s="16">
        <v>134611</v>
      </c>
      <c r="P62" s="16">
        <f>SUM(D62:O62)</f>
        <v>1604235</v>
      </c>
    </row>
    <row r="63" spans="1:16" ht="12.75" customHeight="1">
      <c r="A63" s="12" t="s">
        <v>48</v>
      </c>
      <c r="B63" s="31" t="s">
        <v>49</v>
      </c>
      <c r="C63" s="32" t="s">
        <v>78</v>
      </c>
      <c r="D63" s="16">
        <v>11925</v>
      </c>
      <c r="E63" s="16">
        <v>11939</v>
      </c>
      <c r="F63" s="16">
        <v>11910</v>
      </c>
      <c r="G63" s="16">
        <v>11896</v>
      </c>
      <c r="H63" s="16">
        <v>11896</v>
      </c>
      <c r="I63" s="16">
        <v>11884</v>
      </c>
      <c r="J63" s="16">
        <v>11825</v>
      </c>
      <c r="K63" s="16">
        <v>11854</v>
      </c>
      <c r="L63" s="16">
        <v>11878</v>
      </c>
      <c r="M63" s="16">
        <v>11889</v>
      </c>
      <c r="N63" s="16">
        <v>11867</v>
      </c>
      <c r="O63" s="16">
        <v>11890</v>
      </c>
      <c r="P63" s="16">
        <f>SUM(D63:O63)</f>
        <v>142653</v>
      </c>
    </row>
    <row r="64" spans="1:16" ht="12.75" customHeight="1">
      <c r="A64" s="12" t="s">
        <v>50</v>
      </c>
      <c r="B64" s="31" t="s">
        <v>51</v>
      </c>
      <c r="C64" s="32" t="s">
        <v>78</v>
      </c>
      <c r="D64" s="16">
        <v>82</v>
      </c>
      <c r="E64" s="16">
        <v>80</v>
      </c>
      <c r="F64" s="16">
        <v>80</v>
      </c>
      <c r="G64" s="16">
        <v>82</v>
      </c>
      <c r="H64" s="16">
        <v>84</v>
      </c>
      <c r="I64" s="16">
        <v>85</v>
      </c>
      <c r="J64" s="16">
        <v>83</v>
      </c>
      <c r="K64" s="16">
        <v>86</v>
      </c>
      <c r="L64" s="16">
        <v>83</v>
      </c>
      <c r="M64" s="16">
        <v>86</v>
      </c>
      <c r="N64" s="16">
        <v>89</v>
      </c>
      <c r="O64" s="16">
        <v>88</v>
      </c>
      <c r="P64" s="16">
        <f>SUM(D64:O64)</f>
        <v>1008</v>
      </c>
    </row>
    <row r="65" spans="1:16" ht="12.75" customHeight="1">
      <c r="A65" s="12" t="s">
        <v>52</v>
      </c>
      <c r="B65" s="31" t="s">
        <v>53</v>
      </c>
      <c r="C65" s="32" t="s">
        <v>78</v>
      </c>
      <c r="D65" s="16">
        <v>29</v>
      </c>
      <c r="E65" s="16">
        <v>32</v>
      </c>
      <c r="F65" s="16">
        <v>31</v>
      </c>
      <c r="G65" s="16">
        <v>30</v>
      </c>
      <c r="H65" s="16">
        <v>29</v>
      </c>
      <c r="I65" s="16">
        <v>30</v>
      </c>
      <c r="J65" s="16">
        <v>30</v>
      </c>
      <c r="K65" s="16">
        <v>30</v>
      </c>
      <c r="L65" s="16">
        <v>30</v>
      </c>
      <c r="M65" s="16">
        <v>30</v>
      </c>
      <c r="N65" s="16">
        <v>30</v>
      </c>
      <c r="O65" s="16">
        <v>29</v>
      </c>
      <c r="P65" s="16">
        <f>SUM(D65:O65)</f>
        <v>360</v>
      </c>
    </row>
    <row r="66" spans="1:16" ht="12.75" customHeight="1">
      <c r="A66" s="12" t="s">
        <v>43</v>
      </c>
      <c r="B66" s="12"/>
      <c r="C66" s="32"/>
      <c r="D66" s="17">
        <f>SUM(D62:D65)</f>
        <v>145882</v>
      </c>
      <c r="E66" s="17">
        <f>SUM(E62:E65)</f>
        <v>145743</v>
      </c>
      <c r="F66" s="17">
        <f>SUM(F62:F65)</f>
        <v>145691</v>
      </c>
      <c r="G66" s="17">
        <f>SUM(G62:G65)</f>
        <v>145487</v>
      </c>
      <c r="H66" s="17">
        <f t="shared" ref="H66:P66" si="20">SUM(H62:H65)</f>
        <v>145452</v>
      </c>
      <c r="I66" s="17">
        <f t="shared" si="20"/>
        <v>145196</v>
      </c>
      <c r="J66" s="17">
        <f t="shared" si="20"/>
        <v>145263</v>
      </c>
      <c r="K66" s="17">
        <f t="shared" si="20"/>
        <v>145489</v>
      </c>
      <c r="L66" s="17">
        <f t="shared" si="20"/>
        <v>145435</v>
      </c>
      <c r="M66" s="17">
        <f t="shared" si="20"/>
        <v>145737</v>
      </c>
      <c r="N66" s="17">
        <f t="shared" si="20"/>
        <v>146263</v>
      </c>
      <c r="O66" s="17">
        <f t="shared" si="20"/>
        <v>146618</v>
      </c>
      <c r="P66" s="17">
        <f t="shared" si="20"/>
        <v>1748256</v>
      </c>
    </row>
    <row r="67" spans="1:16" ht="12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ht="12.75" customHeight="1">
      <c r="A68" s="13" t="s">
        <v>85</v>
      </c>
      <c r="B68" s="12"/>
      <c r="C68" s="12"/>
      <c r="D68" s="28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ht="12.75" customHeight="1">
      <c r="A69" s="33" t="s">
        <v>84</v>
      </c>
      <c r="B69" s="12"/>
      <c r="C69" s="18"/>
      <c r="D69" s="29">
        <v>41426</v>
      </c>
      <c r="E69" s="29">
        <v>41456</v>
      </c>
      <c r="F69" s="29">
        <v>41487</v>
      </c>
      <c r="G69" s="29">
        <v>41518</v>
      </c>
      <c r="H69" s="29">
        <v>41548</v>
      </c>
      <c r="I69" s="29">
        <v>41579</v>
      </c>
      <c r="J69" s="29">
        <v>41609</v>
      </c>
      <c r="K69" s="29">
        <v>41640</v>
      </c>
      <c r="L69" s="29">
        <v>41671</v>
      </c>
      <c r="M69" s="29">
        <v>41699</v>
      </c>
      <c r="N69" s="29">
        <v>41730</v>
      </c>
      <c r="O69" s="29">
        <v>41760</v>
      </c>
      <c r="P69" s="29">
        <v>41791</v>
      </c>
    </row>
    <row r="70" spans="1:16" ht="12.75" customHeight="1">
      <c r="A70" s="34" t="s">
        <v>84</v>
      </c>
      <c r="B70" s="34"/>
      <c r="C70" s="18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</row>
    <row r="71" spans="1:16" ht="12.75" customHeight="1">
      <c r="A71" s="34" t="s">
        <v>80</v>
      </c>
      <c r="B71" s="34"/>
      <c r="C71" s="18"/>
      <c r="D71" s="39">
        <v>2068502</v>
      </c>
      <c r="E71" s="39">
        <v>1535630</v>
      </c>
      <c r="F71" s="39">
        <v>1588072</v>
      </c>
      <c r="G71" s="39">
        <v>2152053</v>
      </c>
      <c r="H71" s="39">
        <v>6178713</v>
      </c>
      <c r="I71" s="39">
        <v>11043212</v>
      </c>
      <c r="J71" s="39">
        <v>13868821</v>
      </c>
      <c r="K71" s="39"/>
      <c r="L71" s="39"/>
      <c r="M71" s="39"/>
      <c r="N71" s="39"/>
      <c r="O71" s="39"/>
      <c r="P71" s="39"/>
    </row>
    <row r="72" spans="1:16" ht="12.75" customHeight="1">
      <c r="A72" s="18" t="s">
        <v>81</v>
      </c>
      <c r="B72" s="18"/>
      <c r="C72" s="18"/>
      <c r="D72" s="39">
        <v>147321</v>
      </c>
      <c r="E72" s="39">
        <v>147681</v>
      </c>
      <c r="F72" s="39">
        <v>147546</v>
      </c>
      <c r="G72" s="39">
        <v>147523</v>
      </c>
      <c r="H72" s="39">
        <v>147959</v>
      </c>
      <c r="I72" s="39">
        <v>148520</v>
      </c>
      <c r="J72" s="39">
        <v>149039</v>
      </c>
      <c r="K72" s="39">
        <v>1</v>
      </c>
      <c r="L72" s="39">
        <v>1</v>
      </c>
      <c r="M72" s="39">
        <v>1</v>
      </c>
      <c r="N72" s="39">
        <v>1</v>
      </c>
      <c r="O72" s="39">
        <v>1</v>
      </c>
      <c r="P72" s="39">
        <v>1</v>
      </c>
    </row>
    <row r="73" spans="1:16" ht="12.75" customHeight="1">
      <c r="A73" s="18" t="s">
        <v>82</v>
      </c>
      <c r="B73" s="18"/>
      <c r="C73" s="18"/>
      <c r="D73" s="43">
        <f t="shared" ref="D73:P73" si="21">D71/D72</f>
        <v>14.040781694395232</v>
      </c>
      <c r="E73" s="43">
        <f t="shared" si="21"/>
        <v>10.398290910814525</v>
      </c>
      <c r="F73" s="43">
        <f t="shared" si="21"/>
        <v>10.763233161183631</v>
      </c>
      <c r="G73" s="43">
        <f t="shared" si="21"/>
        <v>14.587915104763326</v>
      </c>
      <c r="H73" s="43">
        <f t="shared" si="21"/>
        <v>41.759629356781268</v>
      </c>
      <c r="I73" s="43">
        <f t="shared" si="21"/>
        <v>74.3550498249394</v>
      </c>
      <c r="J73" s="43">
        <f t="shared" si="21"/>
        <v>93.05497889814076</v>
      </c>
      <c r="K73" s="43">
        <f t="shared" si="21"/>
        <v>0</v>
      </c>
      <c r="L73" s="43">
        <f t="shared" si="21"/>
        <v>0</v>
      </c>
      <c r="M73" s="43">
        <f t="shared" si="21"/>
        <v>0</v>
      </c>
      <c r="N73" s="43">
        <f t="shared" si="21"/>
        <v>0</v>
      </c>
      <c r="O73" s="43">
        <f t="shared" si="21"/>
        <v>0</v>
      </c>
      <c r="P73" s="43">
        <f t="shared" si="21"/>
        <v>0</v>
      </c>
    </row>
    <row r="74" spans="1:16" ht="12.75" customHeight="1">
      <c r="A74" s="18" t="s">
        <v>84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 s="70" customFormat="1" ht="12.75" customHeight="1">
      <c r="A75" s="18" t="s">
        <v>83</v>
      </c>
      <c r="B75" s="18"/>
      <c r="C75" s="18"/>
      <c r="D75" s="41">
        <f t="shared" ref="D75:J75" si="22">ROUND(D73*I66,0)</f>
        <v>2038665</v>
      </c>
      <c r="E75" s="41">
        <f t="shared" si="22"/>
        <v>1510487</v>
      </c>
      <c r="F75" s="41">
        <f t="shared" si="22"/>
        <v>1565932</v>
      </c>
      <c r="G75" s="41">
        <f t="shared" si="22"/>
        <v>2121593</v>
      </c>
      <c r="H75" s="41">
        <f t="shared" si="22"/>
        <v>6085923</v>
      </c>
      <c r="I75" s="41">
        <f t="shared" si="22"/>
        <v>10875393</v>
      </c>
      <c r="J75" s="41">
        <f t="shared" si="22"/>
        <v>13643535</v>
      </c>
      <c r="K75" s="41">
        <f t="shared" ref="K75:P75" si="23">ROUND(K73*D66,0)</f>
        <v>0</v>
      </c>
      <c r="L75" s="41">
        <f t="shared" si="23"/>
        <v>0</v>
      </c>
      <c r="M75" s="41">
        <f t="shared" si="23"/>
        <v>0</v>
      </c>
      <c r="N75" s="41">
        <f t="shared" si="23"/>
        <v>0</v>
      </c>
      <c r="O75" s="41">
        <f t="shared" si="23"/>
        <v>0</v>
      </c>
      <c r="P75" s="41">
        <f t="shared" si="23"/>
        <v>0</v>
      </c>
    </row>
    <row r="76" spans="1:16" ht="12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37"/>
    </row>
    <row r="77" spans="1:16" ht="12.75" customHeight="1">
      <c r="A77" s="18"/>
      <c r="B77" s="18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37"/>
    </row>
    <row r="78" spans="1:16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>
      <c r="A79" s="18"/>
      <c r="B79" s="18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37"/>
    </row>
    <row r="80" spans="1:16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</sheetData>
  <customSheetViews>
    <customSheetView guid="{0FD22FF2-1019-47D8-B258-1BB68232F092}" showPageBreaks="1" fitToPage="1" printArea="1" hiddenRows="1" topLeftCell="L100">
      <pane xSplit="5.0714285714285712" topLeftCell="Q1" activePane="topRight"/>
      <selection pane="topRight" activeCell="R1" sqref="R1:V120"/>
      <pageMargins left="0.17" right="0.18" top="0.34" bottom="0.37" header="0.5" footer="0.2"/>
      <printOptions horizontalCentered="1" verticalCentered="1"/>
      <pageSetup scale="77" orientation="portrait" r:id="rId1"/>
      <headerFooter alignWithMargins="0">
        <oddFooter>&amp;Cfile: &amp;F / &amp;A</oddFooter>
      </headerFooter>
    </customSheetView>
    <customSheetView guid="{D4943E0B-60C6-4C0B-BD3A-F3B96E2421DB}" showPageBreaks="1" printArea="1" hiddenRows="1" topLeftCell="A25">
      <selection sqref="A1:P120"/>
      <pageMargins left="0.17" right="0.18" top="0.34" bottom="0.37" header="0.5" footer="0.2"/>
      <printOptions horizontalCentered="1" verticalCentered="1"/>
      <pageSetup scale="60" orientation="landscape" r:id="rId2"/>
      <headerFooter alignWithMargins="0">
        <oddFooter>&amp;Cfile: &amp;F / &amp;A</oddFooter>
      </headerFooter>
    </customSheetView>
    <customSheetView guid="{81D22F57-B9CC-4D89-903B-6E009051802B}" showPageBreaks="1" fitToPage="1" printArea="1" hiddenRows="1" topLeftCell="N1">
      <selection activeCell="R1" sqref="R1:V109"/>
      <pageMargins left="0.17" right="0.18" top="0.34" bottom="0.37" header="0.5" footer="0.2"/>
      <printOptions horizontalCentered="1" verticalCentered="1"/>
      <pageSetup scale="80" orientation="portrait" r:id="rId3"/>
      <headerFooter alignWithMargins="0">
        <oddFooter>&amp;Cfile: &amp;F / &amp;A</oddFooter>
      </headerFooter>
    </customSheetView>
    <customSheetView guid="{A6955850-675F-4B7A-99D7-C52DA0B2D2D6}" scale="60" showPageBreaks="1" printArea="1" hiddenRows="1" view="pageBreakPreview">
      <selection activeCell="B79" sqref="B79"/>
      <pageMargins left="0.17" right="0.18" top="0.34" bottom="0.37" header="0.5" footer="0.2"/>
      <printOptions horizontalCentered="1" verticalCentered="1"/>
      <pageSetup scale="60" orientation="landscape" r:id="rId4"/>
      <headerFooter alignWithMargins="0">
        <oddFooter>&amp;Cfile: &amp;F / &amp;A</oddFooter>
      </headerFooter>
    </customSheetView>
  </customSheetViews>
  <mergeCells count="8">
    <mergeCell ref="A36:P36"/>
    <mergeCell ref="A1:P1"/>
    <mergeCell ref="A2:P2"/>
    <mergeCell ref="A3:P3"/>
    <mergeCell ref="A6:P6"/>
    <mergeCell ref="A4:P4"/>
    <mergeCell ref="A5:P5"/>
    <mergeCell ref="A35:P35"/>
  </mergeCells>
  <printOptions horizontalCentered="1" verticalCentered="1"/>
  <pageMargins left="0.25" right="0.25" top="1.01" bottom="0.73" header="0.5" footer="0.5"/>
  <pageSetup scale="64" orientation="landscape" r:id="rId5"/>
  <headerFooter scaleWithDoc="0" alignWithMargins="0">
    <oddHeader>&amp;CAvista Corporation Natural Gas Decoupling Mechanism
Washington Jurisdiction
Quarterly Report for 4th Quarter 2013</oddHeader>
    <oddFooter>&amp;Cfile: &amp;F / &amp;A&amp;RPage &amp;P of &amp;N</oddFooter>
  </headerFooter>
  <rowBreaks count="1" manualBreakCount="1">
    <brk id="39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104"/>
  <sheetViews>
    <sheetView tabSelected="1" topLeftCell="A80" zoomScaleNormal="100" zoomScaleSheetLayoutView="84" workbookViewId="0">
      <selection activeCell="D13" sqref="D13:G13"/>
    </sheetView>
  </sheetViews>
  <sheetFormatPr defaultColWidth="9.109375" defaultRowHeight="13.2"/>
  <cols>
    <col min="1" max="1" width="15.109375" style="12" customWidth="1"/>
    <col min="2" max="2" width="47.5546875" style="12" customWidth="1"/>
    <col min="3" max="3" width="12.88671875" style="12" customWidth="1"/>
    <col min="4" max="4" width="13.44140625" style="12" customWidth="1"/>
    <col min="5" max="5" width="3.33203125" style="12" customWidth="1"/>
    <col min="6" max="6" width="0.44140625" style="12" customWidth="1"/>
    <col min="7" max="7" width="9.109375" style="12"/>
    <col min="8" max="8" width="10.88671875" style="12" bestFit="1" customWidth="1"/>
    <col min="9" max="16384" width="9.109375" style="12"/>
  </cols>
  <sheetData>
    <row r="1" spans="1:5">
      <c r="A1" s="198" t="s">
        <v>87</v>
      </c>
      <c r="B1" s="198"/>
      <c r="C1" s="198"/>
      <c r="D1" s="198"/>
      <c r="E1" s="198"/>
    </row>
    <row r="3" spans="1:5">
      <c r="A3" s="135" t="s">
        <v>136</v>
      </c>
      <c r="B3" s="135"/>
      <c r="C3" s="135"/>
      <c r="D3" s="135"/>
    </row>
    <row r="4" spans="1:5">
      <c r="A4" s="20"/>
      <c r="B4" s="20"/>
      <c r="C4" s="20"/>
      <c r="D4" s="20"/>
    </row>
    <row r="5" spans="1:5" ht="16.5" customHeight="1">
      <c r="A5" s="140" t="s">
        <v>88</v>
      </c>
      <c r="B5" s="136" t="s">
        <v>89</v>
      </c>
      <c r="C5" s="137" t="s">
        <v>90</v>
      </c>
      <c r="D5" s="137" t="s">
        <v>91</v>
      </c>
    </row>
    <row r="6" spans="1:5">
      <c r="A6" s="20"/>
      <c r="B6" s="20"/>
      <c r="C6" s="20"/>
      <c r="D6" s="20"/>
    </row>
    <row r="7" spans="1:5" ht="26.4">
      <c r="A7" s="138" t="s">
        <v>92</v>
      </c>
      <c r="B7" s="139" t="s">
        <v>93</v>
      </c>
      <c r="C7" s="138" t="s">
        <v>94</v>
      </c>
      <c r="D7" s="138" t="s">
        <v>95</v>
      </c>
    </row>
    <row r="8" spans="1:5">
      <c r="A8" s="140" t="s">
        <v>137</v>
      </c>
      <c r="B8" s="141">
        <v>11331</v>
      </c>
      <c r="C8" s="142">
        <v>-181565</v>
      </c>
      <c r="D8" s="141">
        <v>-170234</v>
      </c>
    </row>
    <row r="9" spans="1:5">
      <c r="A9" s="140" t="s">
        <v>138</v>
      </c>
      <c r="B9" s="141">
        <v>-170234</v>
      </c>
      <c r="C9" s="142">
        <v>102789</v>
      </c>
      <c r="D9" s="141">
        <v>-67445</v>
      </c>
    </row>
    <row r="10" spans="1:5">
      <c r="A10" s="140" t="s">
        <v>139</v>
      </c>
      <c r="B10" s="141">
        <v>-67445</v>
      </c>
      <c r="C10" s="142">
        <v>-23818</v>
      </c>
      <c r="D10" s="141">
        <v>-91263</v>
      </c>
    </row>
    <row r="11" spans="1:5">
      <c r="A11" s="143"/>
      <c r="B11" s="144"/>
      <c r="C11" s="150" t="s">
        <v>140</v>
      </c>
      <c r="D11" s="144"/>
    </row>
    <row r="12" spans="1:5">
      <c r="A12" s="47"/>
      <c r="B12" s="48"/>
      <c r="C12" s="49"/>
      <c r="D12" s="48"/>
    </row>
    <row r="14" spans="1:5">
      <c r="A14" s="135" t="s">
        <v>136</v>
      </c>
      <c r="B14" s="135"/>
      <c r="C14" s="135"/>
      <c r="D14" s="135"/>
    </row>
    <row r="15" spans="1:5">
      <c r="A15" s="20"/>
      <c r="B15" s="20"/>
      <c r="C15" s="20"/>
      <c r="D15" s="20"/>
    </row>
    <row r="16" spans="1:5" ht="15.75" customHeight="1">
      <c r="A16" s="140" t="s">
        <v>98</v>
      </c>
      <c r="B16" s="136" t="s">
        <v>99</v>
      </c>
      <c r="C16" s="137" t="s">
        <v>90</v>
      </c>
      <c r="D16" s="137" t="s">
        <v>91</v>
      </c>
    </row>
    <row r="17" spans="1:16">
      <c r="A17" s="20"/>
      <c r="B17" s="20"/>
      <c r="C17" s="20"/>
      <c r="D17" s="20"/>
    </row>
    <row r="18" spans="1:16" ht="26.4">
      <c r="A18" s="138" t="s">
        <v>92</v>
      </c>
      <c r="B18" s="139" t="s">
        <v>93</v>
      </c>
      <c r="C18" s="138" t="s">
        <v>94</v>
      </c>
      <c r="D18" s="138" t="s">
        <v>95</v>
      </c>
    </row>
    <row r="19" spans="1:16">
      <c r="A19" s="140" t="s">
        <v>137</v>
      </c>
      <c r="B19" s="141">
        <v>0</v>
      </c>
      <c r="C19" s="142">
        <v>0</v>
      </c>
      <c r="D19" s="141">
        <v>0</v>
      </c>
      <c r="E19" s="18"/>
    </row>
    <row r="20" spans="1:16">
      <c r="A20" s="140" t="s">
        <v>138</v>
      </c>
      <c r="B20" s="141">
        <v>0</v>
      </c>
      <c r="C20" s="142">
        <v>0</v>
      </c>
      <c r="D20" s="141">
        <v>0</v>
      </c>
      <c r="F20" s="18"/>
    </row>
    <row r="21" spans="1:16">
      <c r="A21" s="140" t="s">
        <v>139</v>
      </c>
      <c r="B21" s="141">
        <v>0</v>
      </c>
      <c r="C21" s="142">
        <v>0</v>
      </c>
      <c r="D21" s="141">
        <v>0</v>
      </c>
    </row>
    <row r="22" spans="1:16">
      <c r="A22" s="143"/>
      <c r="B22" s="144"/>
      <c r="C22" s="150" t="s">
        <v>130</v>
      </c>
      <c r="D22" s="144"/>
      <c r="P22" s="50"/>
    </row>
    <row r="23" spans="1:16">
      <c r="A23" s="47"/>
      <c r="B23" s="48"/>
      <c r="C23" s="49"/>
      <c r="D23" s="48"/>
      <c r="P23" s="50"/>
    </row>
    <row r="24" spans="1:16">
      <c r="A24"/>
      <c r="B24"/>
      <c r="C24"/>
      <c r="D24"/>
    </row>
    <row r="25" spans="1:16">
      <c r="A25" s="135" t="s">
        <v>136</v>
      </c>
      <c r="B25" s="135"/>
      <c r="C25" s="135"/>
      <c r="D25" s="135"/>
    </row>
    <row r="26" spans="1:16">
      <c r="A26" s="20"/>
      <c r="B26" s="20"/>
      <c r="C26" s="20"/>
      <c r="D26" s="20"/>
    </row>
    <row r="27" spans="1:16">
      <c r="A27" s="140" t="s">
        <v>96</v>
      </c>
      <c r="B27" s="136" t="s">
        <v>97</v>
      </c>
      <c r="C27" s="137" t="s">
        <v>90</v>
      </c>
      <c r="D27" s="137" t="s">
        <v>91</v>
      </c>
    </row>
    <row r="28" spans="1:16">
      <c r="A28" s="44"/>
      <c r="B28" s="45"/>
      <c r="C28" s="46"/>
      <c r="D28" s="46"/>
    </row>
    <row r="29" spans="1:16" ht="26.4">
      <c r="A29" s="138" t="s">
        <v>92</v>
      </c>
      <c r="B29" s="139" t="s">
        <v>93</v>
      </c>
      <c r="C29" s="138" t="s">
        <v>94</v>
      </c>
      <c r="D29" s="138" t="s">
        <v>95</v>
      </c>
      <c r="H29" s="12" t="s">
        <v>135</v>
      </c>
    </row>
    <row r="30" spans="1:16">
      <c r="A30" s="140" t="s">
        <v>137</v>
      </c>
      <c r="B30" s="141">
        <v>7503.4000000000005</v>
      </c>
      <c r="C30" s="142">
        <v>20.32</v>
      </c>
      <c r="D30" s="141">
        <v>7523.72</v>
      </c>
      <c r="H30" s="50">
        <f>D30+D41</f>
        <v>5230.08</v>
      </c>
    </row>
    <row r="31" spans="1:16">
      <c r="A31" s="140" t="s">
        <v>138</v>
      </c>
      <c r="B31" s="141">
        <v>7523.72</v>
      </c>
      <c r="C31" s="142">
        <v>20.38</v>
      </c>
      <c r="D31" s="141">
        <v>7544.1</v>
      </c>
      <c r="H31" s="50">
        <f t="shared" ref="H31:H32" si="0">D31+D42</f>
        <v>5260.8600000000006</v>
      </c>
    </row>
    <row r="32" spans="1:16">
      <c r="A32" s="140" t="s">
        <v>139</v>
      </c>
      <c r="B32" s="141">
        <v>7544.1</v>
      </c>
      <c r="C32" s="142">
        <v>20.43</v>
      </c>
      <c r="D32" s="141">
        <v>7564.53</v>
      </c>
      <c r="E32" s="194" t="s">
        <v>193</v>
      </c>
      <c r="F32" s="18"/>
      <c r="H32" s="50">
        <f t="shared" si="0"/>
        <v>5285.5199999999995</v>
      </c>
      <c r="O32" s="34"/>
    </row>
    <row r="33" spans="1:5">
      <c r="A33" s="143"/>
      <c r="B33" s="144"/>
      <c r="C33" s="150" t="s">
        <v>141</v>
      </c>
      <c r="D33" s="144"/>
    </row>
    <row r="34" spans="1:5">
      <c r="A34" s="47"/>
      <c r="B34" s="48"/>
      <c r="C34" s="73"/>
      <c r="D34" s="48"/>
    </row>
    <row r="35" spans="1:5">
      <c r="A35" s="47"/>
      <c r="B35" s="48"/>
      <c r="C35" s="73"/>
      <c r="D35" s="48"/>
    </row>
    <row r="36" spans="1:5">
      <c r="A36" s="135" t="s">
        <v>136</v>
      </c>
      <c r="B36" s="135"/>
      <c r="C36" s="135"/>
      <c r="D36" s="135"/>
    </row>
    <row r="37" spans="1:5">
      <c r="A37" s="74"/>
      <c r="B37" s="74"/>
      <c r="C37" s="74"/>
      <c r="D37" s="74"/>
    </row>
    <row r="38" spans="1:5">
      <c r="A38" s="140" t="s">
        <v>110</v>
      </c>
      <c r="B38" s="136" t="s">
        <v>111</v>
      </c>
      <c r="C38" s="137" t="s">
        <v>90</v>
      </c>
      <c r="D38" s="137" t="s">
        <v>91</v>
      </c>
    </row>
    <row r="39" spans="1:5">
      <c r="A39" s="74"/>
      <c r="B39" s="74"/>
      <c r="C39" s="74"/>
      <c r="D39" s="74"/>
    </row>
    <row r="40" spans="1:5" ht="26.4">
      <c r="A40" s="138" t="s">
        <v>92</v>
      </c>
      <c r="B40" s="139" t="s">
        <v>93</v>
      </c>
      <c r="C40" s="138" t="s">
        <v>94</v>
      </c>
      <c r="D40" s="138" t="s">
        <v>95</v>
      </c>
    </row>
    <row r="41" spans="1:5">
      <c r="A41" s="140" t="s">
        <v>137</v>
      </c>
      <c r="B41" s="141">
        <v>-2656.7200000000003</v>
      </c>
      <c r="C41" s="142">
        <v>363.08</v>
      </c>
      <c r="D41" s="141">
        <v>-2293.64</v>
      </c>
    </row>
    <row r="42" spans="1:5">
      <c r="A42" s="140" t="s">
        <v>138</v>
      </c>
      <c r="B42" s="141">
        <v>-2293.64</v>
      </c>
      <c r="C42" s="142">
        <v>10.4</v>
      </c>
      <c r="D42" s="141">
        <v>-2283.2400000000002</v>
      </c>
    </row>
    <row r="43" spans="1:5">
      <c r="A43" s="140" t="s">
        <v>139</v>
      </c>
      <c r="B43" s="141">
        <v>-2283.2400000000002</v>
      </c>
      <c r="C43" s="142">
        <v>4.2300000000000004</v>
      </c>
      <c r="D43" s="141">
        <v>-2279.0100000000002</v>
      </c>
      <c r="E43" s="194" t="s">
        <v>193</v>
      </c>
    </row>
    <row r="44" spans="1:5">
      <c r="A44" s="143"/>
      <c r="B44" s="144"/>
      <c r="C44" s="150" t="s">
        <v>142</v>
      </c>
      <c r="D44" s="144"/>
    </row>
    <row r="45" spans="1:5">
      <c r="A45" s="47"/>
      <c r="B45" s="48"/>
      <c r="C45" s="49"/>
      <c r="D45" s="48"/>
    </row>
    <row r="47" spans="1:5">
      <c r="A47" s="135" t="s">
        <v>136</v>
      </c>
      <c r="B47" s="135"/>
      <c r="C47" s="135"/>
      <c r="D47" s="135"/>
    </row>
    <row r="48" spans="1:5">
      <c r="A48" s="20"/>
      <c r="B48" s="20"/>
      <c r="C48" s="20"/>
      <c r="D48" s="20"/>
    </row>
    <row r="49" spans="1:8">
      <c r="A49" s="140" t="s">
        <v>100</v>
      </c>
      <c r="B49" s="136" t="s">
        <v>101</v>
      </c>
      <c r="C49" s="137" t="s">
        <v>90</v>
      </c>
      <c r="D49" s="137" t="s">
        <v>91</v>
      </c>
    </row>
    <row r="50" spans="1:8">
      <c r="A50" s="20"/>
      <c r="B50" s="20"/>
      <c r="C50" s="20"/>
      <c r="D50" s="20"/>
    </row>
    <row r="51" spans="1:8" ht="26.4">
      <c r="A51" s="138" t="s">
        <v>92</v>
      </c>
      <c r="B51" s="139" t="s">
        <v>93</v>
      </c>
      <c r="C51" s="138" t="s">
        <v>94</v>
      </c>
      <c r="D51" s="138" t="s">
        <v>95</v>
      </c>
      <c r="H51" s="72" t="s">
        <v>109</v>
      </c>
    </row>
    <row r="52" spans="1:8">
      <c r="A52" s="140" t="s">
        <v>137</v>
      </c>
      <c r="B52" s="141">
        <v>-5662.25</v>
      </c>
      <c r="C52" s="142">
        <v>63413.560000000005</v>
      </c>
      <c r="D52" s="141">
        <v>57751.31</v>
      </c>
      <c r="H52" s="71">
        <f>(D8+D19+D30+D41)*-0.35</f>
        <v>57751.372000000003</v>
      </c>
    </row>
    <row r="53" spans="1:8">
      <c r="A53" s="140" t="s">
        <v>138</v>
      </c>
      <c r="B53" s="141">
        <v>57751.31</v>
      </c>
      <c r="C53" s="142">
        <v>-35986.92</v>
      </c>
      <c r="D53" s="141">
        <v>21764.39</v>
      </c>
      <c r="H53" s="71">
        <f>(D9+D20+D31+D42)*-0.35</f>
        <v>21764.448999999997</v>
      </c>
    </row>
    <row r="54" spans="1:8">
      <c r="A54" s="140" t="s">
        <v>139</v>
      </c>
      <c r="B54" s="141">
        <v>21764.39</v>
      </c>
      <c r="C54" s="142">
        <v>8327.67</v>
      </c>
      <c r="D54" s="141">
        <v>30092.06</v>
      </c>
      <c r="H54" s="71">
        <f>(D10+D21+D32+D43)*-0.35</f>
        <v>30092.117999999995</v>
      </c>
    </row>
    <row r="55" spans="1:8">
      <c r="A55" s="143"/>
      <c r="B55" s="144"/>
      <c r="C55" s="150" t="s">
        <v>143</v>
      </c>
      <c r="D55" s="144"/>
    </row>
    <row r="57" spans="1:8">
      <c r="A57" s="198" t="s">
        <v>102</v>
      </c>
      <c r="B57" s="198"/>
      <c r="C57" s="198"/>
      <c r="D57" s="198"/>
      <c r="E57" s="198"/>
    </row>
    <row r="59" spans="1:8">
      <c r="A59" s="135" t="s">
        <v>136</v>
      </c>
      <c r="B59" s="135"/>
      <c r="C59" s="135"/>
      <c r="D59" s="135"/>
    </row>
    <row r="60" spans="1:8">
      <c r="A60" s="20"/>
      <c r="B60" s="20"/>
      <c r="C60" s="20"/>
      <c r="D60" s="20"/>
    </row>
    <row r="61" spans="1:8">
      <c r="A61" s="140" t="s">
        <v>103</v>
      </c>
      <c r="B61" s="136" t="s">
        <v>104</v>
      </c>
      <c r="C61" s="137" t="s">
        <v>90</v>
      </c>
      <c r="D61" s="137" t="s">
        <v>91</v>
      </c>
    </row>
    <row r="62" spans="1:8">
      <c r="A62" s="20"/>
      <c r="B62" s="20"/>
      <c r="C62" s="20"/>
      <c r="D62" s="20"/>
    </row>
    <row r="63" spans="1:8" ht="26.4">
      <c r="A63" s="138" t="s">
        <v>92</v>
      </c>
      <c r="B63" s="139" t="s">
        <v>93</v>
      </c>
      <c r="C63" s="138" t="s">
        <v>94</v>
      </c>
      <c r="D63" s="138" t="s">
        <v>95</v>
      </c>
    </row>
    <row r="64" spans="1:8">
      <c r="A64" s="140" t="s">
        <v>137</v>
      </c>
      <c r="B64" s="141">
        <v>-395466</v>
      </c>
      <c r="C64" s="142">
        <v>0</v>
      </c>
      <c r="D64" s="141">
        <v>-395466</v>
      </c>
    </row>
    <row r="65" spans="1:4">
      <c r="A65" s="140" t="s">
        <v>138</v>
      </c>
      <c r="B65" s="141">
        <v>-395466</v>
      </c>
      <c r="C65" s="142">
        <v>-102789</v>
      </c>
      <c r="D65" s="141">
        <v>-498255</v>
      </c>
    </row>
    <row r="66" spans="1:4">
      <c r="A66" s="140" t="s">
        <v>139</v>
      </c>
      <c r="B66" s="141">
        <v>-498255</v>
      </c>
      <c r="C66" s="142">
        <v>0</v>
      </c>
      <c r="D66" s="141">
        <v>-498255</v>
      </c>
    </row>
    <row r="67" spans="1:4">
      <c r="A67" s="143"/>
      <c r="B67" s="144"/>
      <c r="C67" s="150" t="s">
        <v>144</v>
      </c>
      <c r="D67" s="144"/>
    </row>
    <row r="70" spans="1:4">
      <c r="A70" s="135" t="s">
        <v>136</v>
      </c>
      <c r="B70" s="135"/>
      <c r="C70" s="135"/>
      <c r="D70" s="135"/>
    </row>
    <row r="71" spans="1:4">
      <c r="A71" s="20"/>
      <c r="B71" s="20"/>
      <c r="C71" s="20"/>
      <c r="D71" s="20"/>
    </row>
    <row r="72" spans="1:4">
      <c r="A72" s="140" t="s">
        <v>105</v>
      </c>
      <c r="B72" s="136" t="s">
        <v>106</v>
      </c>
      <c r="C72" s="137" t="s">
        <v>90</v>
      </c>
      <c r="D72" s="137" t="s">
        <v>91</v>
      </c>
    </row>
    <row r="73" spans="1:4">
      <c r="A73" s="20"/>
      <c r="B73" s="20"/>
      <c r="C73" s="20"/>
      <c r="D73" s="20"/>
    </row>
    <row r="74" spans="1:4" ht="26.4">
      <c r="A74" s="138" t="s">
        <v>92</v>
      </c>
      <c r="B74" s="139" t="s">
        <v>93</v>
      </c>
      <c r="C74" s="138" t="s">
        <v>94</v>
      </c>
      <c r="D74" s="138" t="s">
        <v>95</v>
      </c>
    </row>
    <row r="75" spans="1:4">
      <c r="A75" s="140" t="s">
        <v>137</v>
      </c>
      <c r="B75" s="141">
        <v>384135</v>
      </c>
      <c r="C75" s="142">
        <v>181565</v>
      </c>
      <c r="D75" s="141">
        <v>565700</v>
      </c>
    </row>
    <row r="76" spans="1:4">
      <c r="A76" s="140" t="s">
        <v>138</v>
      </c>
      <c r="B76" s="141">
        <v>565700</v>
      </c>
      <c r="C76" s="142">
        <v>0</v>
      </c>
      <c r="D76" s="141">
        <v>565700</v>
      </c>
    </row>
    <row r="77" spans="1:4">
      <c r="A77" s="140" t="s">
        <v>139</v>
      </c>
      <c r="B77" s="141">
        <v>565700</v>
      </c>
      <c r="C77" s="142">
        <v>23818</v>
      </c>
      <c r="D77" s="141">
        <v>589518</v>
      </c>
    </row>
    <row r="78" spans="1:4">
      <c r="A78" s="143"/>
      <c r="B78" s="144"/>
      <c r="C78" s="150" t="s">
        <v>145</v>
      </c>
      <c r="D78" s="144"/>
    </row>
    <row r="81" spans="1:4">
      <c r="A81" s="135" t="s">
        <v>136</v>
      </c>
      <c r="B81" s="135"/>
      <c r="C81" s="135"/>
      <c r="D81" s="135"/>
    </row>
    <row r="82" spans="1:4">
      <c r="A82" s="20"/>
      <c r="B82" s="20"/>
      <c r="C82" s="20"/>
      <c r="D82" s="20"/>
    </row>
    <row r="83" spans="1:4">
      <c r="A83" s="140" t="s">
        <v>107</v>
      </c>
      <c r="B83" s="136" t="s">
        <v>108</v>
      </c>
      <c r="C83" s="137" t="s">
        <v>90</v>
      </c>
      <c r="D83" s="137" t="s">
        <v>91</v>
      </c>
    </row>
    <row r="84" spans="1:4">
      <c r="A84" s="20"/>
      <c r="B84" s="20"/>
      <c r="C84" s="20"/>
      <c r="D84" s="20"/>
    </row>
    <row r="85" spans="1:4" ht="26.4">
      <c r="A85" s="138" t="s">
        <v>92</v>
      </c>
      <c r="B85" s="139" t="s">
        <v>93</v>
      </c>
      <c r="C85" s="138" t="s">
        <v>94</v>
      </c>
      <c r="D85" s="138" t="s">
        <v>95</v>
      </c>
    </row>
    <row r="86" spans="1:4">
      <c r="A86" s="140" t="s">
        <v>137</v>
      </c>
      <c r="B86" s="141">
        <v>0</v>
      </c>
      <c r="C86" s="142">
        <v>0</v>
      </c>
      <c r="D86" s="141">
        <v>0</v>
      </c>
    </row>
    <row r="87" spans="1:4">
      <c r="A87" s="140" t="s">
        <v>138</v>
      </c>
      <c r="B87" s="141">
        <v>0</v>
      </c>
      <c r="C87" s="142">
        <v>0</v>
      </c>
      <c r="D87" s="141">
        <v>0</v>
      </c>
    </row>
    <row r="88" spans="1:4">
      <c r="A88" s="140" t="s">
        <v>139</v>
      </c>
      <c r="B88" s="141">
        <v>0</v>
      </c>
      <c r="C88" s="142">
        <v>0</v>
      </c>
      <c r="D88" s="141">
        <v>0</v>
      </c>
    </row>
    <row r="89" spans="1:4">
      <c r="A89" s="143"/>
      <c r="B89" s="144"/>
      <c r="C89" s="150" t="s">
        <v>130</v>
      </c>
      <c r="D89" s="144"/>
    </row>
    <row r="92" spans="1:4">
      <c r="A92" s="135" t="s">
        <v>136</v>
      </c>
      <c r="B92" s="135"/>
      <c r="C92" s="135"/>
      <c r="D92" s="135"/>
    </row>
    <row r="93" spans="1:4">
      <c r="A93" s="20"/>
      <c r="B93" s="20"/>
      <c r="C93" s="20"/>
      <c r="D93" s="20"/>
    </row>
    <row r="94" spans="1:4">
      <c r="A94" s="140" t="s">
        <v>112</v>
      </c>
      <c r="B94" s="136" t="s">
        <v>113</v>
      </c>
      <c r="C94" s="137" t="s">
        <v>90</v>
      </c>
      <c r="D94" s="137" t="s">
        <v>91</v>
      </c>
    </row>
    <row r="95" spans="1:4">
      <c r="A95" s="20"/>
      <c r="B95" s="20"/>
      <c r="C95" s="20"/>
      <c r="D95" s="20"/>
    </row>
    <row r="96" spans="1:4" ht="26.4">
      <c r="A96" s="138" t="s">
        <v>92</v>
      </c>
      <c r="B96" s="139" t="s">
        <v>93</v>
      </c>
      <c r="C96" s="138" t="s">
        <v>94</v>
      </c>
      <c r="D96" s="138" t="s">
        <v>95</v>
      </c>
    </row>
    <row r="97" spans="1:4">
      <c r="A97" s="140" t="s">
        <v>137</v>
      </c>
      <c r="B97" s="141">
        <v>-2957.91</v>
      </c>
      <c r="C97" s="142">
        <v>-369.77</v>
      </c>
      <c r="D97" s="141">
        <v>-3327.6800000000003</v>
      </c>
    </row>
    <row r="98" spans="1:4">
      <c r="A98" s="140" t="s">
        <v>138</v>
      </c>
      <c r="B98" s="141">
        <v>-3327.6800000000003</v>
      </c>
      <c r="C98" s="142">
        <v>-16.59</v>
      </c>
      <c r="D98" s="141">
        <v>-3344.27</v>
      </c>
    </row>
    <row r="99" spans="1:4">
      <c r="A99" s="140" t="s">
        <v>139</v>
      </c>
      <c r="B99" s="141">
        <v>-3344.27</v>
      </c>
      <c r="C99" s="142">
        <v>-10.4</v>
      </c>
      <c r="D99" s="141">
        <v>-3354.67</v>
      </c>
    </row>
    <row r="100" spans="1:4">
      <c r="A100" s="143"/>
      <c r="B100" s="144"/>
      <c r="C100" s="150" t="s">
        <v>146</v>
      </c>
      <c r="D100" s="144"/>
    </row>
    <row r="103" spans="1:4" ht="66.75" customHeight="1">
      <c r="A103" s="51" t="s">
        <v>194</v>
      </c>
      <c r="B103" s="199" t="s">
        <v>195</v>
      </c>
      <c r="C103" s="200"/>
      <c r="D103" s="200"/>
    </row>
    <row r="104" spans="1:4" ht="54" customHeight="1">
      <c r="A104" s="132"/>
      <c r="B104" s="201"/>
      <c r="C104" s="201"/>
      <c r="D104" s="201"/>
    </row>
  </sheetData>
  <mergeCells count="4">
    <mergeCell ref="A1:E1"/>
    <mergeCell ref="A57:E57"/>
    <mergeCell ref="B103:D103"/>
    <mergeCell ref="B104:D104"/>
  </mergeCells>
  <printOptions horizontalCentered="1"/>
  <pageMargins left="0.25" right="0.25" top="1.2" bottom="0.73" header="0.5" footer="0.5"/>
  <pageSetup scale="85" orientation="portrait" r:id="rId1"/>
  <headerFooter scaleWithDoc="0" alignWithMargins="0">
    <oddHeader>&amp;CAvista Corporation Natural Gas Decoupling Mechanism
Washington Jurisdiction
Quarterly Report for 4th Quarter 2013</oddHeader>
    <oddFooter>&amp;Cfile: &amp;F / &amp;A&amp;RPage &amp;P of &amp;N</oddFoot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1"/>
  <sheetViews>
    <sheetView tabSelected="1" zoomScaleNormal="100" workbookViewId="0">
      <selection activeCell="D13" sqref="D13:G13"/>
    </sheetView>
  </sheetViews>
  <sheetFormatPr defaultRowHeight="13.2"/>
  <cols>
    <col min="1" max="1" width="11.6640625" style="151" customWidth="1"/>
    <col min="2" max="2" width="14.44140625" style="151" customWidth="1"/>
    <col min="3" max="3" width="11.6640625" style="151" customWidth="1"/>
    <col min="4" max="4" width="8.88671875" style="151"/>
    <col min="5" max="5" width="13.5546875" style="151" customWidth="1"/>
    <col min="6" max="7" width="8.88671875" style="151"/>
    <col min="8" max="8" width="12.5546875" style="151" customWidth="1"/>
    <col min="9" max="9" width="12" style="151" customWidth="1"/>
    <col min="10" max="10" width="13" style="151" customWidth="1"/>
    <col min="11" max="11" width="10.109375" style="151" customWidth="1"/>
    <col min="12" max="12" width="15.33203125" style="151" customWidth="1"/>
    <col min="13" max="13" width="13" style="151" customWidth="1"/>
    <col min="14" max="14" width="8.88671875" style="151"/>
    <col min="15" max="15" width="11.109375" style="151" customWidth="1"/>
    <col min="16" max="16" width="8.88671875" style="151"/>
    <col min="17" max="17" width="11.109375" style="151" bestFit="1" customWidth="1"/>
    <col min="18" max="18" width="12.109375" style="151" customWidth="1"/>
    <col min="19" max="256" width="8.88671875" style="151"/>
    <col min="257" max="257" width="11.6640625" style="151" customWidth="1"/>
    <col min="258" max="258" width="14.44140625" style="151" customWidth="1"/>
    <col min="259" max="259" width="11.6640625" style="151" customWidth="1"/>
    <col min="260" max="260" width="8.88671875" style="151"/>
    <col min="261" max="261" width="13.5546875" style="151" customWidth="1"/>
    <col min="262" max="263" width="8.88671875" style="151"/>
    <col min="264" max="264" width="12.5546875" style="151" customWidth="1"/>
    <col min="265" max="265" width="12" style="151" customWidth="1"/>
    <col min="266" max="266" width="13" style="151" customWidth="1"/>
    <col min="267" max="267" width="10.109375" style="151" customWidth="1"/>
    <col min="268" max="268" width="15.33203125" style="151" customWidth="1"/>
    <col min="269" max="269" width="13" style="151" customWidth="1"/>
    <col min="270" max="270" width="8.88671875" style="151"/>
    <col min="271" max="271" width="11.109375" style="151" customWidth="1"/>
    <col min="272" max="272" width="8.88671875" style="151"/>
    <col min="273" max="273" width="11.109375" style="151" bestFit="1" customWidth="1"/>
    <col min="274" max="274" width="12.109375" style="151" customWidth="1"/>
    <col min="275" max="512" width="8.88671875" style="151"/>
    <col min="513" max="513" width="11.6640625" style="151" customWidth="1"/>
    <col min="514" max="514" width="14.44140625" style="151" customWidth="1"/>
    <col min="515" max="515" width="11.6640625" style="151" customWidth="1"/>
    <col min="516" max="516" width="8.88671875" style="151"/>
    <col min="517" max="517" width="13.5546875" style="151" customWidth="1"/>
    <col min="518" max="519" width="8.88671875" style="151"/>
    <col min="520" max="520" width="12.5546875" style="151" customWidth="1"/>
    <col min="521" max="521" width="12" style="151" customWidth="1"/>
    <col min="522" max="522" width="13" style="151" customWidth="1"/>
    <col min="523" max="523" width="10.109375" style="151" customWidth="1"/>
    <col min="524" max="524" width="15.33203125" style="151" customWidth="1"/>
    <col min="525" max="525" width="13" style="151" customWidth="1"/>
    <col min="526" max="526" width="8.88671875" style="151"/>
    <col min="527" max="527" width="11.109375" style="151" customWidth="1"/>
    <col min="528" max="528" width="8.88671875" style="151"/>
    <col min="529" max="529" width="11.109375" style="151" bestFit="1" customWidth="1"/>
    <col min="530" max="530" width="12.109375" style="151" customWidth="1"/>
    <col min="531" max="768" width="8.88671875" style="151"/>
    <col min="769" max="769" width="11.6640625" style="151" customWidth="1"/>
    <col min="770" max="770" width="14.44140625" style="151" customWidth="1"/>
    <col min="771" max="771" width="11.6640625" style="151" customWidth="1"/>
    <col min="772" max="772" width="8.88671875" style="151"/>
    <col min="773" max="773" width="13.5546875" style="151" customWidth="1"/>
    <col min="774" max="775" width="8.88671875" style="151"/>
    <col min="776" max="776" width="12.5546875" style="151" customWidth="1"/>
    <col min="777" max="777" width="12" style="151" customWidth="1"/>
    <col min="778" max="778" width="13" style="151" customWidth="1"/>
    <col min="779" max="779" width="10.109375" style="151" customWidth="1"/>
    <col min="780" max="780" width="15.33203125" style="151" customWidth="1"/>
    <col min="781" max="781" width="13" style="151" customWidth="1"/>
    <col min="782" max="782" width="8.88671875" style="151"/>
    <col min="783" max="783" width="11.109375" style="151" customWidth="1"/>
    <col min="784" max="784" width="8.88671875" style="151"/>
    <col min="785" max="785" width="11.109375" style="151" bestFit="1" customWidth="1"/>
    <col min="786" max="786" width="12.109375" style="151" customWidth="1"/>
    <col min="787" max="1024" width="8.88671875" style="151"/>
    <col min="1025" max="1025" width="11.6640625" style="151" customWidth="1"/>
    <col min="1026" max="1026" width="14.44140625" style="151" customWidth="1"/>
    <col min="1027" max="1027" width="11.6640625" style="151" customWidth="1"/>
    <col min="1028" max="1028" width="8.88671875" style="151"/>
    <col min="1029" max="1029" width="13.5546875" style="151" customWidth="1"/>
    <col min="1030" max="1031" width="8.88671875" style="151"/>
    <col min="1032" max="1032" width="12.5546875" style="151" customWidth="1"/>
    <col min="1033" max="1033" width="12" style="151" customWidth="1"/>
    <col min="1034" max="1034" width="13" style="151" customWidth="1"/>
    <col min="1035" max="1035" width="10.109375" style="151" customWidth="1"/>
    <col min="1036" max="1036" width="15.33203125" style="151" customWidth="1"/>
    <col min="1037" max="1037" width="13" style="151" customWidth="1"/>
    <col min="1038" max="1038" width="8.88671875" style="151"/>
    <col min="1039" max="1039" width="11.109375" style="151" customWidth="1"/>
    <col min="1040" max="1040" width="8.88671875" style="151"/>
    <col min="1041" max="1041" width="11.109375" style="151" bestFit="1" customWidth="1"/>
    <col min="1042" max="1042" width="12.109375" style="151" customWidth="1"/>
    <col min="1043" max="1280" width="8.88671875" style="151"/>
    <col min="1281" max="1281" width="11.6640625" style="151" customWidth="1"/>
    <col min="1282" max="1282" width="14.44140625" style="151" customWidth="1"/>
    <col min="1283" max="1283" width="11.6640625" style="151" customWidth="1"/>
    <col min="1284" max="1284" width="8.88671875" style="151"/>
    <col min="1285" max="1285" width="13.5546875" style="151" customWidth="1"/>
    <col min="1286" max="1287" width="8.88671875" style="151"/>
    <col min="1288" max="1288" width="12.5546875" style="151" customWidth="1"/>
    <col min="1289" max="1289" width="12" style="151" customWidth="1"/>
    <col min="1290" max="1290" width="13" style="151" customWidth="1"/>
    <col min="1291" max="1291" width="10.109375" style="151" customWidth="1"/>
    <col min="1292" max="1292" width="15.33203125" style="151" customWidth="1"/>
    <col min="1293" max="1293" width="13" style="151" customWidth="1"/>
    <col min="1294" max="1294" width="8.88671875" style="151"/>
    <col min="1295" max="1295" width="11.109375" style="151" customWidth="1"/>
    <col min="1296" max="1296" width="8.88671875" style="151"/>
    <col min="1297" max="1297" width="11.109375" style="151" bestFit="1" customWidth="1"/>
    <col min="1298" max="1298" width="12.109375" style="151" customWidth="1"/>
    <col min="1299" max="1536" width="8.88671875" style="151"/>
    <col min="1537" max="1537" width="11.6640625" style="151" customWidth="1"/>
    <col min="1538" max="1538" width="14.44140625" style="151" customWidth="1"/>
    <col min="1539" max="1539" width="11.6640625" style="151" customWidth="1"/>
    <col min="1540" max="1540" width="8.88671875" style="151"/>
    <col min="1541" max="1541" width="13.5546875" style="151" customWidth="1"/>
    <col min="1542" max="1543" width="8.88671875" style="151"/>
    <col min="1544" max="1544" width="12.5546875" style="151" customWidth="1"/>
    <col min="1545" max="1545" width="12" style="151" customWidth="1"/>
    <col min="1546" max="1546" width="13" style="151" customWidth="1"/>
    <col min="1547" max="1547" width="10.109375" style="151" customWidth="1"/>
    <col min="1548" max="1548" width="15.33203125" style="151" customWidth="1"/>
    <col min="1549" max="1549" width="13" style="151" customWidth="1"/>
    <col min="1550" max="1550" width="8.88671875" style="151"/>
    <col min="1551" max="1551" width="11.109375" style="151" customWidth="1"/>
    <col min="1552" max="1552" width="8.88671875" style="151"/>
    <col min="1553" max="1553" width="11.109375" style="151" bestFit="1" customWidth="1"/>
    <col min="1554" max="1554" width="12.109375" style="151" customWidth="1"/>
    <col min="1555" max="1792" width="8.88671875" style="151"/>
    <col min="1793" max="1793" width="11.6640625" style="151" customWidth="1"/>
    <col min="1794" max="1794" width="14.44140625" style="151" customWidth="1"/>
    <col min="1795" max="1795" width="11.6640625" style="151" customWidth="1"/>
    <col min="1796" max="1796" width="8.88671875" style="151"/>
    <col min="1797" max="1797" width="13.5546875" style="151" customWidth="1"/>
    <col min="1798" max="1799" width="8.88671875" style="151"/>
    <col min="1800" max="1800" width="12.5546875" style="151" customWidth="1"/>
    <col min="1801" max="1801" width="12" style="151" customWidth="1"/>
    <col min="1802" max="1802" width="13" style="151" customWidth="1"/>
    <col min="1803" max="1803" width="10.109375" style="151" customWidth="1"/>
    <col min="1804" max="1804" width="15.33203125" style="151" customWidth="1"/>
    <col min="1805" max="1805" width="13" style="151" customWidth="1"/>
    <col min="1806" max="1806" width="8.88671875" style="151"/>
    <col min="1807" max="1807" width="11.109375" style="151" customWidth="1"/>
    <col min="1808" max="1808" width="8.88671875" style="151"/>
    <col min="1809" max="1809" width="11.109375" style="151" bestFit="1" customWidth="1"/>
    <col min="1810" max="1810" width="12.109375" style="151" customWidth="1"/>
    <col min="1811" max="2048" width="8.88671875" style="151"/>
    <col min="2049" max="2049" width="11.6640625" style="151" customWidth="1"/>
    <col min="2050" max="2050" width="14.44140625" style="151" customWidth="1"/>
    <col min="2051" max="2051" width="11.6640625" style="151" customWidth="1"/>
    <col min="2052" max="2052" width="8.88671875" style="151"/>
    <col min="2053" max="2053" width="13.5546875" style="151" customWidth="1"/>
    <col min="2054" max="2055" width="8.88671875" style="151"/>
    <col min="2056" max="2056" width="12.5546875" style="151" customWidth="1"/>
    <col min="2057" max="2057" width="12" style="151" customWidth="1"/>
    <col min="2058" max="2058" width="13" style="151" customWidth="1"/>
    <col min="2059" max="2059" width="10.109375" style="151" customWidth="1"/>
    <col min="2060" max="2060" width="15.33203125" style="151" customWidth="1"/>
    <col min="2061" max="2061" width="13" style="151" customWidth="1"/>
    <col min="2062" max="2062" width="8.88671875" style="151"/>
    <col min="2063" max="2063" width="11.109375" style="151" customWidth="1"/>
    <col min="2064" max="2064" width="8.88671875" style="151"/>
    <col min="2065" max="2065" width="11.109375" style="151" bestFit="1" customWidth="1"/>
    <col min="2066" max="2066" width="12.109375" style="151" customWidth="1"/>
    <col min="2067" max="2304" width="8.88671875" style="151"/>
    <col min="2305" max="2305" width="11.6640625" style="151" customWidth="1"/>
    <col min="2306" max="2306" width="14.44140625" style="151" customWidth="1"/>
    <col min="2307" max="2307" width="11.6640625" style="151" customWidth="1"/>
    <col min="2308" max="2308" width="8.88671875" style="151"/>
    <col min="2309" max="2309" width="13.5546875" style="151" customWidth="1"/>
    <col min="2310" max="2311" width="8.88671875" style="151"/>
    <col min="2312" max="2312" width="12.5546875" style="151" customWidth="1"/>
    <col min="2313" max="2313" width="12" style="151" customWidth="1"/>
    <col min="2314" max="2314" width="13" style="151" customWidth="1"/>
    <col min="2315" max="2315" width="10.109375" style="151" customWidth="1"/>
    <col min="2316" max="2316" width="15.33203125" style="151" customWidth="1"/>
    <col min="2317" max="2317" width="13" style="151" customWidth="1"/>
    <col min="2318" max="2318" width="8.88671875" style="151"/>
    <col min="2319" max="2319" width="11.109375" style="151" customWidth="1"/>
    <col min="2320" max="2320" width="8.88671875" style="151"/>
    <col min="2321" max="2321" width="11.109375" style="151" bestFit="1" customWidth="1"/>
    <col min="2322" max="2322" width="12.109375" style="151" customWidth="1"/>
    <col min="2323" max="2560" width="8.88671875" style="151"/>
    <col min="2561" max="2561" width="11.6640625" style="151" customWidth="1"/>
    <col min="2562" max="2562" width="14.44140625" style="151" customWidth="1"/>
    <col min="2563" max="2563" width="11.6640625" style="151" customWidth="1"/>
    <col min="2564" max="2564" width="8.88671875" style="151"/>
    <col min="2565" max="2565" width="13.5546875" style="151" customWidth="1"/>
    <col min="2566" max="2567" width="8.88671875" style="151"/>
    <col min="2568" max="2568" width="12.5546875" style="151" customWidth="1"/>
    <col min="2569" max="2569" width="12" style="151" customWidth="1"/>
    <col min="2570" max="2570" width="13" style="151" customWidth="1"/>
    <col min="2571" max="2571" width="10.109375" style="151" customWidth="1"/>
    <col min="2572" max="2572" width="15.33203125" style="151" customWidth="1"/>
    <col min="2573" max="2573" width="13" style="151" customWidth="1"/>
    <col min="2574" max="2574" width="8.88671875" style="151"/>
    <col min="2575" max="2575" width="11.109375" style="151" customWidth="1"/>
    <col min="2576" max="2576" width="8.88671875" style="151"/>
    <col min="2577" max="2577" width="11.109375" style="151" bestFit="1" customWidth="1"/>
    <col min="2578" max="2578" width="12.109375" style="151" customWidth="1"/>
    <col min="2579" max="2816" width="8.88671875" style="151"/>
    <col min="2817" max="2817" width="11.6640625" style="151" customWidth="1"/>
    <col min="2818" max="2818" width="14.44140625" style="151" customWidth="1"/>
    <col min="2819" max="2819" width="11.6640625" style="151" customWidth="1"/>
    <col min="2820" max="2820" width="8.88671875" style="151"/>
    <col min="2821" max="2821" width="13.5546875" style="151" customWidth="1"/>
    <col min="2822" max="2823" width="8.88671875" style="151"/>
    <col min="2824" max="2824" width="12.5546875" style="151" customWidth="1"/>
    <col min="2825" max="2825" width="12" style="151" customWidth="1"/>
    <col min="2826" max="2826" width="13" style="151" customWidth="1"/>
    <col min="2827" max="2827" width="10.109375" style="151" customWidth="1"/>
    <col min="2828" max="2828" width="15.33203125" style="151" customWidth="1"/>
    <col min="2829" max="2829" width="13" style="151" customWidth="1"/>
    <col min="2830" max="2830" width="8.88671875" style="151"/>
    <col min="2831" max="2831" width="11.109375" style="151" customWidth="1"/>
    <col min="2832" max="2832" width="8.88671875" style="151"/>
    <col min="2833" max="2833" width="11.109375" style="151" bestFit="1" customWidth="1"/>
    <col min="2834" max="2834" width="12.109375" style="151" customWidth="1"/>
    <col min="2835" max="3072" width="8.88671875" style="151"/>
    <col min="3073" max="3073" width="11.6640625" style="151" customWidth="1"/>
    <col min="3074" max="3074" width="14.44140625" style="151" customWidth="1"/>
    <col min="3075" max="3075" width="11.6640625" style="151" customWidth="1"/>
    <col min="3076" max="3076" width="8.88671875" style="151"/>
    <col min="3077" max="3077" width="13.5546875" style="151" customWidth="1"/>
    <col min="3078" max="3079" width="8.88671875" style="151"/>
    <col min="3080" max="3080" width="12.5546875" style="151" customWidth="1"/>
    <col min="3081" max="3081" width="12" style="151" customWidth="1"/>
    <col min="3082" max="3082" width="13" style="151" customWidth="1"/>
    <col min="3083" max="3083" width="10.109375" style="151" customWidth="1"/>
    <col min="3084" max="3084" width="15.33203125" style="151" customWidth="1"/>
    <col min="3085" max="3085" width="13" style="151" customWidth="1"/>
    <col min="3086" max="3086" width="8.88671875" style="151"/>
    <col min="3087" max="3087" width="11.109375" style="151" customWidth="1"/>
    <col min="3088" max="3088" width="8.88671875" style="151"/>
    <col min="3089" max="3089" width="11.109375" style="151" bestFit="1" customWidth="1"/>
    <col min="3090" max="3090" width="12.109375" style="151" customWidth="1"/>
    <col min="3091" max="3328" width="8.88671875" style="151"/>
    <col min="3329" max="3329" width="11.6640625" style="151" customWidth="1"/>
    <col min="3330" max="3330" width="14.44140625" style="151" customWidth="1"/>
    <col min="3331" max="3331" width="11.6640625" style="151" customWidth="1"/>
    <col min="3332" max="3332" width="8.88671875" style="151"/>
    <col min="3333" max="3333" width="13.5546875" style="151" customWidth="1"/>
    <col min="3334" max="3335" width="8.88671875" style="151"/>
    <col min="3336" max="3336" width="12.5546875" style="151" customWidth="1"/>
    <col min="3337" max="3337" width="12" style="151" customWidth="1"/>
    <col min="3338" max="3338" width="13" style="151" customWidth="1"/>
    <col min="3339" max="3339" width="10.109375" style="151" customWidth="1"/>
    <col min="3340" max="3340" width="15.33203125" style="151" customWidth="1"/>
    <col min="3341" max="3341" width="13" style="151" customWidth="1"/>
    <col min="3342" max="3342" width="8.88671875" style="151"/>
    <col min="3343" max="3343" width="11.109375" style="151" customWidth="1"/>
    <col min="3344" max="3344" width="8.88671875" style="151"/>
    <col min="3345" max="3345" width="11.109375" style="151" bestFit="1" customWidth="1"/>
    <col min="3346" max="3346" width="12.109375" style="151" customWidth="1"/>
    <col min="3347" max="3584" width="8.88671875" style="151"/>
    <col min="3585" max="3585" width="11.6640625" style="151" customWidth="1"/>
    <col min="3586" max="3586" width="14.44140625" style="151" customWidth="1"/>
    <col min="3587" max="3587" width="11.6640625" style="151" customWidth="1"/>
    <col min="3588" max="3588" width="8.88671875" style="151"/>
    <col min="3589" max="3589" width="13.5546875" style="151" customWidth="1"/>
    <col min="3590" max="3591" width="8.88671875" style="151"/>
    <col min="3592" max="3592" width="12.5546875" style="151" customWidth="1"/>
    <col min="3593" max="3593" width="12" style="151" customWidth="1"/>
    <col min="3594" max="3594" width="13" style="151" customWidth="1"/>
    <col min="3595" max="3595" width="10.109375" style="151" customWidth="1"/>
    <col min="3596" max="3596" width="15.33203125" style="151" customWidth="1"/>
    <col min="3597" max="3597" width="13" style="151" customWidth="1"/>
    <col min="3598" max="3598" width="8.88671875" style="151"/>
    <col min="3599" max="3599" width="11.109375" style="151" customWidth="1"/>
    <col min="3600" max="3600" width="8.88671875" style="151"/>
    <col min="3601" max="3601" width="11.109375" style="151" bestFit="1" customWidth="1"/>
    <col min="3602" max="3602" width="12.109375" style="151" customWidth="1"/>
    <col min="3603" max="3840" width="8.88671875" style="151"/>
    <col min="3841" max="3841" width="11.6640625" style="151" customWidth="1"/>
    <col min="3842" max="3842" width="14.44140625" style="151" customWidth="1"/>
    <col min="3843" max="3843" width="11.6640625" style="151" customWidth="1"/>
    <col min="3844" max="3844" width="8.88671875" style="151"/>
    <col min="3845" max="3845" width="13.5546875" style="151" customWidth="1"/>
    <col min="3846" max="3847" width="8.88671875" style="151"/>
    <col min="3848" max="3848" width="12.5546875" style="151" customWidth="1"/>
    <col min="3849" max="3849" width="12" style="151" customWidth="1"/>
    <col min="3850" max="3850" width="13" style="151" customWidth="1"/>
    <col min="3851" max="3851" width="10.109375" style="151" customWidth="1"/>
    <col min="3852" max="3852" width="15.33203125" style="151" customWidth="1"/>
    <col min="3853" max="3853" width="13" style="151" customWidth="1"/>
    <col min="3854" max="3854" width="8.88671875" style="151"/>
    <col min="3855" max="3855" width="11.109375" style="151" customWidth="1"/>
    <col min="3856" max="3856" width="8.88671875" style="151"/>
    <col min="3857" max="3857" width="11.109375" style="151" bestFit="1" customWidth="1"/>
    <col min="3858" max="3858" width="12.109375" style="151" customWidth="1"/>
    <col min="3859" max="4096" width="8.88671875" style="151"/>
    <col min="4097" max="4097" width="11.6640625" style="151" customWidth="1"/>
    <col min="4098" max="4098" width="14.44140625" style="151" customWidth="1"/>
    <col min="4099" max="4099" width="11.6640625" style="151" customWidth="1"/>
    <col min="4100" max="4100" width="8.88671875" style="151"/>
    <col min="4101" max="4101" width="13.5546875" style="151" customWidth="1"/>
    <col min="4102" max="4103" width="8.88671875" style="151"/>
    <col min="4104" max="4104" width="12.5546875" style="151" customWidth="1"/>
    <col min="4105" max="4105" width="12" style="151" customWidth="1"/>
    <col min="4106" max="4106" width="13" style="151" customWidth="1"/>
    <col min="4107" max="4107" width="10.109375" style="151" customWidth="1"/>
    <col min="4108" max="4108" width="15.33203125" style="151" customWidth="1"/>
    <col min="4109" max="4109" width="13" style="151" customWidth="1"/>
    <col min="4110" max="4110" width="8.88671875" style="151"/>
    <col min="4111" max="4111" width="11.109375" style="151" customWidth="1"/>
    <col min="4112" max="4112" width="8.88671875" style="151"/>
    <col min="4113" max="4113" width="11.109375" style="151" bestFit="1" customWidth="1"/>
    <col min="4114" max="4114" width="12.109375" style="151" customWidth="1"/>
    <col min="4115" max="4352" width="8.88671875" style="151"/>
    <col min="4353" max="4353" width="11.6640625" style="151" customWidth="1"/>
    <col min="4354" max="4354" width="14.44140625" style="151" customWidth="1"/>
    <col min="4355" max="4355" width="11.6640625" style="151" customWidth="1"/>
    <col min="4356" max="4356" width="8.88671875" style="151"/>
    <col min="4357" max="4357" width="13.5546875" style="151" customWidth="1"/>
    <col min="4358" max="4359" width="8.88671875" style="151"/>
    <col min="4360" max="4360" width="12.5546875" style="151" customWidth="1"/>
    <col min="4361" max="4361" width="12" style="151" customWidth="1"/>
    <col min="4362" max="4362" width="13" style="151" customWidth="1"/>
    <col min="4363" max="4363" width="10.109375" style="151" customWidth="1"/>
    <col min="4364" max="4364" width="15.33203125" style="151" customWidth="1"/>
    <col min="4365" max="4365" width="13" style="151" customWidth="1"/>
    <col min="4366" max="4366" width="8.88671875" style="151"/>
    <col min="4367" max="4367" width="11.109375" style="151" customWidth="1"/>
    <col min="4368" max="4368" width="8.88671875" style="151"/>
    <col min="4369" max="4369" width="11.109375" style="151" bestFit="1" customWidth="1"/>
    <col min="4370" max="4370" width="12.109375" style="151" customWidth="1"/>
    <col min="4371" max="4608" width="8.88671875" style="151"/>
    <col min="4609" max="4609" width="11.6640625" style="151" customWidth="1"/>
    <col min="4610" max="4610" width="14.44140625" style="151" customWidth="1"/>
    <col min="4611" max="4611" width="11.6640625" style="151" customWidth="1"/>
    <col min="4612" max="4612" width="8.88671875" style="151"/>
    <col min="4613" max="4613" width="13.5546875" style="151" customWidth="1"/>
    <col min="4614" max="4615" width="8.88671875" style="151"/>
    <col min="4616" max="4616" width="12.5546875" style="151" customWidth="1"/>
    <col min="4617" max="4617" width="12" style="151" customWidth="1"/>
    <col min="4618" max="4618" width="13" style="151" customWidth="1"/>
    <col min="4619" max="4619" width="10.109375" style="151" customWidth="1"/>
    <col min="4620" max="4620" width="15.33203125" style="151" customWidth="1"/>
    <col min="4621" max="4621" width="13" style="151" customWidth="1"/>
    <col min="4622" max="4622" width="8.88671875" style="151"/>
    <col min="4623" max="4623" width="11.109375" style="151" customWidth="1"/>
    <col min="4624" max="4624" width="8.88671875" style="151"/>
    <col min="4625" max="4625" width="11.109375" style="151" bestFit="1" customWidth="1"/>
    <col min="4626" max="4626" width="12.109375" style="151" customWidth="1"/>
    <col min="4627" max="4864" width="8.88671875" style="151"/>
    <col min="4865" max="4865" width="11.6640625" style="151" customWidth="1"/>
    <col min="4866" max="4866" width="14.44140625" style="151" customWidth="1"/>
    <col min="4867" max="4867" width="11.6640625" style="151" customWidth="1"/>
    <col min="4868" max="4868" width="8.88671875" style="151"/>
    <col min="4869" max="4869" width="13.5546875" style="151" customWidth="1"/>
    <col min="4870" max="4871" width="8.88671875" style="151"/>
    <col min="4872" max="4872" width="12.5546875" style="151" customWidth="1"/>
    <col min="4873" max="4873" width="12" style="151" customWidth="1"/>
    <col min="4874" max="4874" width="13" style="151" customWidth="1"/>
    <col min="4875" max="4875" width="10.109375" style="151" customWidth="1"/>
    <col min="4876" max="4876" width="15.33203125" style="151" customWidth="1"/>
    <col min="4877" max="4877" width="13" style="151" customWidth="1"/>
    <col min="4878" max="4878" width="8.88671875" style="151"/>
    <col min="4879" max="4879" width="11.109375" style="151" customWidth="1"/>
    <col min="4880" max="4880" width="8.88671875" style="151"/>
    <col min="4881" max="4881" width="11.109375" style="151" bestFit="1" customWidth="1"/>
    <col min="4882" max="4882" width="12.109375" style="151" customWidth="1"/>
    <col min="4883" max="5120" width="8.88671875" style="151"/>
    <col min="5121" max="5121" width="11.6640625" style="151" customWidth="1"/>
    <col min="5122" max="5122" width="14.44140625" style="151" customWidth="1"/>
    <col min="5123" max="5123" width="11.6640625" style="151" customWidth="1"/>
    <col min="5124" max="5124" width="8.88671875" style="151"/>
    <col min="5125" max="5125" width="13.5546875" style="151" customWidth="1"/>
    <col min="5126" max="5127" width="8.88671875" style="151"/>
    <col min="5128" max="5128" width="12.5546875" style="151" customWidth="1"/>
    <col min="5129" max="5129" width="12" style="151" customWidth="1"/>
    <col min="5130" max="5130" width="13" style="151" customWidth="1"/>
    <col min="5131" max="5131" width="10.109375" style="151" customWidth="1"/>
    <col min="5132" max="5132" width="15.33203125" style="151" customWidth="1"/>
    <col min="5133" max="5133" width="13" style="151" customWidth="1"/>
    <col min="5134" max="5134" width="8.88671875" style="151"/>
    <col min="5135" max="5135" width="11.109375" style="151" customWidth="1"/>
    <col min="5136" max="5136" width="8.88671875" style="151"/>
    <col min="5137" max="5137" width="11.109375" style="151" bestFit="1" customWidth="1"/>
    <col min="5138" max="5138" width="12.109375" style="151" customWidth="1"/>
    <col min="5139" max="5376" width="8.88671875" style="151"/>
    <col min="5377" max="5377" width="11.6640625" style="151" customWidth="1"/>
    <col min="5378" max="5378" width="14.44140625" style="151" customWidth="1"/>
    <col min="5379" max="5379" width="11.6640625" style="151" customWidth="1"/>
    <col min="5380" max="5380" width="8.88671875" style="151"/>
    <col min="5381" max="5381" width="13.5546875" style="151" customWidth="1"/>
    <col min="5382" max="5383" width="8.88671875" style="151"/>
    <col min="5384" max="5384" width="12.5546875" style="151" customWidth="1"/>
    <col min="5385" max="5385" width="12" style="151" customWidth="1"/>
    <col min="5386" max="5386" width="13" style="151" customWidth="1"/>
    <col min="5387" max="5387" width="10.109375" style="151" customWidth="1"/>
    <col min="5388" max="5388" width="15.33203125" style="151" customWidth="1"/>
    <col min="5389" max="5389" width="13" style="151" customWidth="1"/>
    <col min="5390" max="5390" width="8.88671875" style="151"/>
    <col min="5391" max="5391" width="11.109375" style="151" customWidth="1"/>
    <col min="5392" max="5392" width="8.88671875" style="151"/>
    <col min="5393" max="5393" width="11.109375" style="151" bestFit="1" customWidth="1"/>
    <col min="5394" max="5394" width="12.109375" style="151" customWidth="1"/>
    <col min="5395" max="5632" width="8.88671875" style="151"/>
    <col min="5633" max="5633" width="11.6640625" style="151" customWidth="1"/>
    <col min="5634" max="5634" width="14.44140625" style="151" customWidth="1"/>
    <col min="5635" max="5635" width="11.6640625" style="151" customWidth="1"/>
    <col min="5636" max="5636" width="8.88671875" style="151"/>
    <col min="5637" max="5637" width="13.5546875" style="151" customWidth="1"/>
    <col min="5638" max="5639" width="8.88671875" style="151"/>
    <col min="5640" max="5640" width="12.5546875" style="151" customWidth="1"/>
    <col min="5641" max="5641" width="12" style="151" customWidth="1"/>
    <col min="5642" max="5642" width="13" style="151" customWidth="1"/>
    <col min="5643" max="5643" width="10.109375" style="151" customWidth="1"/>
    <col min="5644" max="5644" width="15.33203125" style="151" customWidth="1"/>
    <col min="5645" max="5645" width="13" style="151" customWidth="1"/>
    <col min="5646" max="5646" width="8.88671875" style="151"/>
    <col min="5647" max="5647" width="11.109375" style="151" customWidth="1"/>
    <col min="5648" max="5648" width="8.88671875" style="151"/>
    <col min="5649" max="5649" width="11.109375" style="151" bestFit="1" customWidth="1"/>
    <col min="5650" max="5650" width="12.109375" style="151" customWidth="1"/>
    <col min="5651" max="5888" width="8.88671875" style="151"/>
    <col min="5889" max="5889" width="11.6640625" style="151" customWidth="1"/>
    <col min="5890" max="5890" width="14.44140625" style="151" customWidth="1"/>
    <col min="5891" max="5891" width="11.6640625" style="151" customWidth="1"/>
    <col min="5892" max="5892" width="8.88671875" style="151"/>
    <col min="5893" max="5893" width="13.5546875" style="151" customWidth="1"/>
    <col min="5894" max="5895" width="8.88671875" style="151"/>
    <col min="5896" max="5896" width="12.5546875" style="151" customWidth="1"/>
    <col min="5897" max="5897" width="12" style="151" customWidth="1"/>
    <col min="5898" max="5898" width="13" style="151" customWidth="1"/>
    <col min="5899" max="5899" width="10.109375" style="151" customWidth="1"/>
    <col min="5900" max="5900" width="15.33203125" style="151" customWidth="1"/>
    <col min="5901" max="5901" width="13" style="151" customWidth="1"/>
    <col min="5902" max="5902" width="8.88671875" style="151"/>
    <col min="5903" max="5903" width="11.109375" style="151" customWidth="1"/>
    <col min="5904" max="5904" width="8.88671875" style="151"/>
    <col min="5905" max="5905" width="11.109375" style="151" bestFit="1" customWidth="1"/>
    <col min="5906" max="5906" width="12.109375" style="151" customWidth="1"/>
    <col min="5907" max="6144" width="8.88671875" style="151"/>
    <col min="6145" max="6145" width="11.6640625" style="151" customWidth="1"/>
    <col min="6146" max="6146" width="14.44140625" style="151" customWidth="1"/>
    <col min="6147" max="6147" width="11.6640625" style="151" customWidth="1"/>
    <col min="6148" max="6148" width="8.88671875" style="151"/>
    <col min="6149" max="6149" width="13.5546875" style="151" customWidth="1"/>
    <col min="6150" max="6151" width="8.88671875" style="151"/>
    <col min="6152" max="6152" width="12.5546875" style="151" customWidth="1"/>
    <col min="6153" max="6153" width="12" style="151" customWidth="1"/>
    <col min="6154" max="6154" width="13" style="151" customWidth="1"/>
    <col min="6155" max="6155" width="10.109375" style="151" customWidth="1"/>
    <col min="6156" max="6156" width="15.33203125" style="151" customWidth="1"/>
    <col min="6157" max="6157" width="13" style="151" customWidth="1"/>
    <col min="6158" max="6158" width="8.88671875" style="151"/>
    <col min="6159" max="6159" width="11.109375" style="151" customWidth="1"/>
    <col min="6160" max="6160" width="8.88671875" style="151"/>
    <col min="6161" max="6161" width="11.109375" style="151" bestFit="1" customWidth="1"/>
    <col min="6162" max="6162" width="12.109375" style="151" customWidth="1"/>
    <col min="6163" max="6400" width="8.88671875" style="151"/>
    <col min="6401" max="6401" width="11.6640625" style="151" customWidth="1"/>
    <col min="6402" max="6402" width="14.44140625" style="151" customWidth="1"/>
    <col min="6403" max="6403" width="11.6640625" style="151" customWidth="1"/>
    <col min="6404" max="6404" width="8.88671875" style="151"/>
    <col min="6405" max="6405" width="13.5546875" style="151" customWidth="1"/>
    <col min="6406" max="6407" width="8.88671875" style="151"/>
    <col min="6408" max="6408" width="12.5546875" style="151" customWidth="1"/>
    <col min="6409" max="6409" width="12" style="151" customWidth="1"/>
    <col min="6410" max="6410" width="13" style="151" customWidth="1"/>
    <col min="6411" max="6411" width="10.109375" style="151" customWidth="1"/>
    <col min="6412" max="6412" width="15.33203125" style="151" customWidth="1"/>
    <col min="6413" max="6413" width="13" style="151" customWidth="1"/>
    <col min="6414" max="6414" width="8.88671875" style="151"/>
    <col min="6415" max="6415" width="11.109375" style="151" customWidth="1"/>
    <col min="6416" max="6416" width="8.88671875" style="151"/>
    <col min="6417" max="6417" width="11.109375" style="151" bestFit="1" customWidth="1"/>
    <col min="6418" max="6418" width="12.109375" style="151" customWidth="1"/>
    <col min="6419" max="6656" width="8.88671875" style="151"/>
    <col min="6657" max="6657" width="11.6640625" style="151" customWidth="1"/>
    <col min="6658" max="6658" width="14.44140625" style="151" customWidth="1"/>
    <col min="6659" max="6659" width="11.6640625" style="151" customWidth="1"/>
    <col min="6660" max="6660" width="8.88671875" style="151"/>
    <col min="6661" max="6661" width="13.5546875" style="151" customWidth="1"/>
    <col min="6662" max="6663" width="8.88671875" style="151"/>
    <col min="6664" max="6664" width="12.5546875" style="151" customWidth="1"/>
    <col min="6665" max="6665" width="12" style="151" customWidth="1"/>
    <col min="6666" max="6666" width="13" style="151" customWidth="1"/>
    <col min="6667" max="6667" width="10.109375" style="151" customWidth="1"/>
    <col min="6668" max="6668" width="15.33203125" style="151" customWidth="1"/>
    <col min="6669" max="6669" width="13" style="151" customWidth="1"/>
    <col min="6670" max="6670" width="8.88671875" style="151"/>
    <col min="6671" max="6671" width="11.109375" style="151" customWidth="1"/>
    <col min="6672" max="6672" width="8.88671875" style="151"/>
    <col min="6673" max="6673" width="11.109375" style="151" bestFit="1" customWidth="1"/>
    <col min="6674" max="6674" width="12.109375" style="151" customWidth="1"/>
    <col min="6675" max="6912" width="8.88671875" style="151"/>
    <col min="6913" max="6913" width="11.6640625" style="151" customWidth="1"/>
    <col min="6914" max="6914" width="14.44140625" style="151" customWidth="1"/>
    <col min="6915" max="6915" width="11.6640625" style="151" customWidth="1"/>
    <col min="6916" max="6916" width="8.88671875" style="151"/>
    <col min="6917" max="6917" width="13.5546875" style="151" customWidth="1"/>
    <col min="6918" max="6919" width="8.88671875" style="151"/>
    <col min="6920" max="6920" width="12.5546875" style="151" customWidth="1"/>
    <col min="6921" max="6921" width="12" style="151" customWidth="1"/>
    <col min="6922" max="6922" width="13" style="151" customWidth="1"/>
    <col min="6923" max="6923" width="10.109375" style="151" customWidth="1"/>
    <col min="6924" max="6924" width="15.33203125" style="151" customWidth="1"/>
    <col min="6925" max="6925" width="13" style="151" customWidth="1"/>
    <col min="6926" max="6926" width="8.88671875" style="151"/>
    <col min="6927" max="6927" width="11.109375" style="151" customWidth="1"/>
    <col min="6928" max="6928" width="8.88671875" style="151"/>
    <col min="6929" max="6929" width="11.109375" style="151" bestFit="1" customWidth="1"/>
    <col min="6930" max="6930" width="12.109375" style="151" customWidth="1"/>
    <col min="6931" max="7168" width="8.88671875" style="151"/>
    <col min="7169" max="7169" width="11.6640625" style="151" customWidth="1"/>
    <col min="7170" max="7170" width="14.44140625" style="151" customWidth="1"/>
    <col min="7171" max="7171" width="11.6640625" style="151" customWidth="1"/>
    <col min="7172" max="7172" width="8.88671875" style="151"/>
    <col min="7173" max="7173" width="13.5546875" style="151" customWidth="1"/>
    <col min="7174" max="7175" width="8.88671875" style="151"/>
    <col min="7176" max="7176" width="12.5546875" style="151" customWidth="1"/>
    <col min="7177" max="7177" width="12" style="151" customWidth="1"/>
    <col min="7178" max="7178" width="13" style="151" customWidth="1"/>
    <col min="7179" max="7179" width="10.109375" style="151" customWidth="1"/>
    <col min="7180" max="7180" width="15.33203125" style="151" customWidth="1"/>
    <col min="7181" max="7181" width="13" style="151" customWidth="1"/>
    <col min="7182" max="7182" width="8.88671875" style="151"/>
    <col min="7183" max="7183" width="11.109375" style="151" customWidth="1"/>
    <col min="7184" max="7184" width="8.88671875" style="151"/>
    <col min="7185" max="7185" width="11.109375" style="151" bestFit="1" customWidth="1"/>
    <col min="7186" max="7186" width="12.109375" style="151" customWidth="1"/>
    <col min="7187" max="7424" width="8.88671875" style="151"/>
    <col min="7425" max="7425" width="11.6640625" style="151" customWidth="1"/>
    <col min="7426" max="7426" width="14.44140625" style="151" customWidth="1"/>
    <col min="7427" max="7427" width="11.6640625" style="151" customWidth="1"/>
    <col min="7428" max="7428" width="8.88671875" style="151"/>
    <col min="7429" max="7429" width="13.5546875" style="151" customWidth="1"/>
    <col min="7430" max="7431" width="8.88671875" style="151"/>
    <col min="7432" max="7432" width="12.5546875" style="151" customWidth="1"/>
    <col min="7433" max="7433" width="12" style="151" customWidth="1"/>
    <col min="7434" max="7434" width="13" style="151" customWidth="1"/>
    <col min="7435" max="7435" width="10.109375" style="151" customWidth="1"/>
    <col min="7436" max="7436" width="15.33203125" style="151" customWidth="1"/>
    <col min="7437" max="7437" width="13" style="151" customWidth="1"/>
    <col min="7438" max="7438" width="8.88671875" style="151"/>
    <col min="7439" max="7439" width="11.109375" style="151" customWidth="1"/>
    <col min="7440" max="7440" width="8.88671875" style="151"/>
    <col min="7441" max="7441" width="11.109375" style="151" bestFit="1" customWidth="1"/>
    <col min="7442" max="7442" width="12.109375" style="151" customWidth="1"/>
    <col min="7443" max="7680" width="8.88671875" style="151"/>
    <col min="7681" max="7681" width="11.6640625" style="151" customWidth="1"/>
    <col min="7682" max="7682" width="14.44140625" style="151" customWidth="1"/>
    <col min="7683" max="7683" width="11.6640625" style="151" customWidth="1"/>
    <col min="7684" max="7684" width="8.88671875" style="151"/>
    <col min="7685" max="7685" width="13.5546875" style="151" customWidth="1"/>
    <col min="7686" max="7687" width="8.88671875" style="151"/>
    <col min="7688" max="7688" width="12.5546875" style="151" customWidth="1"/>
    <col min="7689" max="7689" width="12" style="151" customWidth="1"/>
    <col min="7690" max="7690" width="13" style="151" customWidth="1"/>
    <col min="7691" max="7691" width="10.109375" style="151" customWidth="1"/>
    <col min="7692" max="7692" width="15.33203125" style="151" customWidth="1"/>
    <col min="7693" max="7693" width="13" style="151" customWidth="1"/>
    <col min="7694" max="7694" width="8.88671875" style="151"/>
    <col min="7695" max="7695" width="11.109375" style="151" customWidth="1"/>
    <col min="7696" max="7696" width="8.88671875" style="151"/>
    <col min="7697" max="7697" width="11.109375" style="151" bestFit="1" customWidth="1"/>
    <col min="7698" max="7698" width="12.109375" style="151" customWidth="1"/>
    <col min="7699" max="7936" width="8.88671875" style="151"/>
    <col min="7937" max="7937" width="11.6640625" style="151" customWidth="1"/>
    <col min="7938" max="7938" width="14.44140625" style="151" customWidth="1"/>
    <col min="7939" max="7939" width="11.6640625" style="151" customWidth="1"/>
    <col min="7940" max="7940" width="8.88671875" style="151"/>
    <col min="7941" max="7941" width="13.5546875" style="151" customWidth="1"/>
    <col min="7942" max="7943" width="8.88671875" style="151"/>
    <col min="7944" max="7944" width="12.5546875" style="151" customWidth="1"/>
    <col min="7945" max="7945" width="12" style="151" customWidth="1"/>
    <col min="7946" max="7946" width="13" style="151" customWidth="1"/>
    <col min="7947" max="7947" width="10.109375" style="151" customWidth="1"/>
    <col min="7948" max="7948" width="15.33203125" style="151" customWidth="1"/>
    <col min="7949" max="7949" width="13" style="151" customWidth="1"/>
    <col min="7950" max="7950" width="8.88671875" style="151"/>
    <col min="7951" max="7951" width="11.109375" style="151" customWidth="1"/>
    <col min="7952" max="7952" width="8.88671875" style="151"/>
    <col min="7953" max="7953" width="11.109375" style="151" bestFit="1" customWidth="1"/>
    <col min="7954" max="7954" width="12.109375" style="151" customWidth="1"/>
    <col min="7955" max="8192" width="8.88671875" style="151"/>
    <col min="8193" max="8193" width="11.6640625" style="151" customWidth="1"/>
    <col min="8194" max="8194" width="14.44140625" style="151" customWidth="1"/>
    <col min="8195" max="8195" width="11.6640625" style="151" customWidth="1"/>
    <col min="8196" max="8196" width="8.88671875" style="151"/>
    <col min="8197" max="8197" width="13.5546875" style="151" customWidth="1"/>
    <col min="8198" max="8199" width="8.88671875" style="151"/>
    <col min="8200" max="8200" width="12.5546875" style="151" customWidth="1"/>
    <col min="8201" max="8201" width="12" style="151" customWidth="1"/>
    <col min="8202" max="8202" width="13" style="151" customWidth="1"/>
    <col min="8203" max="8203" width="10.109375" style="151" customWidth="1"/>
    <col min="8204" max="8204" width="15.33203125" style="151" customWidth="1"/>
    <col min="8205" max="8205" width="13" style="151" customWidth="1"/>
    <col min="8206" max="8206" width="8.88671875" style="151"/>
    <col min="8207" max="8207" width="11.109375" style="151" customWidth="1"/>
    <col min="8208" max="8208" width="8.88671875" style="151"/>
    <col min="8209" max="8209" width="11.109375" style="151" bestFit="1" customWidth="1"/>
    <col min="8210" max="8210" width="12.109375" style="151" customWidth="1"/>
    <col min="8211" max="8448" width="8.88671875" style="151"/>
    <col min="8449" max="8449" width="11.6640625" style="151" customWidth="1"/>
    <col min="8450" max="8450" width="14.44140625" style="151" customWidth="1"/>
    <col min="8451" max="8451" width="11.6640625" style="151" customWidth="1"/>
    <col min="8452" max="8452" width="8.88671875" style="151"/>
    <col min="8453" max="8453" width="13.5546875" style="151" customWidth="1"/>
    <col min="8454" max="8455" width="8.88671875" style="151"/>
    <col min="8456" max="8456" width="12.5546875" style="151" customWidth="1"/>
    <col min="8457" max="8457" width="12" style="151" customWidth="1"/>
    <col min="8458" max="8458" width="13" style="151" customWidth="1"/>
    <col min="8459" max="8459" width="10.109375" style="151" customWidth="1"/>
    <col min="8460" max="8460" width="15.33203125" style="151" customWidth="1"/>
    <col min="8461" max="8461" width="13" style="151" customWidth="1"/>
    <col min="8462" max="8462" width="8.88671875" style="151"/>
    <col min="8463" max="8463" width="11.109375" style="151" customWidth="1"/>
    <col min="8464" max="8464" width="8.88671875" style="151"/>
    <col min="8465" max="8465" width="11.109375" style="151" bestFit="1" customWidth="1"/>
    <col min="8466" max="8466" width="12.109375" style="151" customWidth="1"/>
    <col min="8467" max="8704" width="8.88671875" style="151"/>
    <col min="8705" max="8705" width="11.6640625" style="151" customWidth="1"/>
    <col min="8706" max="8706" width="14.44140625" style="151" customWidth="1"/>
    <col min="8707" max="8707" width="11.6640625" style="151" customWidth="1"/>
    <col min="8708" max="8708" width="8.88671875" style="151"/>
    <col min="8709" max="8709" width="13.5546875" style="151" customWidth="1"/>
    <col min="8710" max="8711" width="8.88671875" style="151"/>
    <col min="8712" max="8712" width="12.5546875" style="151" customWidth="1"/>
    <col min="8713" max="8713" width="12" style="151" customWidth="1"/>
    <col min="8714" max="8714" width="13" style="151" customWidth="1"/>
    <col min="8715" max="8715" width="10.109375" style="151" customWidth="1"/>
    <col min="8716" max="8716" width="15.33203125" style="151" customWidth="1"/>
    <col min="8717" max="8717" width="13" style="151" customWidth="1"/>
    <col min="8718" max="8718" width="8.88671875" style="151"/>
    <col min="8719" max="8719" width="11.109375" style="151" customWidth="1"/>
    <col min="8720" max="8720" width="8.88671875" style="151"/>
    <col min="8721" max="8721" width="11.109375" style="151" bestFit="1" customWidth="1"/>
    <col min="8722" max="8722" width="12.109375" style="151" customWidth="1"/>
    <col min="8723" max="8960" width="8.88671875" style="151"/>
    <col min="8961" max="8961" width="11.6640625" style="151" customWidth="1"/>
    <col min="8962" max="8962" width="14.44140625" style="151" customWidth="1"/>
    <col min="8963" max="8963" width="11.6640625" style="151" customWidth="1"/>
    <col min="8964" max="8964" width="8.88671875" style="151"/>
    <col min="8965" max="8965" width="13.5546875" style="151" customWidth="1"/>
    <col min="8966" max="8967" width="8.88671875" style="151"/>
    <col min="8968" max="8968" width="12.5546875" style="151" customWidth="1"/>
    <col min="8969" max="8969" width="12" style="151" customWidth="1"/>
    <col min="8970" max="8970" width="13" style="151" customWidth="1"/>
    <col min="8971" max="8971" width="10.109375" style="151" customWidth="1"/>
    <col min="8972" max="8972" width="15.33203125" style="151" customWidth="1"/>
    <col min="8973" max="8973" width="13" style="151" customWidth="1"/>
    <col min="8974" max="8974" width="8.88671875" style="151"/>
    <col min="8975" max="8975" width="11.109375" style="151" customWidth="1"/>
    <col min="8976" max="8976" width="8.88671875" style="151"/>
    <col min="8977" max="8977" width="11.109375" style="151" bestFit="1" customWidth="1"/>
    <col min="8978" max="8978" width="12.109375" style="151" customWidth="1"/>
    <col min="8979" max="9216" width="8.88671875" style="151"/>
    <col min="9217" max="9217" width="11.6640625" style="151" customWidth="1"/>
    <col min="9218" max="9218" width="14.44140625" style="151" customWidth="1"/>
    <col min="9219" max="9219" width="11.6640625" style="151" customWidth="1"/>
    <col min="9220" max="9220" width="8.88671875" style="151"/>
    <col min="9221" max="9221" width="13.5546875" style="151" customWidth="1"/>
    <col min="9222" max="9223" width="8.88671875" style="151"/>
    <col min="9224" max="9224" width="12.5546875" style="151" customWidth="1"/>
    <col min="9225" max="9225" width="12" style="151" customWidth="1"/>
    <col min="9226" max="9226" width="13" style="151" customWidth="1"/>
    <col min="9227" max="9227" width="10.109375" style="151" customWidth="1"/>
    <col min="9228" max="9228" width="15.33203125" style="151" customWidth="1"/>
    <col min="9229" max="9229" width="13" style="151" customWidth="1"/>
    <col min="9230" max="9230" width="8.88671875" style="151"/>
    <col min="9231" max="9231" width="11.109375" style="151" customWidth="1"/>
    <col min="9232" max="9232" width="8.88671875" style="151"/>
    <col min="9233" max="9233" width="11.109375" style="151" bestFit="1" customWidth="1"/>
    <col min="9234" max="9234" width="12.109375" style="151" customWidth="1"/>
    <col min="9235" max="9472" width="8.88671875" style="151"/>
    <col min="9473" max="9473" width="11.6640625" style="151" customWidth="1"/>
    <col min="9474" max="9474" width="14.44140625" style="151" customWidth="1"/>
    <col min="9475" max="9475" width="11.6640625" style="151" customWidth="1"/>
    <col min="9476" max="9476" width="8.88671875" style="151"/>
    <col min="9477" max="9477" width="13.5546875" style="151" customWidth="1"/>
    <col min="9478" max="9479" width="8.88671875" style="151"/>
    <col min="9480" max="9480" width="12.5546875" style="151" customWidth="1"/>
    <col min="9481" max="9481" width="12" style="151" customWidth="1"/>
    <col min="9482" max="9482" width="13" style="151" customWidth="1"/>
    <col min="9483" max="9483" width="10.109375" style="151" customWidth="1"/>
    <col min="9484" max="9484" width="15.33203125" style="151" customWidth="1"/>
    <col min="9485" max="9485" width="13" style="151" customWidth="1"/>
    <col min="9486" max="9486" width="8.88671875" style="151"/>
    <col min="9487" max="9487" width="11.109375" style="151" customWidth="1"/>
    <col min="9488" max="9488" width="8.88671875" style="151"/>
    <col min="9489" max="9489" width="11.109375" style="151" bestFit="1" customWidth="1"/>
    <col min="9490" max="9490" width="12.109375" style="151" customWidth="1"/>
    <col min="9491" max="9728" width="8.88671875" style="151"/>
    <col min="9729" max="9729" width="11.6640625" style="151" customWidth="1"/>
    <col min="9730" max="9730" width="14.44140625" style="151" customWidth="1"/>
    <col min="9731" max="9731" width="11.6640625" style="151" customWidth="1"/>
    <col min="9732" max="9732" width="8.88671875" style="151"/>
    <col min="9733" max="9733" width="13.5546875" style="151" customWidth="1"/>
    <col min="9734" max="9735" width="8.88671875" style="151"/>
    <col min="9736" max="9736" width="12.5546875" style="151" customWidth="1"/>
    <col min="9737" max="9737" width="12" style="151" customWidth="1"/>
    <col min="9738" max="9738" width="13" style="151" customWidth="1"/>
    <col min="9739" max="9739" width="10.109375" style="151" customWidth="1"/>
    <col min="9740" max="9740" width="15.33203125" style="151" customWidth="1"/>
    <col min="9741" max="9741" width="13" style="151" customWidth="1"/>
    <col min="9742" max="9742" width="8.88671875" style="151"/>
    <col min="9743" max="9743" width="11.109375" style="151" customWidth="1"/>
    <col min="9744" max="9744" width="8.88671875" style="151"/>
    <col min="9745" max="9745" width="11.109375" style="151" bestFit="1" customWidth="1"/>
    <col min="9746" max="9746" width="12.109375" style="151" customWidth="1"/>
    <col min="9747" max="9984" width="8.88671875" style="151"/>
    <col min="9985" max="9985" width="11.6640625" style="151" customWidth="1"/>
    <col min="9986" max="9986" width="14.44140625" style="151" customWidth="1"/>
    <col min="9987" max="9987" width="11.6640625" style="151" customWidth="1"/>
    <col min="9988" max="9988" width="8.88671875" style="151"/>
    <col min="9989" max="9989" width="13.5546875" style="151" customWidth="1"/>
    <col min="9990" max="9991" width="8.88671875" style="151"/>
    <col min="9992" max="9992" width="12.5546875" style="151" customWidth="1"/>
    <col min="9993" max="9993" width="12" style="151" customWidth="1"/>
    <col min="9994" max="9994" width="13" style="151" customWidth="1"/>
    <col min="9995" max="9995" width="10.109375" style="151" customWidth="1"/>
    <col min="9996" max="9996" width="15.33203125" style="151" customWidth="1"/>
    <col min="9997" max="9997" width="13" style="151" customWidth="1"/>
    <col min="9998" max="9998" width="8.88671875" style="151"/>
    <col min="9999" max="9999" width="11.109375" style="151" customWidth="1"/>
    <col min="10000" max="10000" width="8.88671875" style="151"/>
    <col min="10001" max="10001" width="11.109375" style="151" bestFit="1" customWidth="1"/>
    <col min="10002" max="10002" width="12.109375" style="151" customWidth="1"/>
    <col min="10003" max="10240" width="8.88671875" style="151"/>
    <col min="10241" max="10241" width="11.6640625" style="151" customWidth="1"/>
    <col min="10242" max="10242" width="14.44140625" style="151" customWidth="1"/>
    <col min="10243" max="10243" width="11.6640625" style="151" customWidth="1"/>
    <col min="10244" max="10244" width="8.88671875" style="151"/>
    <col min="10245" max="10245" width="13.5546875" style="151" customWidth="1"/>
    <col min="10246" max="10247" width="8.88671875" style="151"/>
    <col min="10248" max="10248" width="12.5546875" style="151" customWidth="1"/>
    <col min="10249" max="10249" width="12" style="151" customWidth="1"/>
    <col min="10250" max="10250" width="13" style="151" customWidth="1"/>
    <col min="10251" max="10251" width="10.109375" style="151" customWidth="1"/>
    <col min="10252" max="10252" width="15.33203125" style="151" customWidth="1"/>
    <col min="10253" max="10253" width="13" style="151" customWidth="1"/>
    <col min="10254" max="10254" width="8.88671875" style="151"/>
    <col min="10255" max="10255" width="11.109375" style="151" customWidth="1"/>
    <col min="10256" max="10256" width="8.88671875" style="151"/>
    <col min="10257" max="10257" width="11.109375" style="151" bestFit="1" customWidth="1"/>
    <col min="10258" max="10258" width="12.109375" style="151" customWidth="1"/>
    <col min="10259" max="10496" width="8.88671875" style="151"/>
    <col min="10497" max="10497" width="11.6640625" style="151" customWidth="1"/>
    <col min="10498" max="10498" width="14.44140625" style="151" customWidth="1"/>
    <col min="10499" max="10499" width="11.6640625" style="151" customWidth="1"/>
    <col min="10500" max="10500" width="8.88671875" style="151"/>
    <col min="10501" max="10501" width="13.5546875" style="151" customWidth="1"/>
    <col min="10502" max="10503" width="8.88671875" style="151"/>
    <col min="10504" max="10504" width="12.5546875" style="151" customWidth="1"/>
    <col min="10505" max="10505" width="12" style="151" customWidth="1"/>
    <col min="10506" max="10506" width="13" style="151" customWidth="1"/>
    <col min="10507" max="10507" width="10.109375" style="151" customWidth="1"/>
    <col min="10508" max="10508" width="15.33203125" style="151" customWidth="1"/>
    <col min="10509" max="10509" width="13" style="151" customWidth="1"/>
    <col min="10510" max="10510" width="8.88671875" style="151"/>
    <col min="10511" max="10511" width="11.109375" style="151" customWidth="1"/>
    <col min="10512" max="10512" width="8.88671875" style="151"/>
    <col min="10513" max="10513" width="11.109375" style="151" bestFit="1" customWidth="1"/>
    <col min="10514" max="10514" width="12.109375" style="151" customWidth="1"/>
    <col min="10515" max="10752" width="8.88671875" style="151"/>
    <col min="10753" max="10753" width="11.6640625" style="151" customWidth="1"/>
    <col min="10754" max="10754" width="14.44140625" style="151" customWidth="1"/>
    <col min="10755" max="10755" width="11.6640625" style="151" customWidth="1"/>
    <col min="10756" max="10756" width="8.88671875" style="151"/>
    <col min="10757" max="10757" width="13.5546875" style="151" customWidth="1"/>
    <col min="10758" max="10759" width="8.88671875" style="151"/>
    <col min="10760" max="10760" width="12.5546875" style="151" customWidth="1"/>
    <col min="10761" max="10761" width="12" style="151" customWidth="1"/>
    <col min="10762" max="10762" width="13" style="151" customWidth="1"/>
    <col min="10763" max="10763" width="10.109375" style="151" customWidth="1"/>
    <col min="10764" max="10764" width="15.33203125" style="151" customWidth="1"/>
    <col min="10765" max="10765" width="13" style="151" customWidth="1"/>
    <col min="10766" max="10766" width="8.88671875" style="151"/>
    <col min="10767" max="10767" width="11.109375" style="151" customWidth="1"/>
    <col min="10768" max="10768" width="8.88671875" style="151"/>
    <col min="10769" max="10769" width="11.109375" style="151" bestFit="1" customWidth="1"/>
    <col min="10770" max="10770" width="12.109375" style="151" customWidth="1"/>
    <col min="10771" max="11008" width="8.88671875" style="151"/>
    <col min="11009" max="11009" width="11.6640625" style="151" customWidth="1"/>
    <col min="11010" max="11010" width="14.44140625" style="151" customWidth="1"/>
    <col min="11011" max="11011" width="11.6640625" style="151" customWidth="1"/>
    <col min="11012" max="11012" width="8.88671875" style="151"/>
    <col min="11013" max="11013" width="13.5546875" style="151" customWidth="1"/>
    <col min="11014" max="11015" width="8.88671875" style="151"/>
    <col min="11016" max="11016" width="12.5546875" style="151" customWidth="1"/>
    <col min="11017" max="11017" width="12" style="151" customWidth="1"/>
    <col min="11018" max="11018" width="13" style="151" customWidth="1"/>
    <col min="11019" max="11019" width="10.109375" style="151" customWidth="1"/>
    <col min="11020" max="11020" width="15.33203125" style="151" customWidth="1"/>
    <col min="11021" max="11021" width="13" style="151" customWidth="1"/>
    <col min="11022" max="11022" width="8.88671875" style="151"/>
    <col min="11023" max="11023" width="11.109375" style="151" customWidth="1"/>
    <col min="11024" max="11024" width="8.88671875" style="151"/>
    <col min="11025" max="11025" width="11.109375" style="151" bestFit="1" customWidth="1"/>
    <col min="11026" max="11026" width="12.109375" style="151" customWidth="1"/>
    <col min="11027" max="11264" width="8.88671875" style="151"/>
    <col min="11265" max="11265" width="11.6640625" style="151" customWidth="1"/>
    <col min="11266" max="11266" width="14.44140625" style="151" customWidth="1"/>
    <col min="11267" max="11267" width="11.6640625" style="151" customWidth="1"/>
    <col min="11268" max="11268" width="8.88671875" style="151"/>
    <col min="11269" max="11269" width="13.5546875" style="151" customWidth="1"/>
    <col min="11270" max="11271" width="8.88671875" style="151"/>
    <col min="11272" max="11272" width="12.5546875" style="151" customWidth="1"/>
    <col min="11273" max="11273" width="12" style="151" customWidth="1"/>
    <col min="11274" max="11274" width="13" style="151" customWidth="1"/>
    <col min="11275" max="11275" width="10.109375" style="151" customWidth="1"/>
    <col min="11276" max="11276" width="15.33203125" style="151" customWidth="1"/>
    <col min="11277" max="11277" width="13" style="151" customWidth="1"/>
    <col min="11278" max="11278" width="8.88671875" style="151"/>
    <col min="11279" max="11279" width="11.109375" style="151" customWidth="1"/>
    <col min="11280" max="11280" width="8.88671875" style="151"/>
    <col min="11281" max="11281" width="11.109375" style="151" bestFit="1" customWidth="1"/>
    <col min="11282" max="11282" width="12.109375" style="151" customWidth="1"/>
    <col min="11283" max="11520" width="8.88671875" style="151"/>
    <col min="11521" max="11521" width="11.6640625" style="151" customWidth="1"/>
    <col min="11522" max="11522" width="14.44140625" style="151" customWidth="1"/>
    <col min="11523" max="11523" width="11.6640625" style="151" customWidth="1"/>
    <col min="11524" max="11524" width="8.88671875" style="151"/>
    <col min="11525" max="11525" width="13.5546875" style="151" customWidth="1"/>
    <col min="11526" max="11527" width="8.88671875" style="151"/>
    <col min="11528" max="11528" width="12.5546875" style="151" customWidth="1"/>
    <col min="11529" max="11529" width="12" style="151" customWidth="1"/>
    <col min="11530" max="11530" width="13" style="151" customWidth="1"/>
    <col min="11531" max="11531" width="10.109375" style="151" customWidth="1"/>
    <col min="11532" max="11532" width="15.33203125" style="151" customWidth="1"/>
    <col min="11533" max="11533" width="13" style="151" customWidth="1"/>
    <col min="11534" max="11534" width="8.88671875" style="151"/>
    <col min="11535" max="11535" width="11.109375" style="151" customWidth="1"/>
    <col min="11536" max="11536" width="8.88671875" style="151"/>
    <col min="11537" max="11537" width="11.109375" style="151" bestFit="1" customWidth="1"/>
    <col min="11538" max="11538" width="12.109375" style="151" customWidth="1"/>
    <col min="11539" max="11776" width="8.88671875" style="151"/>
    <col min="11777" max="11777" width="11.6640625" style="151" customWidth="1"/>
    <col min="11778" max="11778" width="14.44140625" style="151" customWidth="1"/>
    <col min="11779" max="11779" width="11.6640625" style="151" customWidth="1"/>
    <col min="11780" max="11780" width="8.88671875" style="151"/>
    <col min="11781" max="11781" width="13.5546875" style="151" customWidth="1"/>
    <col min="11782" max="11783" width="8.88671875" style="151"/>
    <col min="11784" max="11784" width="12.5546875" style="151" customWidth="1"/>
    <col min="11785" max="11785" width="12" style="151" customWidth="1"/>
    <col min="11786" max="11786" width="13" style="151" customWidth="1"/>
    <col min="11787" max="11787" width="10.109375" style="151" customWidth="1"/>
    <col min="11788" max="11788" width="15.33203125" style="151" customWidth="1"/>
    <col min="11789" max="11789" width="13" style="151" customWidth="1"/>
    <col min="11790" max="11790" width="8.88671875" style="151"/>
    <col min="11791" max="11791" width="11.109375" style="151" customWidth="1"/>
    <col min="11792" max="11792" width="8.88671875" style="151"/>
    <col min="11793" max="11793" width="11.109375" style="151" bestFit="1" customWidth="1"/>
    <col min="11794" max="11794" width="12.109375" style="151" customWidth="1"/>
    <col min="11795" max="12032" width="8.88671875" style="151"/>
    <col min="12033" max="12033" width="11.6640625" style="151" customWidth="1"/>
    <col min="12034" max="12034" width="14.44140625" style="151" customWidth="1"/>
    <col min="12035" max="12035" width="11.6640625" style="151" customWidth="1"/>
    <col min="12036" max="12036" width="8.88671875" style="151"/>
    <col min="12037" max="12037" width="13.5546875" style="151" customWidth="1"/>
    <col min="12038" max="12039" width="8.88671875" style="151"/>
    <col min="12040" max="12040" width="12.5546875" style="151" customWidth="1"/>
    <col min="12041" max="12041" width="12" style="151" customWidth="1"/>
    <col min="12042" max="12042" width="13" style="151" customWidth="1"/>
    <col min="12043" max="12043" width="10.109375" style="151" customWidth="1"/>
    <col min="12044" max="12044" width="15.33203125" style="151" customWidth="1"/>
    <col min="12045" max="12045" width="13" style="151" customWidth="1"/>
    <col min="12046" max="12046" width="8.88671875" style="151"/>
    <col min="12047" max="12047" width="11.109375" style="151" customWidth="1"/>
    <col min="12048" max="12048" width="8.88671875" style="151"/>
    <col min="12049" max="12049" width="11.109375" style="151" bestFit="1" customWidth="1"/>
    <col min="12050" max="12050" width="12.109375" style="151" customWidth="1"/>
    <col min="12051" max="12288" width="8.88671875" style="151"/>
    <col min="12289" max="12289" width="11.6640625" style="151" customWidth="1"/>
    <col min="12290" max="12290" width="14.44140625" style="151" customWidth="1"/>
    <col min="12291" max="12291" width="11.6640625" style="151" customWidth="1"/>
    <col min="12292" max="12292" width="8.88671875" style="151"/>
    <col min="12293" max="12293" width="13.5546875" style="151" customWidth="1"/>
    <col min="12294" max="12295" width="8.88671875" style="151"/>
    <col min="12296" max="12296" width="12.5546875" style="151" customWidth="1"/>
    <col min="12297" max="12297" width="12" style="151" customWidth="1"/>
    <col min="12298" max="12298" width="13" style="151" customWidth="1"/>
    <col min="12299" max="12299" width="10.109375" style="151" customWidth="1"/>
    <col min="12300" max="12300" width="15.33203125" style="151" customWidth="1"/>
    <col min="12301" max="12301" width="13" style="151" customWidth="1"/>
    <col min="12302" max="12302" width="8.88671875" style="151"/>
    <col min="12303" max="12303" width="11.109375" style="151" customWidth="1"/>
    <col min="12304" max="12304" width="8.88671875" style="151"/>
    <col min="12305" max="12305" width="11.109375" style="151" bestFit="1" customWidth="1"/>
    <col min="12306" max="12306" width="12.109375" style="151" customWidth="1"/>
    <col min="12307" max="12544" width="8.88671875" style="151"/>
    <col min="12545" max="12545" width="11.6640625" style="151" customWidth="1"/>
    <col min="12546" max="12546" width="14.44140625" style="151" customWidth="1"/>
    <col min="12547" max="12547" width="11.6640625" style="151" customWidth="1"/>
    <col min="12548" max="12548" width="8.88671875" style="151"/>
    <col min="12549" max="12549" width="13.5546875" style="151" customWidth="1"/>
    <col min="12550" max="12551" width="8.88671875" style="151"/>
    <col min="12552" max="12552" width="12.5546875" style="151" customWidth="1"/>
    <col min="12553" max="12553" width="12" style="151" customWidth="1"/>
    <col min="12554" max="12554" width="13" style="151" customWidth="1"/>
    <col min="12555" max="12555" width="10.109375" style="151" customWidth="1"/>
    <col min="12556" max="12556" width="15.33203125" style="151" customWidth="1"/>
    <col min="12557" max="12557" width="13" style="151" customWidth="1"/>
    <col min="12558" max="12558" width="8.88671875" style="151"/>
    <col min="12559" max="12559" width="11.109375" style="151" customWidth="1"/>
    <col min="12560" max="12560" width="8.88671875" style="151"/>
    <col min="12561" max="12561" width="11.109375" style="151" bestFit="1" customWidth="1"/>
    <col min="12562" max="12562" width="12.109375" style="151" customWidth="1"/>
    <col min="12563" max="12800" width="8.88671875" style="151"/>
    <col min="12801" max="12801" width="11.6640625" style="151" customWidth="1"/>
    <col min="12802" max="12802" width="14.44140625" style="151" customWidth="1"/>
    <col min="12803" max="12803" width="11.6640625" style="151" customWidth="1"/>
    <col min="12804" max="12804" width="8.88671875" style="151"/>
    <col min="12805" max="12805" width="13.5546875" style="151" customWidth="1"/>
    <col min="12806" max="12807" width="8.88671875" style="151"/>
    <col min="12808" max="12808" width="12.5546875" style="151" customWidth="1"/>
    <col min="12809" max="12809" width="12" style="151" customWidth="1"/>
    <col min="12810" max="12810" width="13" style="151" customWidth="1"/>
    <col min="12811" max="12811" width="10.109375" style="151" customWidth="1"/>
    <col min="12812" max="12812" width="15.33203125" style="151" customWidth="1"/>
    <col min="12813" max="12813" width="13" style="151" customWidth="1"/>
    <col min="12814" max="12814" width="8.88671875" style="151"/>
    <col min="12815" max="12815" width="11.109375" style="151" customWidth="1"/>
    <col min="12816" max="12816" width="8.88671875" style="151"/>
    <col min="12817" max="12817" width="11.109375" style="151" bestFit="1" customWidth="1"/>
    <col min="12818" max="12818" width="12.109375" style="151" customWidth="1"/>
    <col min="12819" max="13056" width="8.88671875" style="151"/>
    <col min="13057" max="13057" width="11.6640625" style="151" customWidth="1"/>
    <col min="13058" max="13058" width="14.44140625" style="151" customWidth="1"/>
    <col min="13059" max="13059" width="11.6640625" style="151" customWidth="1"/>
    <col min="13060" max="13060" width="8.88671875" style="151"/>
    <col min="13061" max="13061" width="13.5546875" style="151" customWidth="1"/>
    <col min="13062" max="13063" width="8.88671875" style="151"/>
    <col min="13064" max="13064" width="12.5546875" style="151" customWidth="1"/>
    <col min="13065" max="13065" width="12" style="151" customWidth="1"/>
    <col min="13066" max="13066" width="13" style="151" customWidth="1"/>
    <col min="13067" max="13067" width="10.109375" style="151" customWidth="1"/>
    <col min="13068" max="13068" width="15.33203125" style="151" customWidth="1"/>
    <col min="13069" max="13069" width="13" style="151" customWidth="1"/>
    <col min="13070" max="13070" width="8.88671875" style="151"/>
    <col min="13071" max="13071" width="11.109375" style="151" customWidth="1"/>
    <col min="13072" max="13072" width="8.88671875" style="151"/>
    <col min="13073" max="13073" width="11.109375" style="151" bestFit="1" customWidth="1"/>
    <col min="13074" max="13074" width="12.109375" style="151" customWidth="1"/>
    <col min="13075" max="13312" width="8.88671875" style="151"/>
    <col min="13313" max="13313" width="11.6640625" style="151" customWidth="1"/>
    <col min="13314" max="13314" width="14.44140625" style="151" customWidth="1"/>
    <col min="13315" max="13315" width="11.6640625" style="151" customWidth="1"/>
    <col min="13316" max="13316" width="8.88671875" style="151"/>
    <col min="13317" max="13317" width="13.5546875" style="151" customWidth="1"/>
    <col min="13318" max="13319" width="8.88671875" style="151"/>
    <col min="13320" max="13320" width="12.5546875" style="151" customWidth="1"/>
    <col min="13321" max="13321" width="12" style="151" customWidth="1"/>
    <col min="13322" max="13322" width="13" style="151" customWidth="1"/>
    <col min="13323" max="13323" width="10.109375" style="151" customWidth="1"/>
    <col min="13324" max="13324" width="15.33203125" style="151" customWidth="1"/>
    <col min="13325" max="13325" width="13" style="151" customWidth="1"/>
    <col min="13326" max="13326" width="8.88671875" style="151"/>
    <col min="13327" max="13327" width="11.109375" style="151" customWidth="1"/>
    <col min="13328" max="13328" width="8.88671875" style="151"/>
    <col min="13329" max="13329" width="11.109375" style="151" bestFit="1" customWidth="1"/>
    <col min="13330" max="13330" width="12.109375" style="151" customWidth="1"/>
    <col min="13331" max="13568" width="8.88671875" style="151"/>
    <col min="13569" max="13569" width="11.6640625" style="151" customWidth="1"/>
    <col min="13570" max="13570" width="14.44140625" style="151" customWidth="1"/>
    <col min="13571" max="13571" width="11.6640625" style="151" customWidth="1"/>
    <col min="13572" max="13572" width="8.88671875" style="151"/>
    <col min="13573" max="13573" width="13.5546875" style="151" customWidth="1"/>
    <col min="13574" max="13575" width="8.88671875" style="151"/>
    <col min="13576" max="13576" width="12.5546875" style="151" customWidth="1"/>
    <col min="13577" max="13577" width="12" style="151" customWidth="1"/>
    <col min="13578" max="13578" width="13" style="151" customWidth="1"/>
    <col min="13579" max="13579" width="10.109375" style="151" customWidth="1"/>
    <col min="13580" max="13580" width="15.33203125" style="151" customWidth="1"/>
    <col min="13581" max="13581" width="13" style="151" customWidth="1"/>
    <col min="13582" max="13582" width="8.88671875" style="151"/>
    <col min="13583" max="13583" width="11.109375" style="151" customWidth="1"/>
    <col min="13584" max="13584" width="8.88671875" style="151"/>
    <col min="13585" max="13585" width="11.109375" style="151" bestFit="1" customWidth="1"/>
    <col min="13586" max="13586" width="12.109375" style="151" customWidth="1"/>
    <col min="13587" max="13824" width="8.88671875" style="151"/>
    <col min="13825" max="13825" width="11.6640625" style="151" customWidth="1"/>
    <col min="13826" max="13826" width="14.44140625" style="151" customWidth="1"/>
    <col min="13827" max="13827" width="11.6640625" style="151" customWidth="1"/>
    <col min="13828" max="13828" width="8.88671875" style="151"/>
    <col min="13829" max="13829" width="13.5546875" style="151" customWidth="1"/>
    <col min="13830" max="13831" width="8.88671875" style="151"/>
    <col min="13832" max="13832" width="12.5546875" style="151" customWidth="1"/>
    <col min="13833" max="13833" width="12" style="151" customWidth="1"/>
    <col min="13834" max="13834" width="13" style="151" customWidth="1"/>
    <col min="13835" max="13835" width="10.109375" style="151" customWidth="1"/>
    <col min="13836" max="13836" width="15.33203125" style="151" customWidth="1"/>
    <col min="13837" max="13837" width="13" style="151" customWidth="1"/>
    <col min="13838" max="13838" width="8.88671875" style="151"/>
    <col min="13839" max="13839" width="11.109375" style="151" customWidth="1"/>
    <col min="13840" max="13840" width="8.88671875" style="151"/>
    <col min="13841" max="13841" width="11.109375" style="151" bestFit="1" customWidth="1"/>
    <col min="13842" max="13842" width="12.109375" style="151" customWidth="1"/>
    <col min="13843" max="14080" width="8.88671875" style="151"/>
    <col min="14081" max="14081" width="11.6640625" style="151" customWidth="1"/>
    <col min="14082" max="14082" width="14.44140625" style="151" customWidth="1"/>
    <col min="14083" max="14083" width="11.6640625" style="151" customWidth="1"/>
    <col min="14084" max="14084" width="8.88671875" style="151"/>
    <col min="14085" max="14085" width="13.5546875" style="151" customWidth="1"/>
    <col min="14086" max="14087" width="8.88671875" style="151"/>
    <col min="14088" max="14088" width="12.5546875" style="151" customWidth="1"/>
    <col min="14089" max="14089" width="12" style="151" customWidth="1"/>
    <col min="14090" max="14090" width="13" style="151" customWidth="1"/>
    <col min="14091" max="14091" width="10.109375" style="151" customWidth="1"/>
    <col min="14092" max="14092" width="15.33203125" style="151" customWidth="1"/>
    <col min="14093" max="14093" width="13" style="151" customWidth="1"/>
    <col min="14094" max="14094" width="8.88671875" style="151"/>
    <col min="14095" max="14095" width="11.109375" style="151" customWidth="1"/>
    <col min="14096" max="14096" width="8.88671875" style="151"/>
    <col min="14097" max="14097" width="11.109375" style="151" bestFit="1" customWidth="1"/>
    <col min="14098" max="14098" width="12.109375" style="151" customWidth="1"/>
    <col min="14099" max="14336" width="8.88671875" style="151"/>
    <col min="14337" max="14337" width="11.6640625" style="151" customWidth="1"/>
    <col min="14338" max="14338" width="14.44140625" style="151" customWidth="1"/>
    <col min="14339" max="14339" width="11.6640625" style="151" customWidth="1"/>
    <col min="14340" max="14340" width="8.88671875" style="151"/>
    <col min="14341" max="14341" width="13.5546875" style="151" customWidth="1"/>
    <col min="14342" max="14343" width="8.88671875" style="151"/>
    <col min="14344" max="14344" width="12.5546875" style="151" customWidth="1"/>
    <col min="14345" max="14345" width="12" style="151" customWidth="1"/>
    <col min="14346" max="14346" width="13" style="151" customWidth="1"/>
    <col min="14347" max="14347" width="10.109375" style="151" customWidth="1"/>
    <col min="14348" max="14348" width="15.33203125" style="151" customWidth="1"/>
    <col min="14349" max="14349" width="13" style="151" customWidth="1"/>
    <col min="14350" max="14350" width="8.88671875" style="151"/>
    <col min="14351" max="14351" width="11.109375" style="151" customWidth="1"/>
    <col min="14352" max="14352" width="8.88671875" style="151"/>
    <col min="14353" max="14353" width="11.109375" style="151" bestFit="1" customWidth="1"/>
    <col min="14354" max="14354" width="12.109375" style="151" customWidth="1"/>
    <col min="14355" max="14592" width="8.88671875" style="151"/>
    <col min="14593" max="14593" width="11.6640625" style="151" customWidth="1"/>
    <col min="14594" max="14594" width="14.44140625" style="151" customWidth="1"/>
    <col min="14595" max="14595" width="11.6640625" style="151" customWidth="1"/>
    <col min="14596" max="14596" width="8.88671875" style="151"/>
    <col min="14597" max="14597" width="13.5546875" style="151" customWidth="1"/>
    <col min="14598" max="14599" width="8.88671875" style="151"/>
    <col min="14600" max="14600" width="12.5546875" style="151" customWidth="1"/>
    <col min="14601" max="14601" width="12" style="151" customWidth="1"/>
    <col min="14602" max="14602" width="13" style="151" customWidth="1"/>
    <col min="14603" max="14603" width="10.109375" style="151" customWidth="1"/>
    <col min="14604" max="14604" width="15.33203125" style="151" customWidth="1"/>
    <col min="14605" max="14605" width="13" style="151" customWidth="1"/>
    <col min="14606" max="14606" width="8.88671875" style="151"/>
    <col min="14607" max="14607" width="11.109375" style="151" customWidth="1"/>
    <col min="14608" max="14608" width="8.88671875" style="151"/>
    <col min="14609" max="14609" width="11.109375" style="151" bestFit="1" customWidth="1"/>
    <col min="14610" max="14610" width="12.109375" style="151" customWidth="1"/>
    <col min="14611" max="14848" width="8.88671875" style="151"/>
    <col min="14849" max="14849" width="11.6640625" style="151" customWidth="1"/>
    <col min="14850" max="14850" width="14.44140625" style="151" customWidth="1"/>
    <col min="14851" max="14851" width="11.6640625" style="151" customWidth="1"/>
    <col min="14852" max="14852" width="8.88671875" style="151"/>
    <col min="14853" max="14853" width="13.5546875" style="151" customWidth="1"/>
    <col min="14854" max="14855" width="8.88671875" style="151"/>
    <col min="14856" max="14856" width="12.5546875" style="151" customWidth="1"/>
    <col min="14857" max="14857" width="12" style="151" customWidth="1"/>
    <col min="14858" max="14858" width="13" style="151" customWidth="1"/>
    <col min="14859" max="14859" width="10.109375" style="151" customWidth="1"/>
    <col min="14860" max="14860" width="15.33203125" style="151" customWidth="1"/>
    <col min="14861" max="14861" width="13" style="151" customWidth="1"/>
    <col min="14862" max="14862" width="8.88671875" style="151"/>
    <col min="14863" max="14863" width="11.109375" style="151" customWidth="1"/>
    <col min="14864" max="14864" width="8.88671875" style="151"/>
    <col min="14865" max="14865" width="11.109375" style="151" bestFit="1" customWidth="1"/>
    <col min="14866" max="14866" width="12.109375" style="151" customWidth="1"/>
    <col min="14867" max="15104" width="8.88671875" style="151"/>
    <col min="15105" max="15105" width="11.6640625" style="151" customWidth="1"/>
    <col min="15106" max="15106" width="14.44140625" style="151" customWidth="1"/>
    <col min="15107" max="15107" width="11.6640625" style="151" customWidth="1"/>
    <col min="15108" max="15108" width="8.88671875" style="151"/>
    <col min="15109" max="15109" width="13.5546875" style="151" customWidth="1"/>
    <col min="15110" max="15111" width="8.88671875" style="151"/>
    <col min="15112" max="15112" width="12.5546875" style="151" customWidth="1"/>
    <col min="15113" max="15113" width="12" style="151" customWidth="1"/>
    <col min="15114" max="15114" width="13" style="151" customWidth="1"/>
    <col min="15115" max="15115" width="10.109375" style="151" customWidth="1"/>
    <col min="15116" max="15116" width="15.33203125" style="151" customWidth="1"/>
    <col min="15117" max="15117" width="13" style="151" customWidth="1"/>
    <col min="15118" max="15118" width="8.88671875" style="151"/>
    <col min="15119" max="15119" width="11.109375" style="151" customWidth="1"/>
    <col min="15120" max="15120" width="8.88671875" style="151"/>
    <col min="15121" max="15121" width="11.109375" style="151" bestFit="1" customWidth="1"/>
    <col min="15122" max="15122" width="12.109375" style="151" customWidth="1"/>
    <col min="15123" max="15360" width="8.88671875" style="151"/>
    <col min="15361" max="15361" width="11.6640625" style="151" customWidth="1"/>
    <col min="15362" max="15362" width="14.44140625" style="151" customWidth="1"/>
    <col min="15363" max="15363" width="11.6640625" style="151" customWidth="1"/>
    <col min="15364" max="15364" width="8.88671875" style="151"/>
    <col min="15365" max="15365" width="13.5546875" style="151" customWidth="1"/>
    <col min="15366" max="15367" width="8.88671875" style="151"/>
    <col min="15368" max="15368" width="12.5546875" style="151" customWidth="1"/>
    <col min="15369" max="15369" width="12" style="151" customWidth="1"/>
    <col min="15370" max="15370" width="13" style="151" customWidth="1"/>
    <col min="15371" max="15371" width="10.109375" style="151" customWidth="1"/>
    <col min="15372" max="15372" width="15.33203125" style="151" customWidth="1"/>
    <col min="15373" max="15373" width="13" style="151" customWidth="1"/>
    <col min="15374" max="15374" width="8.88671875" style="151"/>
    <col min="15375" max="15375" width="11.109375" style="151" customWidth="1"/>
    <col min="15376" max="15376" width="8.88671875" style="151"/>
    <col min="15377" max="15377" width="11.109375" style="151" bestFit="1" customWidth="1"/>
    <col min="15378" max="15378" width="12.109375" style="151" customWidth="1"/>
    <col min="15379" max="15616" width="8.88671875" style="151"/>
    <col min="15617" max="15617" width="11.6640625" style="151" customWidth="1"/>
    <col min="15618" max="15618" width="14.44140625" style="151" customWidth="1"/>
    <col min="15619" max="15619" width="11.6640625" style="151" customWidth="1"/>
    <col min="15620" max="15620" width="8.88671875" style="151"/>
    <col min="15621" max="15621" width="13.5546875" style="151" customWidth="1"/>
    <col min="15622" max="15623" width="8.88671875" style="151"/>
    <col min="15624" max="15624" width="12.5546875" style="151" customWidth="1"/>
    <col min="15625" max="15625" width="12" style="151" customWidth="1"/>
    <col min="15626" max="15626" width="13" style="151" customWidth="1"/>
    <col min="15627" max="15627" width="10.109375" style="151" customWidth="1"/>
    <col min="15628" max="15628" width="15.33203125" style="151" customWidth="1"/>
    <col min="15629" max="15629" width="13" style="151" customWidth="1"/>
    <col min="15630" max="15630" width="8.88671875" style="151"/>
    <col min="15631" max="15631" width="11.109375" style="151" customWidth="1"/>
    <col min="15632" max="15632" width="8.88671875" style="151"/>
    <col min="15633" max="15633" width="11.109375" style="151" bestFit="1" customWidth="1"/>
    <col min="15634" max="15634" width="12.109375" style="151" customWidth="1"/>
    <col min="15635" max="15872" width="8.88671875" style="151"/>
    <col min="15873" max="15873" width="11.6640625" style="151" customWidth="1"/>
    <col min="15874" max="15874" width="14.44140625" style="151" customWidth="1"/>
    <col min="15875" max="15875" width="11.6640625" style="151" customWidth="1"/>
    <col min="15876" max="15876" width="8.88671875" style="151"/>
    <col min="15877" max="15877" width="13.5546875" style="151" customWidth="1"/>
    <col min="15878" max="15879" width="8.88671875" style="151"/>
    <col min="15880" max="15880" width="12.5546875" style="151" customWidth="1"/>
    <col min="15881" max="15881" width="12" style="151" customWidth="1"/>
    <col min="15882" max="15882" width="13" style="151" customWidth="1"/>
    <col min="15883" max="15883" width="10.109375" style="151" customWidth="1"/>
    <col min="15884" max="15884" width="15.33203125" style="151" customWidth="1"/>
    <col min="15885" max="15885" width="13" style="151" customWidth="1"/>
    <col min="15886" max="15886" width="8.88671875" style="151"/>
    <col min="15887" max="15887" width="11.109375" style="151" customWidth="1"/>
    <col min="15888" max="15888" width="8.88671875" style="151"/>
    <col min="15889" max="15889" width="11.109375" style="151" bestFit="1" customWidth="1"/>
    <col min="15890" max="15890" width="12.109375" style="151" customWidth="1"/>
    <col min="15891" max="16128" width="8.88671875" style="151"/>
    <col min="16129" max="16129" width="11.6640625" style="151" customWidth="1"/>
    <col min="16130" max="16130" width="14.44140625" style="151" customWidth="1"/>
    <col min="16131" max="16131" width="11.6640625" style="151" customWidth="1"/>
    <col min="16132" max="16132" width="8.88671875" style="151"/>
    <col min="16133" max="16133" width="13.5546875" style="151" customWidth="1"/>
    <col min="16134" max="16135" width="8.88671875" style="151"/>
    <col min="16136" max="16136" width="12.5546875" style="151" customWidth="1"/>
    <col min="16137" max="16137" width="12" style="151" customWidth="1"/>
    <col min="16138" max="16138" width="13" style="151" customWidth="1"/>
    <col min="16139" max="16139" width="10.109375" style="151" customWidth="1"/>
    <col min="16140" max="16140" width="15.33203125" style="151" customWidth="1"/>
    <col min="16141" max="16141" width="13" style="151" customWidth="1"/>
    <col min="16142" max="16142" width="8.88671875" style="151"/>
    <col min="16143" max="16143" width="11.109375" style="151" customWidth="1"/>
    <col min="16144" max="16144" width="8.88671875" style="151"/>
    <col min="16145" max="16145" width="11.109375" style="151" bestFit="1" customWidth="1"/>
    <col min="16146" max="16146" width="12.109375" style="151" customWidth="1"/>
    <col min="16147" max="16384" width="8.88671875" style="151"/>
  </cols>
  <sheetData>
    <row r="1" spans="1:18">
      <c r="A1" s="204" t="s">
        <v>54</v>
      </c>
      <c r="B1" s="204"/>
      <c r="C1" s="204"/>
      <c r="D1" s="204"/>
      <c r="E1" s="204"/>
      <c r="H1" s="204" t="s">
        <v>54</v>
      </c>
      <c r="I1" s="204"/>
      <c r="J1" s="204"/>
      <c r="K1" s="204"/>
      <c r="L1" s="204"/>
      <c r="M1" s="204"/>
    </row>
    <row r="2" spans="1:18">
      <c r="A2" s="204" t="s">
        <v>147</v>
      </c>
      <c r="B2" s="204"/>
      <c r="C2" s="204"/>
      <c r="D2" s="204"/>
      <c r="E2" s="204"/>
      <c r="H2" s="204" t="s">
        <v>148</v>
      </c>
      <c r="I2" s="204"/>
      <c r="J2" s="204"/>
      <c r="K2" s="204"/>
      <c r="L2" s="204"/>
      <c r="M2" s="204"/>
    </row>
    <row r="3" spans="1:18">
      <c r="A3" s="204" t="s">
        <v>149</v>
      </c>
      <c r="B3" s="204"/>
      <c r="C3" s="204"/>
      <c r="D3" s="204"/>
      <c r="E3" s="204"/>
      <c r="H3" s="204" t="s">
        <v>149</v>
      </c>
      <c r="I3" s="204"/>
      <c r="J3" s="204"/>
      <c r="K3" s="204"/>
      <c r="L3" s="204"/>
      <c r="M3" s="204"/>
    </row>
    <row r="4" spans="1:18">
      <c r="L4" s="202" t="s">
        <v>150</v>
      </c>
      <c r="M4" s="152"/>
      <c r="O4" s="203" t="s">
        <v>152</v>
      </c>
      <c r="Q4" s="153"/>
    </row>
    <row r="5" spans="1:18">
      <c r="B5" s="154" t="s">
        <v>153</v>
      </c>
      <c r="C5" s="154"/>
      <c r="D5" s="154"/>
      <c r="E5" s="155" t="s">
        <v>154</v>
      </c>
      <c r="I5" s="154" t="s">
        <v>155</v>
      </c>
      <c r="J5" s="154"/>
      <c r="K5" s="154"/>
      <c r="L5" s="202"/>
      <c r="M5" s="152" t="s">
        <v>151</v>
      </c>
      <c r="O5" s="203"/>
      <c r="Q5" s="153"/>
      <c r="R5" s="152"/>
    </row>
    <row r="6" spans="1:18">
      <c r="B6" s="156" t="s">
        <v>156</v>
      </c>
      <c r="C6" s="156" t="s">
        <v>157</v>
      </c>
      <c r="D6" s="154"/>
      <c r="E6" s="156" t="s">
        <v>158</v>
      </c>
      <c r="I6" s="156" t="s">
        <v>159</v>
      </c>
      <c r="J6" s="156" t="s">
        <v>160</v>
      </c>
      <c r="K6" s="156" t="s">
        <v>161</v>
      </c>
      <c r="L6" s="202"/>
      <c r="M6" s="156" t="s">
        <v>158</v>
      </c>
      <c r="O6" s="203"/>
      <c r="Q6" s="153"/>
      <c r="R6" s="152"/>
    </row>
    <row r="7" spans="1:18">
      <c r="B7" s="156"/>
      <c r="C7" s="156"/>
      <c r="D7" s="154"/>
      <c r="E7" s="156"/>
      <c r="I7" s="156"/>
      <c r="J7" s="156"/>
      <c r="K7" s="156"/>
      <c r="L7" s="157"/>
      <c r="M7" s="156"/>
      <c r="O7" s="153"/>
    </row>
    <row r="8" spans="1:18">
      <c r="B8" s="158">
        <f>B10/E36</f>
        <v>-3.9954943533188487E-5</v>
      </c>
      <c r="C8" s="159" t="s">
        <v>162</v>
      </c>
      <c r="D8" s="154"/>
      <c r="E8" s="156"/>
      <c r="I8" s="160">
        <f>ROUND(C45,5)</f>
        <v>-4.0000000000000003E-5</v>
      </c>
      <c r="J8" s="160"/>
      <c r="K8" s="161">
        <v>3.2500000000000001E-2</v>
      </c>
      <c r="L8" s="154"/>
    </row>
    <row r="10" spans="1:18">
      <c r="A10" s="162">
        <v>41214</v>
      </c>
      <c r="B10" s="163">
        <f>F61</f>
        <v>-4736</v>
      </c>
      <c r="C10" s="164"/>
      <c r="E10" s="165">
        <v>14481078.739946209</v>
      </c>
      <c r="H10" s="166">
        <f>A10</f>
        <v>41214</v>
      </c>
      <c r="I10" s="163">
        <f>F59</f>
        <v>-6676</v>
      </c>
      <c r="J10" s="163"/>
      <c r="K10" s="164"/>
      <c r="L10" s="161"/>
      <c r="M10" s="167">
        <v>11930588</v>
      </c>
      <c r="O10" s="168">
        <f>M10-E10</f>
        <v>-2550490.7399462089</v>
      </c>
      <c r="Q10" s="169"/>
      <c r="R10" s="170"/>
    </row>
    <row r="11" spans="1:18">
      <c r="B11" s="169"/>
      <c r="C11" s="169">
        <f>((B10+B12)/2)*(0.0325/12)</f>
        <v>-12.043158449624512</v>
      </c>
      <c r="E11" s="165"/>
      <c r="H11" s="166"/>
      <c r="I11" s="169"/>
      <c r="J11" s="171">
        <f>-M10*I$8</f>
        <v>477.22352000000006</v>
      </c>
      <c r="K11" s="169">
        <f>((I10+I10+J11)/2)*(L11/12)</f>
        <v>-17.434593150000001</v>
      </c>
      <c r="L11" s="164">
        <f>K8</f>
        <v>3.2500000000000001E-2</v>
      </c>
      <c r="M11" s="167"/>
      <c r="O11" s="168">
        <f t="shared" ref="O11:O31" si="0">M11-E11</f>
        <v>0</v>
      </c>
      <c r="Q11" s="169"/>
      <c r="R11" s="135"/>
    </row>
    <row r="12" spans="1:18">
      <c r="A12" s="162">
        <f>A10+30</f>
        <v>41244</v>
      </c>
      <c r="B12" s="169">
        <f>B10-($B$8*E10)</f>
        <v>-4157.4093166457933</v>
      </c>
      <c r="E12" s="165">
        <v>20462590.159715034</v>
      </c>
      <c r="H12" s="166">
        <f t="shared" ref="H12:H34" si="1">A12</f>
        <v>41244</v>
      </c>
      <c r="I12" s="169">
        <f>I10+J11+K11</f>
        <v>-6216.2110731499997</v>
      </c>
      <c r="J12" s="169"/>
      <c r="L12" s="164"/>
      <c r="M12" s="167">
        <v>17528479</v>
      </c>
      <c r="O12" s="168">
        <f t="shared" si="0"/>
        <v>-2934111.1597150341</v>
      </c>
      <c r="Q12" s="169"/>
      <c r="R12" s="172"/>
    </row>
    <row r="13" spans="1:18">
      <c r="A13" s="162"/>
      <c r="B13" s="169"/>
      <c r="C13" s="169">
        <f>((B12+B14)/2)*(0.0325/12)</f>
        <v>-10.152508436033971</v>
      </c>
      <c r="E13" s="165"/>
      <c r="H13" s="166"/>
      <c r="I13" s="169"/>
      <c r="J13" s="171">
        <f>-M12*I$8</f>
        <v>701.13916000000006</v>
      </c>
      <c r="K13" s="169">
        <f>((I12+I12+J13)/2)*(L13/12)</f>
        <v>-15.886112377281249</v>
      </c>
      <c r="L13" s="164">
        <f>L11</f>
        <v>3.2500000000000001E-2</v>
      </c>
      <c r="M13" s="167"/>
      <c r="O13" s="168">
        <f t="shared" si="0"/>
        <v>0</v>
      </c>
      <c r="R13" s="172"/>
    </row>
    <row r="14" spans="1:18">
      <c r="A14" s="162">
        <f>A12+31</f>
        <v>41275</v>
      </c>
      <c r="B14" s="169">
        <f>B12-(B8*E12)</f>
        <v>-3339.8276822716007</v>
      </c>
      <c r="C14" s="169"/>
      <c r="E14" s="165">
        <v>20078977.547132555</v>
      </c>
      <c r="H14" s="166">
        <f t="shared" si="1"/>
        <v>41275</v>
      </c>
      <c r="I14" s="169">
        <f>I12+J13+K13+F60+E45</f>
        <v>1792.0662061943076</v>
      </c>
      <c r="J14" s="169"/>
      <c r="K14" s="169"/>
      <c r="L14" s="164"/>
      <c r="M14" s="167">
        <v>22136409</v>
      </c>
      <c r="O14" s="168">
        <f t="shared" si="0"/>
        <v>2057431.4528674446</v>
      </c>
      <c r="R14" s="170"/>
    </row>
    <row r="15" spans="1:18">
      <c r="A15" s="162"/>
      <c r="B15" s="169"/>
      <c r="C15" s="169">
        <f>((B14+B16)/2)*(0.0325/12)</f>
        <v>-7.9589804537253848</v>
      </c>
      <c r="E15" s="165"/>
      <c r="H15" s="166"/>
      <c r="I15" s="169"/>
      <c r="J15" s="171">
        <f>-M14*I$8</f>
        <v>885.45636000000002</v>
      </c>
      <c r="K15" s="169">
        <f>((I14+I14+J15)/2)*(L15/12)</f>
        <v>6.0525681292762501</v>
      </c>
      <c r="L15" s="173">
        <v>3.2500000000000001E-2</v>
      </c>
      <c r="M15" s="167"/>
      <c r="O15" s="168">
        <f t="shared" si="0"/>
        <v>0</v>
      </c>
      <c r="R15" s="172"/>
    </row>
    <row r="16" spans="1:18">
      <c r="A16" s="162">
        <f>A14+31</f>
        <v>41306</v>
      </c>
      <c r="B16" s="169">
        <f>B14-(B8*E14)</f>
        <v>-2537.57326817176</v>
      </c>
      <c r="C16" s="169"/>
      <c r="E16" s="165">
        <v>16681774.8642745</v>
      </c>
      <c r="H16" s="166">
        <f t="shared" si="1"/>
        <v>41306</v>
      </c>
      <c r="I16" s="169">
        <f>I14+J15+K15</f>
        <v>2683.5751343235838</v>
      </c>
      <c r="J16" s="169"/>
      <c r="K16" s="169"/>
      <c r="L16" s="164"/>
      <c r="M16" s="167">
        <v>16585315</v>
      </c>
      <c r="O16" s="168">
        <f t="shared" si="0"/>
        <v>-96459.864274499938</v>
      </c>
      <c r="R16" s="170"/>
    </row>
    <row r="17" spans="1:18">
      <c r="A17" s="162"/>
      <c r="B17" s="169"/>
      <c r="C17" s="169">
        <f>((B16+B18)/2)*(0.0325/12)</f>
        <v>-5.9700159507192607</v>
      </c>
      <c r="E17" s="165"/>
      <c r="H17" s="166"/>
      <c r="I17" s="169"/>
      <c r="J17" s="171">
        <f>-M16*I$8</f>
        <v>663.4126</v>
      </c>
      <c r="K17" s="169">
        <f>((I16+I16+J17)/2)*(L17/12)</f>
        <v>8.1663872179597057</v>
      </c>
      <c r="L17" s="164">
        <f>L15</f>
        <v>3.2500000000000001E-2</v>
      </c>
      <c r="M17" s="167"/>
      <c r="O17" s="168">
        <f t="shared" si="0"/>
        <v>0</v>
      </c>
      <c r="R17" s="172"/>
    </row>
    <row r="18" spans="1:18">
      <c r="A18" s="162">
        <f>A16+29</f>
        <v>41335</v>
      </c>
      <c r="B18" s="169">
        <f>B16-(B8*E16)</f>
        <v>-1871.0538954363092</v>
      </c>
      <c r="C18" s="169"/>
      <c r="E18" s="165">
        <v>13671553.672490146</v>
      </c>
      <c r="H18" s="166">
        <f t="shared" si="1"/>
        <v>41335</v>
      </c>
      <c r="I18" s="169">
        <f>I16+J17+K17</f>
        <v>3355.1541215415436</v>
      </c>
      <c r="J18" s="169"/>
      <c r="K18" s="169"/>
      <c r="L18" s="164"/>
      <c r="M18" s="167">
        <v>12776328</v>
      </c>
      <c r="O18" s="168">
        <f t="shared" si="0"/>
        <v>-895225.67249014601</v>
      </c>
      <c r="R18" s="170"/>
    </row>
    <row r="19" spans="1:18">
      <c r="A19" s="162"/>
      <c r="B19" s="169"/>
      <c r="C19" s="169">
        <f>((B18+B20)/2)*(0.0325/12)</f>
        <v>-4.3277292985838693</v>
      </c>
      <c r="E19" s="165"/>
      <c r="H19" s="166"/>
      <c r="I19" s="169"/>
      <c r="J19" s="171">
        <f>-M18*I$8</f>
        <v>511.05312000000004</v>
      </c>
      <c r="K19" s="169">
        <f>((I18+I18+J19)/2)*(L19/12)</f>
        <v>9.7789268458416814</v>
      </c>
      <c r="L19" s="164">
        <f>L17</f>
        <v>3.2500000000000001E-2</v>
      </c>
      <c r="M19" s="167"/>
      <c r="O19" s="168">
        <f t="shared" si="0"/>
        <v>0</v>
      </c>
      <c r="R19" s="172"/>
    </row>
    <row r="20" spans="1:18">
      <c r="A20" s="162">
        <f>A18+31</f>
        <v>41366</v>
      </c>
      <c r="B20" s="169">
        <f>B18-(B8*E18)</f>
        <v>-1324.8077404410096</v>
      </c>
      <c r="C20" s="169"/>
      <c r="E20" s="165">
        <v>9398907.0646130051</v>
      </c>
      <c r="H20" s="166">
        <f t="shared" si="1"/>
        <v>41366</v>
      </c>
      <c r="I20" s="169">
        <f>I18+J19+K19</f>
        <v>3875.9861683873855</v>
      </c>
      <c r="J20" s="169"/>
      <c r="K20" s="169"/>
      <c r="L20" s="164"/>
      <c r="M20" s="167">
        <v>8689955</v>
      </c>
      <c r="O20" s="168">
        <f t="shared" si="0"/>
        <v>-708952.06461300515</v>
      </c>
      <c r="R20" s="170"/>
    </row>
    <row r="21" spans="1:18">
      <c r="A21" s="162"/>
      <c r="B21" s="169"/>
      <c r="C21" s="169">
        <f>((B20+B22)/2)*(0.0325/12)</f>
        <v>-3.0794869622856629</v>
      </c>
      <c r="E21" s="165"/>
      <c r="H21" s="166"/>
      <c r="I21" s="169"/>
      <c r="J21" s="171">
        <f>-M20*I$8</f>
        <v>347.59820000000002</v>
      </c>
      <c r="K21" s="169">
        <f>((I20+I20+J21)/2)*(L21/12)</f>
        <v>10.968168435215837</v>
      </c>
      <c r="L21" s="173">
        <v>3.2500000000000001E-2</v>
      </c>
      <c r="M21" s="167"/>
      <c r="O21" s="168">
        <f t="shared" si="0"/>
        <v>0</v>
      </c>
      <c r="R21" s="172"/>
    </row>
    <row r="22" spans="1:18">
      <c r="A22" s="162">
        <f>A20+30</f>
        <v>41396</v>
      </c>
      <c r="B22" s="169">
        <f>B20-(B8*E20)</f>
        <v>-949.27493940071065</v>
      </c>
      <c r="C22" s="169"/>
      <c r="E22" s="165">
        <v>5460040.2062474284</v>
      </c>
      <c r="H22" s="166">
        <f t="shared" si="1"/>
        <v>41396</v>
      </c>
      <c r="I22" s="169">
        <f>I20+J21+K21</f>
        <v>4234.5525368226017</v>
      </c>
      <c r="J22" s="169"/>
      <c r="K22" s="169"/>
      <c r="L22" s="164"/>
      <c r="M22" s="167">
        <v>4182901</v>
      </c>
      <c r="O22" s="168">
        <f t="shared" si="0"/>
        <v>-1277139.2062474284</v>
      </c>
      <c r="R22" s="170"/>
    </row>
    <row r="23" spans="1:18">
      <c r="A23" s="162"/>
      <c r="B23" s="169"/>
      <c r="C23" s="169">
        <f>((B22+B24)/2)*(0.0325/12)</f>
        <v>-2.2755339217431527</v>
      </c>
      <c r="E23" s="165"/>
      <c r="H23" s="166"/>
      <c r="I23" s="169"/>
      <c r="J23" s="171">
        <f>-M22*I$8</f>
        <v>167.31604000000002</v>
      </c>
      <c r="K23" s="169">
        <f>((I22+I22+J23)/2)*(L23/12)</f>
        <v>11.695153591394547</v>
      </c>
      <c r="L23" s="164">
        <f>L21</f>
        <v>3.2500000000000001E-2</v>
      </c>
      <c r="M23" s="167"/>
      <c r="O23" s="168">
        <f t="shared" si="0"/>
        <v>0</v>
      </c>
      <c r="R23" s="172"/>
    </row>
    <row r="24" spans="1:18">
      <c r="A24" s="162">
        <f>A22+31</f>
        <v>41427</v>
      </c>
      <c r="B24" s="169">
        <f>B22-(B8*E22)</f>
        <v>-731.1193412711558</v>
      </c>
      <c r="C24" s="169"/>
      <c r="E24" s="165">
        <v>3311845.0851897532</v>
      </c>
      <c r="H24" s="166">
        <f t="shared" si="1"/>
        <v>41427</v>
      </c>
      <c r="I24" s="169">
        <f>I22+J23+K23</f>
        <v>4413.5637304139964</v>
      </c>
      <c r="J24" s="169"/>
      <c r="K24" s="169"/>
      <c r="L24" s="164"/>
      <c r="M24" s="167">
        <v>2800295</v>
      </c>
      <c r="O24" s="168">
        <f t="shared" si="0"/>
        <v>-511550.08518975321</v>
      </c>
      <c r="R24" s="170"/>
    </row>
    <row r="25" spans="1:18">
      <c r="A25" s="162"/>
      <c r="B25" s="169"/>
      <c r="C25" s="169">
        <f>((B24+B26)/2)*(0.0325/12)</f>
        <v>-1.8009253426299516</v>
      </c>
      <c r="E25" s="165"/>
      <c r="H25" s="166"/>
      <c r="I25" s="169"/>
      <c r="J25" s="171">
        <f>-M24*I$8</f>
        <v>112.01180000000001</v>
      </c>
      <c r="K25" s="169">
        <f>((I24+I24+J25)/2)*(L25/12)</f>
        <v>12.105084415704574</v>
      </c>
      <c r="L25" s="164">
        <f>L23</f>
        <v>3.2500000000000001E-2</v>
      </c>
      <c r="M25" s="167"/>
      <c r="O25" s="168">
        <f t="shared" si="0"/>
        <v>0</v>
      </c>
      <c r="R25" s="172"/>
    </row>
    <row r="26" spans="1:18">
      <c r="A26" s="162">
        <f>A24+30</f>
        <v>41457</v>
      </c>
      <c r="B26" s="169">
        <f>B24-(B8*E24)</f>
        <v>-598.79475790173137</v>
      </c>
      <c r="C26" s="169"/>
      <c r="E26" s="165">
        <v>2459548.6678194921</v>
      </c>
      <c r="H26" s="166">
        <f t="shared" si="1"/>
        <v>41457</v>
      </c>
      <c r="I26" s="169">
        <f>I24+J25+K25</f>
        <v>4537.680614829701</v>
      </c>
      <c r="J26" s="169"/>
      <c r="K26" s="169"/>
      <c r="L26" s="164"/>
      <c r="M26" s="167">
        <v>2082299</v>
      </c>
      <c r="O26" s="168">
        <f t="shared" si="0"/>
        <v>-377249.66781949205</v>
      </c>
      <c r="R26" s="167"/>
    </row>
    <row r="27" spans="1:18">
      <c r="A27" s="162"/>
      <c r="B27" s="169"/>
      <c r="C27" s="169">
        <f>((B26+B28)/2)*(0.0325/12)</f>
        <v>-1.4886603166277999</v>
      </c>
      <c r="E27" s="165"/>
      <c r="H27" s="166"/>
      <c r="I27" s="169"/>
      <c r="J27" s="171">
        <f>-M26*I$8</f>
        <v>83.291960000000003</v>
      </c>
      <c r="K27" s="169">
        <f>((I26+I26+J27)/2)*(L27/12)</f>
        <v>12.402342860997107</v>
      </c>
      <c r="L27" s="173">
        <v>3.2500000000000001E-2</v>
      </c>
      <c r="M27" s="167"/>
      <c r="O27" s="168">
        <f t="shared" si="0"/>
        <v>0</v>
      </c>
      <c r="R27" s="167"/>
    </row>
    <row r="28" spans="1:18">
      <c r="A28" s="162">
        <f>A26+31</f>
        <v>41488</v>
      </c>
      <c r="B28" s="169">
        <f>B26-(B8*E26)</f>
        <v>-500.52362976187459</v>
      </c>
      <c r="C28" s="169"/>
      <c r="E28" s="165">
        <v>2395127.867811827</v>
      </c>
      <c r="H28" s="166">
        <f t="shared" si="1"/>
        <v>41488</v>
      </c>
      <c r="I28" s="169">
        <f>I26+J27+K27</f>
        <v>4633.3749176906977</v>
      </c>
      <c r="J28" s="169"/>
      <c r="K28" s="169"/>
      <c r="L28" s="164"/>
      <c r="M28" s="167">
        <v>2046635</v>
      </c>
      <c r="O28" s="168">
        <f t="shared" si="0"/>
        <v>-348492.86781182699</v>
      </c>
      <c r="R28" s="167"/>
    </row>
    <row r="29" spans="1:18">
      <c r="A29" s="162"/>
      <c r="B29" s="169"/>
      <c r="C29" s="169">
        <f>((B28+B30)/2)*(0.0325/12)</f>
        <v>-1.2259948740143021</v>
      </c>
      <c r="E29" s="165"/>
      <c r="H29" s="166"/>
      <c r="I29" s="169"/>
      <c r="J29" s="171">
        <f>-M28*I$8</f>
        <v>81.865400000000008</v>
      </c>
      <c r="K29" s="169">
        <f>((I28+I28+J29)/2)*(L29/12)</f>
        <v>12.659583131245641</v>
      </c>
      <c r="L29" s="164">
        <f>L27</f>
        <v>3.2500000000000001E-2</v>
      </c>
      <c r="M29" s="167"/>
      <c r="O29" s="168">
        <f t="shared" si="0"/>
        <v>0</v>
      </c>
      <c r="R29" s="174"/>
    </row>
    <row r="30" spans="1:18">
      <c r="A30" s="162">
        <f>A28+31</f>
        <v>41519</v>
      </c>
      <c r="B30" s="169">
        <f>B28-(B8*E28)</f>
        <v>-404.82643104868691</v>
      </c>
      <c r="C30" s="169"/>
      <c r="E30" s="165">
        <v>2971219.9045618186</v>
      </c>
      <c r="H30" s="166">
        <f t="shared" si="1"/>
        <v>41519</v>
      </c>
      <c r="I30" s="169">
        <f>I28+J29+K29</f>
        <v>4727.8999008219425</v>
      </c>
      <c r="J30" s="169"/>
      <c r="K30" s="169"/>
      <c r="L30" s="164"/>
      <c r="M30" s="167">
        <v>2647538</v>
      </c>
      <c r="O30" s="168">
        <f t="shared" si="0"/>
        <v>-323681.90456181858</v>
      </c>
      <c r="R30" s="174"/>
    </row>
    <row r="31" spans="1:18">
      <c r="A31" s="162"/>
      <c r="B31" s="169"/>
      <c r="C31" s="169">
        <f>((B30+B32)/2)*(0.0325/12)</f>
        <v>-0.93564512516843423</v>
      </c>
      <c r="E31" s="165"/>
      <c r="H31" s="166"/>
      <c r="I31" s="169"/>
      <c r="J31" s="171">
        <f>-M30*I$8</f>
        <v>105.90152</v>
      </c>
      <c r="K31" s="169">
        <f>((I30+I30+J31)/2)*(L31/12)</f>
        <v>12.948137206392762</v>
      </c>
      <c r="L31" s="164">
        <f>L29</f>
        <v>3.2500000000000001E-2</v>
      </c>
      <c r="M31" s="167"/>
      <c r="O31" s="168">
        <f t="shared" si="0"/>
        <v>0</v>
      </c>
      <c r="R31" s="174"/>
    </row>
    <row r="32" spans="1:18" ht="15">
      <c r="A32" s="162">
        <f>A30+30</f>
        <v>41549</v>
      </c>
      <c r="B32" s="169">
        <f>B30-(B8*E30)</f>
        <v>-286.11150753723376</v>
      </c>
      <c r="C32" s="169"/>
      <c r="E32" s="175">
        <v>7160854.7576727131</v>
      </c>
      <c r="H32" s="166">
        <f t="shared" si="1"/>
        <v>41549</v>
      </c>
      <c r="I32" s="169">
        <f>I30+J31+K31</f>
        <v>4846.7495580283357</v>
      </c>
      <c r="J32" s="169"/>
      <c r="K32" s="169"/>
      <c r="L32" s="164"/>
      <c r="M32" s="167">
        <v>9244353</v>
      </c>
      <c r="O32" s="168">
        <f>M32+M34+M36-E32</f>
        <v>2758246.2423272869</v>
      </c>
      <c r="R32" s="176"/>
    </row>
    <row r="33" spans="1:15">
      <c r="A33" s="162"/>
      <c r="B33" s="169"/>
      <c r="C33" s="169">
        <f>((B32+B34)/2)*(0.0325/12)</f>
        <v>-0.3874426123510179</v>
      </c>
      <c r="E33" s="174"/>
      <c r="H33" s="166"/>
      <c r="I33" s="169"/>
      <c r="J33" s="171">
        <f>-M32*I$8</f>
        <v>369.77412000000004</v>
      </c>
      <c r="K33" s="169">
        <f>((I32+I32+J33)/2)*(L33/12)</f>
        <v>13.627349173826744</v>
      </c>
      <c r="L33" s="173">
        <v>3.2500000000000001E-2</v>
      </c>
    </row>
    <row r="34" spans="1:15">
      <c r="A34" s="162">
        <f>A32+31</f>
        <v>41580</v>
      </c>
      <c r="B34" s="169">
        <f>B32-(B8*E32)</f>
        <v>3.9954943645170715E-5</v>
      </c>
      <c r="E34" s="174"/>
      <c r="H34" s="166">
        <f t="shared" si="1"/>
        <v>41580</v>
      </c>
      <c r="I34" s="169">
        <f>I32+J33+K33</f>
        <v>5230.1510272021624</v>
      </c>
      <c r="J34" s="169"/>
      <c r="L34" s="164"/>
      <c r="M34" s="167">
        <v>414817</v>
      </c>
      <c r="N34" s="153" t="s">
        <v>190</v>
      </c>
    </row>
    <row r="35" spans="1:15">
      <c r="E35" s="174"/>
      <c r="H35" s="166"/>
      <c r="I35" s="169"/>
      <c r="J35" s="171">
        <f>-M34*I$8</f>
        <v>16.592680000000001</v>
      </c>
      <c r="K35" s="169">
        <f>((I34+I34+J35)/2)*(L35/12)</f>
        <v>14.187461619505857</v>
      </c>
      <c r="L35" s="173">
        <v>3.2500000000000001E-2</v>
      </c>
      <c r="M35" s="167"/>
    </row>
    <row r="36" spans="1:15">
      <c r="A36" s="151" t="s">
        <v>17</v>
      </c>
      <c r="C36" s="169">
        <f>SUM(C11:C33)</f>
        <v>-51.646081743507324</v>
      </c>
      <c r="E36" s="174">
        <f>SUM(E10:E32)-1</f>
        <v>118533517.53747448</v>
      </c>
      <c r="H36" s="166">
        <f>H34+30</f>
        <v>41610</v>
      </c>
      <c r="I36" s="169">
        <f>I34+J35+K35</f>
        <v>5260.9311688216676</v>
      </c>
      <c r="J36" s="169"/>
      <c r="L36" s="164"/>
      <c r="M36" s="167">
        <v>259931</v>
      </c>
      <c r="N36" s="153" t="s">
        <v>191</v>
      </c>
    </row>
    <row r="37" spans="1:15">
      <c r="E37" s="174"/>
      <c r="H37" s="166"/>
      <c r="I37" s="169"/>
      <c r="J37" s="171">
        <f>-M36*I$8</f>
        <v>10.39724</v>
      </c>
      <c r="K37" s="169">
        <f>((I36+I36+J37)/2)*(L37/12)</f>
        <v>14.26243484472535</v>
      </c>
      <c r="L37" s="173">
        <v>3.2500000000000001E-2</v>
      </c>
      <c r="M37" s="167"/>
    </row>
    <row r="38" spans="1:15">
      <c r="A38" s="151" t="s">
        <v>163</v>
      </c>
      <c r="E38" s="174"/>
      <c r="H38" s="166">
        <f>H36+30</f>
        <v>41640</v>
      </c>
      <c r="I38" s="169">
        <f>I36+J37+K37</f>
        <v>5285.5908436663931</v>
      </c>
      <c r="J38" s="169"/>
      <c r="L38" s="164"/>
    </row>
    <row r="39" spans="1:15">
      <c r="A39" s="151" t="s">
        <v>164</v>
      </c>
      <c r="C39" s="177">
        <f>C36/E36</f>
        <v>-4.35708673938402E-7</v>
      </c>
      <c r="E39" s="174"/>
    </row>
    <row r="40" spans="1:15">
      <c r="C40" s="178"/>
      <c r="E40" s="174"/>
      <c r="H40" s="151" t="s">
        <v>17</v>
      </c>
      <c r="J40" s="169">
        <f>SUM(J11:J37)</f>
        <v>4533.0337200000013</v>
      </c>
      <c r="K40" s="169">
        <f>SUM(K11:K37)</f>
        <v>105.5328919448048</v>
      </c>
      <c r="M40" s="179">
        <f>SUM(M10:M37)</f>
        <v>113325843</v>
      </c>
      <c r="O40" s="179">
        <f>SUM(O10:O32)</f>
        <v>-5207675.5374744814</v>
      </c>
    </row>
    <row r="41" spans="1:15">
      <c r="A41" s="151" t="s">
        <v>165</v>
      </c>
      <c r="C41" s="178"/>
      <c r="E41" s="174">
        <f>M40</f>
        <v>113325843</v>
      </c>
      <c r="F41" s="153" t="s">
        <v>196</v>
      </c>
      <c r="M41" s="180">
        <f>M40*I8</f>
        <v>-4533.0337200000004</v>
      </c>
    </row>
    <row r="42" spans="1:15">
      <c r="A42" s="151" t="s">
        <v>166</v>
      </c>
      <c r="C42" s="181">
        <f>B8</f>
        <v>-3.9954943533188487E-5</v>
      </c>
      <c r="J42" s="169">
        <f>I10+F60+E45+K40+J40</f>
        <v>5285.5908436663949</v>
      </c>
      <c r="M42" s="180">
        <f>M40*C42</f>
        <v>-4527.9276579159841</v>
      </c>
      <c r="N42" s="153" t="s">
        <v>167</v>
      </c>
    </row>
    <row r="43" spans="1:15">
      <c r="C43" s="181"/>
      <c r="E43" s="169">
        <f>B10+K40</f>
        <v>-4630.4671080551952</v>
      </c>
      <c r="F43" s="153" t="s">
        <v>168</v>
      </c>
      <c r="M43" s="182">
        <f>M41-M42</f>
        <v>-5.1060620840162301</v>
      </c>
      <c r="N43" s="153" t="s">
        <v>192</v>
      </c>
    </row>
    <row r="44" spans="1:15">
      <c r="A44" s="151" t="s">
        <v>169</v>
      </c>
      <c r="C44" s="178"/>
    </row>
    <row r="45" spans="1:15">
      <c r="A45" s="151" t="s">
        <v>170</v>
      </c>
      <c r="C45" s="177">
        <f>C39+C42</f>
        <v>-4.0390652207126892E-5</v>
      </c>
      <c r="E45" s="169">
        <v>5383.0242317215889</v>
      </c>
      <c r="F45" s="153" t="s">
        <v>171</v>
      </c>
    </row>
    <row r="46" spans="1:15">
      <c r="C46" s="177"/>
    </row>
    <row r="47" spans="1:15">
      <c r="A47" s="151" t="s">
        <v>172</v>
      </c>
      <c r="E47" s="169">
        <f>E41*ROUND(C45,5)</f>
        <v>-4533.0337200000004</v>
      </c>
      <c r="F47" s="153" t="s">
        <v>173</v>
      </c>
    </row>
    <row r="48" spans="1:15">
      <c r="A48" s="151" t="s">
        <v>174</v>
      </c>
      <c r="C48" s="183">
        <v>1.0467820000000001</v>
      </c>
      <c r="E48" s="184"/>
    </row>
    <row r="49" spans="1:9">
      <c r="C49" s="185"/>
      <c r="E49" s="169">
        <f>E43+E45-E47</f>
        <v>5285.590843666394</v>
      </c>
      <c r="F49" s="153" t="s">
        <v>175</v>
      </c>
    </row>
    <row r="50" spans="1:9">
      <c r="A50" s="186" t="s">
        <v>176</v>
      </c>
      <c r="B50" s="187"/>
      <c r="C50" s="188">
        <f>C45*C48</f>
        <v>-4.2280207698680705E-5</v>
      </c>
    </row>
    <row r="51" spans="1:9">
      <c r="C51" s="185"/>
      <c r="E51" s="169">
        <f>E49-E45</f>
        <v>-97.433388055194882</v>
      </c>
      <c r="F51" s="189" t="s">
        <v>197</v>
      </c>
      <c r="G51" s="135"/>
      <c r="H51" s="135"/>
      <c r="I51" s="135"/>
    </row>
    <row r="52" spans="1:9">
      <c r="C52" s="185"/>
    </row>
    <row r="53" spans="1:9">
      <c r="A53" s="153" t="s">
        <v>177</v>
      </c>
      <c r="I53" s="153" t="s">
        <v>178</v>
      </c>
    </row>
    <row r="54" spans="1:9">
      <c r="A54" s="153" t="s">
        <v>179</v>
      </c>
      <c r="F54" s="190"/>
      <c r="I54" s="153" t="s">
        <v>180</v>
      </c>
    </row>
    <row r="55" spans="1:9">
      <c r="A55" s="151" t="s">
        <v>181</v>
      </c>
      <c r="I55" s="153" t="s">
        <v>182</v>
      </c>
    </row>
    <row r="56" spans="1:9">
      <c r="A56" s="153" t="s">
        <v>183</v>
      </c>
      <c r="I56" s="153" t="s">
        <v>184</v>
      </c>
    </row>
    <row r="57" spans="1:9">
      <c r="A57" s="151" t="s">
        <v>185</v>
      </c>
    </row>
    <row r="59" spans="1:9">
      <c r="B59" s="153" t="s">
        <v>186</v>
      </c>
      <c r="F59" s="169">
        <v>-6676</v>
      </c>
    </row>
    <row r="60" spans="1:9">
      <c r="B60" s="191" t="s">
        <v>187</v>
      </c>
      <c r="C60" s="190"/>
      <c r="D60" s="190"/>
      <c r="E60" s="190"/>
      <c r="F60" s="169">
        <v>1940</v>
      </c>
      <c r="G60" s="153" t="s">
        <v>188</v>
      </c>
    </row>
    <row r="61" spans="1:9">
      <c r="B61" s="192" t="s">
        <v>189</v>
      </c>
      <c r="F61" s="193">
        <f>SUM(F59:F60)</f>
        <v>-4736</v>
      </c>
    </row>
  </sheetData>
  <mergeCells count="8">
    <mergeCell ref="L4:L6"/>
    <mergeCell ref="O4:O6"/>
    <mergeCell ref="A1:E1"/>
    <mergeCell ref="H1:M1"/>
    <mergeCell ref="A2:E2"/>
    <mergeCell ref="H2:M2"/>
    <mergeCell ref="A3:E3"/>
    <mergeCell ref="H3:M3"/>
  </mergeCells>
  <printOptions horizontalCentered="1"/>
  <pageMargins left="0.7" right="0.7" top="0.92" bottom="0.65" header="0.4" footer="0.4"/>
  <pageSetup scale="62" orientation="landscape" r:id="rId1"/>
  <headerFooter scaleWithDoc="0">
    <oddHeader>&amp;CAvista Corporation Natural Gas Decoupling Mechanism
Washington Jurisdiction
Quarterly Report for 4th Quarter 2013</oddHeader>
    <oddFooter>&amp;Cfile: &amp;F / &amp;A&amp;RPage &amp;P of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C9261AECE84F42AEE70ECFF659B923" ma:contentTypeVersion="136" ma:contentTypeDescription="" ma:contentTypeScope="" ma:versionID="3e95fbabc3455d832f219d273500a5d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2006-04-05T07:00:00+00:00</OpenedDate>
    <Date1 xmlns="dc463f71-b30c-4ab2-9473-d307f9d35888">2014-02-06T08:00:00+00:00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060518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A54E200-4A6A-4012-82C6-73E825BC9459}"/>
</file>

<file path=customXml/itemProps2.xml><?xml version="1.0" encoding="utf-8"?>
<ds:datastoreItem xmlns:ds="http://schemas.openxmlformats.org/officeDocument/2006/customXml" ds:itemID="{22F2E2CA-8B4E-4574-A821-5561F6E82CAE}"/>
</file>

<file path=customXml/itemProps3.xml><?xml version="1.0" encoding="utf-8"?>
<ds:datastoreItem xmlns:ds="http://schemas.openxmlformats.org/officeDocument/2006/customXml" ds:itemID="{8A7C8555-DD0A-45BE-B73A-09610A8D66A6}"/>
</file>

<file path=customXml/itemProps4.xml><?xml version="1.0" encoding="utf-8"?>
<ds:datastoreItem xmlns:ds="http://schemas.openxmlformats.org/officeDocument/2006/customXml" ds:itemID="{728E894F-8951-4132-A705-E7794952B1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UG-120437 Base</vt:lpstr>
      <vt:lpstr>PTD 2014 Deferral Calc</vt:lpstr>
      <vt:lpstr>GL Accounts</vt:lpstr>
      <vt:lpstr>12-13 Rebate</vt:lpstr>
      <vt:lpstr>Fiscal_Period_Report</vt:lpstr>
      <vt:lpstr>'GL Accounts'!Print_Area</vt:lpstr>
      <vt:lpstr>'PTD 2014 Deferral Calc'!Print_Area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gzhkw6</dc:creator>
  <cp:lastModifiedBy>gzhkw6</cp:lastModifiedBy>
  <cp:lastPrinted>2014-02-04T19:38:43Z</cp:lastPrinted>
  <dcterms:created xsi:type="dcterms:W3CDTF">2010-08-02T16:29:29Z</dcterms:created>
  <dcterms:modified xsi:type="dcterms:W3CDTF">2014-02-06T18:10:16Z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0x0101006E56B4D1795A2E4DB2F0B01679ED314A0038C9261AECE84F42AEE70ECFF659B923</vt:lpwstr>
  </property>
  <property fmtid="{D5CDD505-2E9C-101B-9397-08002B2CF9AE}" pid="3" name="_docset_NoMedatataSyncRequired">
    <vt:lpwstr>False</vt:lpwstr>
  </property>
</Properties>
</file>