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6660" tabRatio="599" firstSheet="1" activeTab="14"/>
  </bookViews>
  <sheets>
    <sheet name="A" sheetId="1" r:id="rId1"/>
    <sheet name="A-1" sheetId="2" r:id="rId2"/>
    <sheet name="A-2" sheetId="3" r:id="rId3"/>
    <sheet name="B" sheetId="4" r:id="rId4"/>
    <sheet name="C" sheetId="5" r:id="rId5"/>
    <sheet name="C-1" sheetId="6" r:id="rId6"/>
    <sheet name="C-1.1" sheetId="7" r:id="rId7"/>
    <sheet name="C-2" sheetId="8" r:id="rId8"/>
    <sheet name="C-3" sheetId="9" r:id="rId9"/>
    <sheet name="C-4" sheetId="10" r:id="rId10"/>
    <sheet name="C-5" sheetId="11" r:id="rId11"/>
    <sheet name="C-6" sheetId="12" r:id="rId12"/>
    <sheet name="C-7" sheetId="13" r:id="rId13"/>
    <sheet name="C-8" sheetId="14" r:id="rId14"/>
    <sheet name="C-9" sheetId="15" r:id="rId15"/>
    <sheet name="C-10" sheetId="16" r:id="rId16"/>
    <sheet name="C-11" sheetId="17" r:id="rId17"/>
    <sheet name="D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_xlnm.Print_Area" localSheetId="6">'C-1.1'!$B$1:$M$82</definedName>
    <definedName name="_xlnm.Print_Area" localSheetId="10">'C-5'!$A$1:$H$33</definedName>
    <definedName name="_xlnm.Print_Titles" localSheetId="1">'A-1'!$A:$E</definedName>
    <definedName name="_xlnm.Print_Titles" localSheetId="6">'C-1.1'!$1:$10</definedName>
  </definedNames>
  <calcPr fullCalcOnLoad="1"/>
</workbook>
</file>

<file path=xl/sharedStrings.xml><?xml version="1.0" encoding="utf-8"?>
<sst xmlns="http://schemas.openxmlformats.org/spreadsheetml/2006/main" count="712" uniqueCount="431">
  <si>
    <t>GAS RESULTS OF OPERATION</t>
  </si>
  <si>
    <t>WASHINGTON RESTATED RESULTS</t>
  </si>
  <si>
    <t>(000'S OF DOLLARS)</t>
  </si>
  <si>
    <t>Per</t>
  </si>
  <si>
    <t xml:space="preserve">Deferred </t>
  </si>
  <si>
    <t>Deferred Gain</t>
  </si>
  <si>
    <t>Weatherization</t>
  </si>
  <si>
    <t>Revenue</t>
  </si>
  <si>
    <t xml:space="preserve">Eliminate </t>
  </si>
  <si>
    <t>Regulatory</t>
  </si>
  <si>
    <t>Injuries</t>
  </si>
  <si>
    <t>Office Space</t>
  </si>
  <si>
    <t>Restate</t>
  </si>
  <si>
    <t>Misc</t>
  </si>
  <si>
    <t>Pro Forma</t>
  </si>
  <si>
    <t>Line</t>
  </si>
  <si>
    <t xml:space="preserve">Results </t>
  </si>
  <si>
    <t>FIT</t>
  </si>
  <si>
    <t>on Office</t>
  </si>
  <si>
    <t>Gas</t>
  </si>
  <si>
    <t>and DSM</t>
  </si>
  <si>
    <t xml:space="preserve">Customer </t>
  </si>
  <si>
    <t>Depreciation</t>
  </si>
  <si>
    <t>Subtotal</t>
  </si>
  <si>
    <t>Normalization &amp;</t>
  </si>
  <si>
    <t xml:space="preserve">B &amp; O </t>
  </si>
  <si>
    <t>Property</t>
  </si>
  <si>
    <t>Uncollectible</t>
  </si>
  <si>
    <t>Expense</t>
  </si>
  <si>
    <t xml:space="preserve">and </t>
  </si>
  <si>
    <t>Net</t>
  </si>
  <si>
    <t>A/R</t>
  </si>
  <si>
    <t>Charges to</t>
  </si>
  <si>
    <t>Excise</t>
  </si>
  <si>
    <t>Restating</t>
  </si>
  <si>
    <t>Debt</t>
  </si>
  <si>
    <t>Restated</t>
  </si>
  <si>
    <t>Labor</t>
  </si>
  <si>
    <t>JP Storage</t>
  </si>
  <si>
    <t>Capital Add</t>
  </si>
  <si>
    <t>Asset</t>
  </si>
  <si>
    <t>Incentives</t>
  </si>
  <si>
    <t>Information</t>
  </si>
  <si>
    <t>Employee</t>
  </si>
  <si>
    <t>Insurance</t>
  </si>
  <si>
    <t>No.</t>
  </si>
  <si>
    <t>DESCRIPTION</t>
  </si>
  <si>
    <t>Report</t>
  </si>
  <si>
    <t>Rate Base</t>
  </si>
  <si>
    <t>Building</t>
  </si>
  <si>
    <t>Inventory</t>
  </si>
  <si>
    <t>Investment</t>
  </si>
  <si>
    <t>Advances</t>
  </si>
  <si>
    <t>True-up</t>
  </si>
  <si>
    <t>Actual</t>
  </si>
  <si>
    <t>Gas Cost Adjust</t>
  </si>
  <si>
    <t>Taxes</t>
  </si>
  <si>
    <t>Tax</t>
  </si>
  <si>
    <t>Adjustment</t>
  </si>
  <si>
    <t>Damages</t>
  </si>
  <si>
    <t>Gains/losses</t>
  </si>
  <si>
    <t>Expenses</t>
  </si>
  <si>
    <t>Subs</t>
  </si>
  <si>
    <t>Adjustments</t>
  </si>
  <si>
    <t>Interest</t>
  </si>
  <si>
    <t>Total</t>
  </si>
  <si>
    <t>Non-Exec</t>
  </si>
  <si>
    <t>Exec</t>
  </si>
  <si>
    <t>2008</t>
  </si>
  <si>
    <t>2009</t>
  </si>
  <si>
    <t>Management</t>
  </si>
  <si>
    <t>Services</t>
  </si>
  <si>
    <t>Benefits</t>
  </si>
  <si>
    <t>a</t>
  </si>
  <si>
    <t>b</t>
  </si>
  <si>
    <t>c</t>
  </si>
  <si>
    <t>d</t>
  </si>
  <si>
    <t>e</t>
  </si>
  <si>
    <t>f</t>
  </si>
  <si>
    <t>g</t>
  </si>
  <si>
    <t>h</t>
  </si>
  <si>
    <t>-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</si>
  <si>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</si>
  <si>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</si>
  <si>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</si>
  <si>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</si>
  <si>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</si>
  <si>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</si>
  <si>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</si>
  <si>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</si>
  <si>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</si>
  <si>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</si>
  <si>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</si>
  <si>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</si>
  <si>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</si>
  <si>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PF1</t>
  </si>
  <si>
    <t>PF2</t>
  </si>
  <si>
    <t>PF3</t>
  </si>
  <si>
    <t>PF4</t>
  </si>
  <si>
    <t>PF5</t>
  </si>
  <si>
    <t>PF6</t>
  </si>
  <si>
    <t>PF7</t>
  </si>
  <si>
    <t>PF8</t>
  </si>
  <si>
    <t>PF9</t>
  </si>
  <si>
    <t>PF10</t>
  </si>
  <si>
    <t>REVENUES</t>
  </si>
  <si>
    <t>Total General Business</t>
  </si>
  <si>
    <t>Total Transportation</t>
  </si>
  <si>
    <t>Other Revenues</t>
  </si>
  <si>
    <t>Total Gas Revenues</t>
  </si>
  <si>
    <t>EXPENSES</t>
  </si>
  <si>
    <t>Exploration and Development</t>
  </si>
  <si>
    <t>Production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</si>
  <si>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</si>
  <si>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</si>
  <si>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</si>
  <si>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</si>
  <si>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</si>
  <si>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</si>
  <si>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</si>
  <si>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</si>
  <si>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</si>
  <si>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</si>
  <si>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</si>
  <si>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</si>
  <si>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</si>
  <si>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</si>
  <si>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</si>
  <si>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</si>
  <si>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</si>
  <si>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</si>
  <si>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</si>
  <si>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</si>
  <si>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</si>
  <si>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</si>
  <si>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</si>
  <si>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</si>
  <si>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</si>
  <si>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DEPRECIATION</t>
  </si>
  <si>
    <t>Total Accum. Depreciation</t>
  </si>
  <si>
    <t>DEFERRED FIT</t>
  </si>
  <si>
    <t>GAS INVENTORY</t>
  </si>
  <si>
    <t>GAIN ON SALE OF BUILDING</t>
  </si>
  <si>
    <t>TOTAL RATE BASE</t>
  </si>
  <si>
    <t>Revenue Requirement</t>
  </si>
  <si>
    <t>As Proposed</t>
  </si>
  <si>
    <t>Per Company</t>
  </si>
  <si>
    <t>Per PC</t>
  </si>
  <si>
    <t>Description</t>
  </si>
  <si>
    <t>Adjusted</t>
  </si>
  <si>
    <t>Difference</t>
  </si>
  <si>
    <t>Reference</t>
  </si>
  <si>
    <t>(A)</t>
  </si>
  <si>
    <t>(B)</t>
  </si>
  <si>
    <t>(C)</t>
  </si>
  <si>
    <t>(D)</t>
  </si>
  <si>
    <t>WA Jurisdictional Rate Base</t>
  </si>
  <si>
    <t>Overall Rate of Return</t>
  </si>
  <si>
    <t>Net Operating Income Required</t>
  </si>
  <si>
    <t>L 1 * L 2</t>
  </si>
  <si>
    <t>NOI-Existing Rates</t>
  </si>
  <si>
    <t>Income Deficiency (Sufficiency)</t>
  </si>
  <si>
    <t>L 3 - L 4</t>
  </si>
  <si>
    <t>Revenue Deficiency (Sufficiency)</t>
  </si>
  <si>
    <t>AVISTA UTILITIES</t>
  </si>
  <si>
    <t>Washington Gas System</t>
  </si>
  <si>
    <t>Test Year Twelve Months Ended September 30, 2008</t>
  </si>
  <si>
    <t>($000's of Dollars)</t>
  </si>
  <si>
    <t>Revenue Conversion Factor</t>
  </si>
  <si>
    <t>Revenues</t>
  </si>
  <si>
    <t>Expense:</t>
  </si>
  <si>
    <t>[a]</t>
  </si>
  <si>
    <t>[b]</t>
  </si>
  <si>
    <t>Commission Fees</t>
  </si>
  <si>
    <t>Washington Excise Tax</t>
  </si>
  <si>
    <t>Franchise Fees</t>
  </si>
  <si>
    <t>Total Expense</t>
  </si>
  <si>
    <t>Net Operating Income Before FIT</t>
  </si>
  <si>
    <t>Federal Income Tax @ 35%</t>
  </si>
  <si>
    <t>Source:</t>
  </si>
  <si>
    <t>Response to PC-025</t>
  </si>
  <si>
    <t>Exhibit No.__ (EMA-3) page 3</t>
  </si>
  <si>
    <t>PC</t>
  </si>
  <si>
    <t>Line No.</t>
  </si>
  <si>
    <t>Amount</t>
  </si>
  <si>
    <t>Federal Income Tax Rate</t>
  </si>
  <si>
    <t>Increase in Federal Income Tax Expense</t>
  </si>
  <si>
    <t>Increase in Net Operating Income</t>
  </si>
  <si>
    <t>C-1.1</t>
  </si>
  <si>
    <t>C-1</t>
  </si>
  <si>
    <t>C-2</t>
  </si>
  <si>
    <t>Director</t>
  </si>
  <si>
    <t>D&amp;O</t>
  </si>
  <si>
    <t>Meeting</t>
  </si>
  <si>
    <t>Customer</t>
  </si>
  <si>
    <t>Fees</t>
  </si>
  <si>
    <t>Costs</t>
  </si>
  <si>
    <t>Deposits</t>
  </si>
  <si>
    <t>2008 Increase</t>
  </si>
  <si>
    <t>2009 Increase</t>
  </si>
  <si>
    <t>Remove</t>
  </si>
  <si>
    <t>Adjusted for</t>
  </si>
  <si>
    <t>Total WA</t>
  </si>
  <si>
    <t>807-Administrative Expenses</t>
  </si>
  <si>
    <t>807-Purchased Gas Expenses</t>
  </si>
  <si>
    <t>813-Other Gas Expenses</t>
  </si>
  <si>
    <t>814-Oper. supervision &amp; engineering</t>
  </si>
  <si>
    <t>820-Meas. &amp; reg. station expenses</t>
  </si>
  <si>
    <t>870-Oper. supervision &amp; engineering</t>
  </si>
  <si>
    <t>871-Distribution Load Dispatching</t>
  </si>
  <si>
    <t>874-Mains &amp; services expenses</t>
  </si>
  <si>
    <t>875-Meas. &amp; reg. station exp.-General</t>
  </si>
  <si>
    <t>876-Meas. &amp; reg. station exp.-Industrial</t>
  </si>
  <si>
    <t>877-Meas. &amp; reg. station exp.-City gate</t>
  </si>
  <si>
    <t>878-Meter &amp; house regulator expenses</t>
  </si>
  <si>
    <t>879-Customer installations expenses</t>
  </si>
  <si>
    <t>880-Other expenses</t>
  </si>
  <si>
    <t>885-Maint. supervision &amp; engineering</t>
  </si>
  <si>
    <t>886-Structures &amp; Improvements</t>
  </si>
  <si>
    <t>887-Maint. of mains</t>
  </si>
  <si>
    <t>889-Maint. meas. &amp; reg. st. equip.-General</t>
  </si>
  <si>
    <t>890-Maint. meas. &amp; reg. st. equip.-Indust</t>
  </si>
  <si>
    <t>891-Maint. meas. &amp; reg. st. equip.-City gate</t>
  </si>
  <si>
    <t>892-Maint. of services &amp; lines</t>
  </si>
  <si>
    <t>893-Maint. meters &amp; house regulators</t>
  </si>
  <si>
    <t>Customer Accounts</t>
  </si>
  <si>
    <t>901-Supervision</t>
  </si>
  <si>
    <t>902-Meter reading expenses</t>
  </si>
  <si>
    <t>903-Customer records &amp; collection exp</t>
  </si>
  <si>
    <t>905- Misc. customer accounts expenses</t>
  </si>
  <si>
    <t>Total Cust Accounts</t>
  </si>
  <si>
    <t>Cust Service &amp; Info</t>
  </si>
  <si>
    <t>908-Customer assistance expenses</t>
  </si>
  <si>
    <t>909-Advertising</t>
  </si>
  <si>
    <t>910-Misc Customer Service &amp; Info Exp</t>
  </si>
  <si>
    <t>Total Cust Svc &amp; Info</t>
  </si>
  <si>
    <t>Sales</t>
  </si>
  <si>
    <t>911-Supervision</t>
  </si>
  <si>
    <t>912-Demonstrating &amp; selling expenses</t>
  </si>
  <si>
    <t>913-Advertising</t>
  </si>
  <si>
    <t>916- Misc Sales Expense</t>
  </si>
  <si>
    <t>Total Sales</t>
  </si>
  <si>
    <t>Admin &amp; General</t>
  </si>
  <si>
    <t>920-Administrative &amp; general salaries</t>
  </si>
  <si>
    <t>923-Outside services employed</t>
  </si>
  <si>
    <t>924-Property insurance</t>
  </si>
  <si>
    <t>925-Injuries &amp; damages</t>
  </si>
  <si>
    <t>928-Regulatory commission expenses</t>
  </si>
  <si>
    <t>930-Misc. general expenses</t>
  </si>
  <si>
    <t>935-Maintenance of general plant</t>
  </si>
  <si>
    <t>Total Admin &amp; General</t>
  </si>
  <si>
    <t>Total WA  Gas Labor</t>
  </si>
  <si>
    <t>Approved</t>
  </si>
  <si>
    <t>2008 &amp; 2009</t>
  </si>
  <si>
    <t>Increases</t>
  </si>
  <si>
    <t>(E)</t>
  </si>
  <si>
    <t>(F)</t>
  </si>
  <si>
    <t>(G)</t>
  </si>
  <si>
    <t>(H)</t>
  </si>
  <si>
    <t>Interest Synchronization Adjustment</t>
  </si>
  <si>
    <t>Source</t>
  </si>
  <si>
    <t>Rate Base, per PC</t>
  </si>
  <si>
    <t>PC Proposed Weighted Cost of Debt</t>
  </si>
  <si>
    <t>Sch D</t>
  </si>
  <si>
    <t>Interest Deduction</t>
  </si>
  <si>
    <t>Interest Deduction Per Company</t>
  </si>
  <si>
    <t>[A]</t>
  </si>
  <si>
    <t>[B]</t>
  </si>
  <si>
    <t>Increase (Decrease) to Income Tax Expense</t>
  </si>
  <si>
    <t>L 5 * L 6</t>
  </si>
  <si>
    <t xml:space="preserve"> </t>
  </si>
  <si>
    <t>Overall Cost of Capital, per PC</t>
  </si>
  <si>
    <t>Cost</t>
  </si>
  <si>
    <t>Weighted</t>
  </si>
  <si>
    <t>Capital Structure</t>
  </si>
  <si>
    <t>Ratio</t>
  </si>
  <si>
    <t>Rate</t>
  </si>
  <si>
    <t>Cost Rate</t>
  </si>
  <si>
    <t>Total debt</t>
  </si>
  <si>
    <t>Common Equity</t>
  </si>
  <si>
    <t>Total Capital Structure</t>
  </si>
  <si>
    <t>Source/Reference:</t>
  </si>
  <si>
    <t xml:space="preserve">The above cost rate amounts are sponsored by PC's witness Mike Gorman and are provided here </t>
  </si>
  <si>
    <t>for ease of reference.</t>
  </si>
  <si>
    <t xml:space="preserve">Production </t>
  </si>
  <si>
    <t xml:space="preserve">  Operating Expenses</t>
  </si>
  <si>
    <t xml:space="preserve">  Depreciation</t>
  </si>
  <si>
    <t xml:space="preserve">  Taxes</t>
  </si>
  <si>
    <t xml:space="preserve">    Total Underground Storage</t>
  </si>
  <si>
    <t>Total  Gas Expenses</t>
  </si>
  <si>
    <t>Avista's Pro Forma Increase for Executive Labor</t>
  </si>
  <si>
    <t>PC's Recommended Reduction to Executive Labor</t>
  </si>
  <si>
    <t>PC's Pro Forma Increase for Executive Labor</t>
  </si>
  <si>
    <t>L. 3 * L. 4</t>
  </si>
  <si>
    <t>L. 3 - L. 5</t>
  </si>
  <si>
    <t>Exhibit No.___(EMA-2) Workpaper PF3 4</t>
  </si>
  <si>
    <t>Executive Compensation Included in Test Year</t>
  </si>
  <si>
    <t>[C]</t>
  </si>
  <si>
    <t>Administrative Increase March 2008</t>
  </si>
  <si>
    <t>[D]</t>
  </si>
  <si>
    <t>PC Recommended Increase to Executive Comp.</t>
  </si>
  <si>
    <t>Exhibit No. ___ (EMA-3) PF3 1</t>
  </si>
  <si>
    <t>Exhibit No. ___ (EMA-3) PF3 2</t>
  </si>
  <si>
    <t>C-4</t>
  </si>
  <si>
    <t>C-5</t>
  </si>
  <si>
    <t>C-6</t>
  </si>
  <si>
    <t>C-7</t>
  </si>
  <si>
    <t>C-8</t>
  </si>
  <si>
    <t>C-9</t>
  </si>
  <si>
    <t>C-10</t>
  </si>
  <si>
    <t>Reduce Incentive Compensation</t>
  </si>
  <si>
    <t>Adjust 2008</t>
  </si>
  <si>
    <t>to 6-Year</t>
  </si>
  <si>
    <t>To Actual</t>
  </si>
  <si>
    <t>Average</t>
  </si>
  <si>
    <t>Pro Forma Incentive Adjustment Per Company</t>
  </si>
  <si>
    <t xml:space="preserve">Recommended Reduction to Pro Forma Incentives </t>
  </si>
  <si>
    <t>Pro Forma Incentive Adjustment Per PC</t>
  </si>
  <si>
    <t>PF7 2</t>
  </si>
  <si>
    <t>Reduce Insurance Expense</t>
  </si>
  <si>
    <t>Avista's Original Pro Forma Increase for Insurance</t>
  </si>
  <si>
    <t>PC's Recommended Reduction to Pro Forma Adj</t>
  </si>
  <si>
    <t>PC's Pro Forma Increase for Insurance</t>
  </si>
  <si>
    <t>Adjust Insurance</t>
  </si>
  <si>
    <t xml:space="preserve">to 2009 Pro </t>
  </si>
  <si>
    <t>Forma (Filed)</t>
  </si>
  <si>
    <t>Forma (Revised)</t>
  </si>
  <si>
    <t>Remove D&amp;O Insurance Expense</t>
  </si>
  <si>
    <t>Washington Electric D&amp;O Insurance Expense in Test Year</t>
  </si>
  <si>
    <t>PC-212</t>
  </si>
  <si>
    <t>PC Recommended Disallowance %</t>
  </si>
  <si>
    <t>PC Recommended Reduction of D&amp;O Insurance Expense</t>
  </si>
  <si>
    <t>L. 1 * L. 2</t>
  </si>
  <si>
    <t>System Board of Director Meeting Costs in Test Year</t>
  </si>
  <si>
    <t>PC-155</t>
  </si>
  <si>
    <t>Electric Operations Allocation Factor</t>
  </si>
  <si>
    <t>PC-328</t>
  </si>
  <si>
    <t>Amount Allocated to Electric Operations</t>
  </si>
  <si>
    <t>Washington Electric Operations Allocation Factor</t>
  </si>
  <si>
    <t>Amount allocated to WA Electric Operations</t>
  </si>
  <si>
    <t>PC Recommended Reduction of Director Meeting Costs</t>
  </si>
  <si>
    <t>L. 5 * L. 6</t>
  </si>
  <si>
    <t>L. 7 * L. 8</t>
  </si>
  <si>
    <t>L. 7 - L. 9</t>
  </si>
  <si>
    <t>Reduce Board of Director Fees</t>
  </si>
  <si>
    <t>System Director Fees in Test Year</t>
  </si>
  <si>
    <t>PC Recommended Reduction of Director Fees</t>
  </si>
  <si>
    <t>Remove Customer Deposits From Rate Base</t>
  </si>
  <si>
    <t>WA Gas Customer Deposits</t>
  </si>
  <si>
    <t xml:space="preserve">WA AMA Amount of Customer Deposits </t>
  </si>
  <si>
    <t>Response to Public Counsel Data Request 326</t>
  </si>
  <si>
    <t>WA Deposit Interest Paid</t>
  </si>
  <si>
    <t>WA Gas Allocation Factor</t>
  </si>
  <si>
    <t>WA Gas Interest on Customer Deposits Paid</t>
  </si>
  <si>
    <t>OTHER RATE BASE DEDUCTIONS</t>
  </si>
  <si>
    <t>L 5 / L 7</t>
  </si>
  <si>
    <t>Conversion Factor</t>
  </si>
  <si>
    <t>Decrease in Net Operating Income</t>
  </si>
  <si>
    <t>Add Back</t>
  </si>
  <si>
    <t>Executives</t>
  </si>
  <si>
    <t>(I)</t>
  </si>
  <si>
    <t>PF1 Workpapers</t>
  </si>
  <si>
    <t>Decrease in Federal Income Tax Expense</t>
  </si>
  <si>
    <t>[A] Exhibit No.___ (EMA-3)WP B11</t>
  </si>
  <si>
    <t>L. 7 * 35%</t>
  </si>
  <si>
    <t>L. 7 - L. 8</t>
  </si>
  <si>
    <t>Col. G, L.4</t>
  </si>
  <si>
    <t>Col. G, L.7</t>
  </si>
  <si>
    <t>Col G, L. 26</t>
  </si>
  <si>
    <t>Col G, L. 31</t>
  </si>
  <si>
    <t>Col. G, L. 35</t>
  </si>
  <si>
    <t>Col. G, L. 40</t>
  </si>
  <si>
    <t>Col. G, L. 49</t>
  </si>
  <si>
    <t>Col. A + Col. B</t>
  </si>
  <si>
    <t>Col. C + Col. D</t>
  </si>
  <si>
    <t>Col. D + Col. F</t>
  </si>
  <si>
    <t>Col. C + G+ H</t>
  </si>
  <si>
    <t>Reduce Company's Pro Forma Adjustment for Executive Labor Expense</t>
  </si>
  <si>
    <t>PC-142</t>
  </si>
  <si>
    <t xml:space="preserve">Reduce Board of Directors Meeting Costs </t>
  </si>
  <si>
    <t>L. 3 * L.4</t>
  </si>
  <si>
    <t>Sch. A-1</t>
  </si>
  <si>
    <t>Schedule A-1</t>
  </si>
  <si>
    <t>Schedule D</t>
  </si>
  <si>
    <t>Schedule A-2</t>
  </si>
  <si>
    <t>Remove Injuries &amp; Damages Reserve from Rate Base</t>
  </si>
  <si>
    <t>Date</t>
  </si>
  <si>
    <t>Balance</t>
  </si>
  <si>
    <t>(Sept. 2007 + Sept. 2008) / 2</t>
  </si>
  <si>
    <t>WA Gas AMA</t>
  </si>
  <si>
    <t>Response to Public Counsel Data Request 210</t>
  </si>
  <si>
    <t>AGA Dues Adjustment</t>
  </si>
  <si>
    <t>Test Year WA Gas Operations AGA Dues</t>
  </si>
  <si>
    <t>A</t>
  </si>
  <si>
    <t xml:space="preserve">Recommended WA Gas Operations AGA Dues </t>
  </si>
  <si>
    <t>B</t>
  </si>
  <si>
    <t>Recommended disallowance</t>
  </si>
  <si>
    <t>Notes and Source</t>
  </si>
  <si>
    <t xml:space="preserve">A: </t>
  </si>
  <si>
    <t>Response to PC-333</t>
  </si>
  <si>
    <t>B:</t>
  </si>
  <si>
    <t>2008 AGA Dues</t>
  </si>
  <si>
    <t>C</t>
  </si>
  <si>
    <t>Amount Removed by Company</t>
  </si>
  <si>
    <t>D</t>
  </si>
  <si>
    <t>System amount of dues in test year</t>
  </si>
  <si>
    <t>Recommended Disallowance %</t>
  </si>
  <si>
    <t>E</t>
  </si>
  <si>
    <t>Recommended Disallowance</t>
  </si>
  <si>
    <t>System Recommended AGA dues in test year</t>
  </si>
  <si>
    <t>Gas North Factor</t>
  </si>
  <si>
    <t>Washington Jurisdictional Factor</t>
  </si>
  <si>
    <t>C:</t>
  </si>
  <si>
    <t>Response to PC-333, 335</t>
  </si>
  <si>
    <t>D:</t>
  </si>
  <si>
    <t>E:</t>
  </si>
  <si>
    <t>Amount of dues related to advocacy, advertising, etc</t>
  </si>
  <si>
    <t>Amount of dues removed from test year by Company</t>
  </si>
  <si>
    <t>AGA</t>
  </si>
  <si>
    <t>Dues</t>
  </si>
  <si>
    <t>C-11</t>
  </si>
  <si>
    <t>ADIT Associated with Injuries &amp; Damages</t>
  </si>
  <si>
    <t>Company</t>
  </si>
  <si>
    <t>C-3</t>
  </si>
  <si>
    <t>Accumulated Depreciation</t>
  </si>
  <si>
    <t>Gas Inventory</t>
  </si>
  <si>
    <t>Gain on Sale of Building</t>
  </si>
  <si>
    <t>Other Rate Base Deductions</t>
  </si>
  <si>
    <t>Reduce Company's Pro forma Adjustment for Non-Executive Labor</t>
  </si>
  <si>
    <t>Reponses to PC-022</t>
  </si>
  <si>
    <t>Uncollectibles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</si>
</sst>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#_);_(&quot;$&quot;\ \(#,###\);_(* _);_(@_)"/>
    <numFmt numFmtId="165" formatCode="#,###_);\(#,###\)"/>
    <numFmt numFmtId="166" formatCode="#,##0.000000"/>
    <numFmt numFmtId="167" formatCode="_(* #,##0.000000_);_(* \(#,##0.000000\);_(* &quot;-&quot;??????_);_(@_)"/>
    <numFmt numFmtId="168" formatCode="0.000000"/>
    <numFmt numFmtId="169" formatCode="&quot;$&quot;#,##0.000000_);\(&quot;$&quot;#,##0.000000\)"/>
    <numFmt numFmtId="170" formatCode="0.000%"/>
    <numFmt numFmtId="171" formatCode="[$-409]dddd\,\ mmmm\ dd\,\ yyyy"/>
    <numFmt numFmtId="172" formatCode="#,##0.000000_);\(#,##0.000000\)"/>
    <numFmt numFmtId="173" formatCode="0.0%"/>
    <numFmt numFmtId="174" formatCode="[$-409]mmm\-yy;@"/>
    <numFmt numFmtId="175" formatCode="_(&quot;$&quot;* #,##0_);_(&quot;$&quot;* \(#,##0\);_(&quot;$&quot;* &quot;-&quot;??_);_(@_)"/>
  </numFmts>
  <fonts count="48">
    <font>
      <sz val="10"/>
      <name val="Arial"/>
      <family val="0"/>
    </font>
    <font>
      <sz val="9"/>
      <name val="Times New Roman"/>
      <family val="1"/>
    </font>
    <font>
      <sz val="10"/>
      <name val="Geneva"/>
      <family val="0"/>
    </font>
    <font>
      <b/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8"/>
      <name val="Arial"/>
      <family val="2"/>
    </font>
    <font>
      <u val="singleAccounting"/>
      <sz val="12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41" fontId="7" fillId="0" borderId="0">
      <alignment/>
      <protection/>
    </xf>
    <xf numFmtId="41" fontId="7" fillId="0" borderId="0">
      <alignment/>
      <protection/>
    </xf>
    <xf numFmtId="41" fontId="7" fillId="0" borderId="0">
      <alignment/>
      <protection/>
    </xf>
    <xf numFmtId="41" fontId="7" fillId="0" borderId="0">
      <alignment/>
      <protection/>
    </xf>
    <xf numFmtId="41" fontId="7" fillId="0" borderId="0">
      <alignment/>
      <protection/>
    </xf>
    <xf numFmtId="41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63" applyFont="1">
      <alignment/>
      <protection/>
    </xf>
    <xf numFmtId="3" fontId="3" fillId="0" borderId="0" xfId="63" applyNumberFormat="1" applyFont="1">
      <alignment/>
      <protection/>
    </xf>
    <xf numFmtId="3" fontId="1" fillId="0" borderId="0" xfId="63" applyNumberFormat="1" applyFont="1">
      <alignment/>
      <protection/>
    </xf>
    <xf numFmtId="3" fontId="1" fillId="0" borderId="0" xfId="63" applyNumberFormat="1" applyFont="1" applyFill="1">
      <alignment/>
      <protection/>
    </xf>
    <xf numFmtId="0" fontId="3" fillId="0" borderId="0" xfId="63" applyNumberFormat="1" applyFont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3" fontId="3" fillId="0" borderId="0" xfId="63" applyNumberFormat="1" applyFont="1" applyAlignment="1">
      <alignment horizontal="center"/>
      <protection/>
    </xf>
    <xf numFmtId="0" fontId="3" fillId="0" borderId="10" xfId="63" applyNumberFormat="1" applyFont="1" applyBorder="1" applyAlignment="1">
      <alignment horizontal="center"/>
      <protection/>
    </xf>
    <xf numFmtId="0" fontId="3" fillId="0" borderId="11" xfId="63" applyFont="1" applyBorder="1" applyAlignment="1">
      <alignment horizontal="center"/>
      <protection/>
    </xf>
    <xf numFmtId="0" fontId="3" fillId="0" borderId="12" xfId="63" applyFont="1" applyBorder="1" applyAlignment="1">
      <alignment horizontal="center"/>
      <protection/>
    </xf>
    <xf numFmtId="0" fontId="1" fillId="0" borderId="13" xfId="63" applyFont="1" applyBorder="1">
      <alignment/>
      <protection/>
    </xf>
    <xf numFmtId="3" fontId="3" fillId="0" borderId="10" xfId="63" applyNumberFormat="1" applyFont="1" applyBorder="1" applyAlignment="1">
      <alignment horizontal="center"/>
      <protection/>
    </xf>
    <xf numFmtId="0" fontId="3" fillId="0" borderId="14" xfId="63" applyNumberFormat="1" applyFont="1" applyBorder="1" applyAlignment="1">
      <alignment horizontal="center"/>
      <protection/>
    </xf>
    <xf numFmtId="0" fontId="3" fillId="0" borderId="15" xfId="63" applyFont="1" applyBorder="1" applyAlignment="1">
      <alignment horizontal="center"/>
      <protection/>
    </xf>
    <xf numFmtId="0" fontId="3" fillId="0" borderId="0" xfId="63" applyFont="1" applyBorder="1" applyAlignment="1">
      <alignment horizontal="center"/>
      <protection/>
    </xf>
    <xf numFmtId="0" fontId="1" fillId="0" borderId="16" xfId="63" applyFont="1" applyBorder="1">
      <alignment/>
      <protection/>
    </xf>
    <xf numFmtId="3" fontId="3" fillId="0" borderId="14" xfId="63" applyNumberFormat="1" applyFont="1" applyBorder="1" applyAlignment="1">
      <alignment horizontal="center"/>
      <protection/>
    </xf>
    <xf numFmtId="3" fontId="3" fillId="0" borderId="14" xfId="62" applyNumberFormat="1" applyFont="1" applyBorder="1" applyAlignment="1">
      <alignment horizontal="center"/>
      <protection/>
    </xf>
    <xf numFmtId="0" fontId="3" fillId="0" borderId="17" xfId="63" applyNumberFormat="1" applyFont="1" applyBorder="1" applyAlignment="1">
      <alignment horizontal="center"/>
      <protection/>
    </xf>
    <xf numFmtId="0" fontId="3" fillId="0" borderId="18" xfId="63" applyFont="1" applyBorder="1" applyAlignment="1">
      <alignment horizontal="center"/>
      <protection/>
    </xf>
    <xf numFmtId="0" fontId="3" fillId="0" borderId="19" xfId="63" applyFont="1" applyBorder="1" applyAlignment="1">
      <alignment horizontal="center"/>
      <protection/>
    </xf>
    <xf numFmtId="0" fontId="3" fillId="0" borderId="20" xfId="63" applyFont="1" applyBorder="1" applyAlignment="1">
      <alignment horizontal="center"/>
      <protection/>
    </xf>
    <xf numFmtId="3" fontId="3" fillId="0" borderId="17" xfId="63" applyNumberFormat="1" applyFont="1" applyBorder="1" applyAlignment="1">
      <alignment horizontal="center"/>
      <protection/>
    </xf>
    <xf numFmtId="3" fontId="3" fillId="0" borderId="17" xfId="62" applyNumberFormat="1" applyFont="1" applyBorder="1" applyAlignment="1">
      <alignment horizontal="center"/>
      <protection/>
    </xf>
    <xf numFmtId="0" fontId="1" fillId="0" borderId="0" xfId="63" applyNumberFormat="1" applyFont="1" applyAlignment="1">
      <alignment horizontal="center"/>
      <protection/>
    </xf>
    <xf numFmtId="0" fontId="1" fillId="0" borderId="0" xfId="63" applyFont="1" applyAlignment="1">
      <alignment horizontal="center"/>
      <protection/>
    </xf>
    <xf numFmtId="3" fontId="1" fillId="0" borderId="0" xfId="63" applyNumberFormat="1" applyFont="1" applyAlignment="1">
      <alignment horizontal="center"/>
      <protection/>
    </xf>
    <xf numFmtId="3" fontId="1" fillId="0" borderId="0" xfId="63" applyNumberFormat="1" applyFont="1" applyFill="1" applyBorder="1" applyAlignment="1">
      <alignment horizontal="center"/>
      <protection/>
    </xf>
    <xf numFmtId="5" fontId="1" fillId="0" borderId="0" xfId="63" applyNumberFormat="1" applyFont="1">
      <alignment/>
      <protection/>
    </xf>
    <xf numFmtId="164" fontId="1" fillId="0" borderId="0" xfId="63" applyNumberFormat="1" applyFont="1">
      <alignment/>
      <protection/>
    </xf>
    <xf numFmtId="164" fontId="1" fillId="0" borderId="0" xfId="55" applyNumberFormat="1" applyFont="1" applyFill="1">
      <alignment/>
      <protection/>
    </xf>
    <xf numFmtId="37" fontId="1" fillId="0" borderId="0" xfId="63" applyNumberFormat="1" applyFont="1">
      <alignment/>
      <protection/>
    </xf>
    <xf numFmtId="165" fontId="1" fillId="0" borderId="0" xfId="55" applyNumberFormat="1" applyFont="1" applyFill="1">
      <alignment/>
      <protection/>
    </xf>
    <xf numFmtId="37" fontId="1" fillId="0" borderId="19" xfId="63" applyNumberFormat="1" applyFont="1" applyBorder="1">
      <alignment/>
      <protection/>
    </xf>
    <xf numFmtId="165" fontId="1" fillId="0" borderId="19" xfId="55" applyNumberFormat="1" applyFont="1" applyFill="1" applyBorder="1">
      <alignment/>
      <protection/>
    </xf>
    <xf numFmtId="165" fontId="1" fillId="0" borderId="0" xfId="55" applyNumberFormat="1" applyFont="1" applyFill="1" applyBorder="1">
      <alignment/>
      <protection/>
    </xf>
    <xf numFmtId="5" fontId="1" fillId="0" borderId="21" xfId="63" applyNumberFormat="1" applyFont="1" applyBorder="1">
      <alignment/>
      <protection/>
    </xf>
    <xf numFmtId="37" fontId="1" fillId="0" borderId="12" xfId="63" applyNumberFormat="1" applyFont="1" applyBorder="1">
      <alignment/>
      <protection/>
    </xf>
    <xf numFmtId="0" fontId="1" fillId="0" borderId="0" xfId="63" applyNumberFormat="1" applyFont="1" applyBorder="1" applyAlignment="1">
      <alignment horizontal="center"/>
      <protection/>
    </xf>
    <xf numFmtId="37" fontId="1" fillId="0" borderId="0" xfId="63" applyNumberFormat="1" applyFont="1" applyBorder="1">
      <alignment/>
      <protection/>
    </xf>
    <xf numFmtId="10" fontId="1" fillId="0" borderId="0" xfId="66" applyNumberFormat="1" applyFont="1" applyAlignment="1">
      <alignment/>
    </xf>
    <xf numFmtId="0" fontId="1" fillId="0" borderId="0" xfId="63" applyNumberFormat="1" applyFont="1" applyFill="1" applyAlignment="1">
      <alignment horizontal="left"/>
      <protection/>
    </xf>
    <xf numFmtId="0" fontId="1" fillId="0" borderId="0" xfId="63" applyFont="1" applyFill="1">
      <alignment/>
      <protection/>
    </xf>
    <xf numFmtId="0" fontId="1" fillId="0" borderId="0" xfId="62" applyFont="1" applyFill="1">
      <alignment/>
      <protection/>
    </xf>
    <xf numFmtId="10" fontId="1" fillId="0" borderId="0" xfId="66" applyNumberFormat="1" applyFont="1" applyFill="1" applyAlignment="1">
      <alignment/>
    </xf>
    <xf numFmtId="0" fontId="1" fillId="0" borderId="0" xfId="63" applyNumberFormat="1" applyFont="1" applyFill="1" applyAlignment="1">
      <alignment horizontal="center"/>
      <protection/>
    </xf>
    <xf numFmtId="166" fontId="1" fillId="0" borderId="0" xfId="62" applyNumberFormat="1" applyFont="1" applyFill="1">
      <alignment/>
      <protection/>
    </xf>
    <xf numFmtId="3" fontId="1" fillId="0" borderId="0" xfId="62" applyNumberFormat="1" applyFont="1" applyFill="1">
      <alignment/>
      <protection/>
    </xf>
    <xf numFmtId="0" fontId="1" fillId="0" borderId="0" xfId="62" applyFont="1" applyFill="1" applyAlignment="1">
      <alignment horizontal="right"/>
      <protection/>
    </xf>
    <xf numFmtId="0" fontId="0" fillId="0" borderId="0" xfId="0" applyFont="1" applyAlignment="1">
      <alignment/>
    </xf>
    <xf numFmtId="3" fontId="4" fillId="0" borderId="0" xfId="63" applyNumberFormat="1" applyFont="1" applyFill="1">
      <alignment/>
      <protection/>
    </xf>
    <xf numFmtId="3" fontId="5" fillId="0" borderId="0" xfId="63" applyNumberFormat="1" applyFont="1" applyFill="1">
      <alignment/>
      <protection/>
    </xf>
    <xf numFmtId="3" fontId="3" fillId="0" borderId="10" xfId="63" applyNumberFormat="1" applyFont="1" applyFill="1" applyBorder="1" applyAlignment="1">
      <alignment horizontal="center"/>
      <protection/>
    </xf>
    <xf numFmtId="3" fontId="1" fillId="0" borderId="10" xfId="63" applyNumberFormat="1" applyFont="1" applyFill="1" applyBorder="1" applyAlignment="1">
      <alignment horizontal="center"/>
      <protection/>
    </xf>
    <xf numFmtId="3" fontId="3" fillId="0" borderId="14" xfId="63" applyNumberFormat="1" applyFont="1" applyFill="1" applyBorder="1" applyAlignment="1">
      <alignment horizontal="center"/>
      <protection/>
    </xf>
    <xf numFmtId="3" fontId="1" fillId="0" borderId="14" xfId="63" applyNumberFormat="1" applyFont="1" applyFill="1" applyBorder="1" applyAlignment="1">
      <alignment horizontal="center"/>
      <protection/>
    </xf>
    <xf numFmtId="3" fontId="3" fillId="0" borderId="17" xfId="63" applyNumberFormat="1" applyFont="1" applyFill="1" applyBorder="1" applyAlignment="1">
      <alignment horizontal="center"/>
      <protection/>
    </xf>
    <xf numFmtId="3" fontId="3" fillId="0" borderId="17" xfId="63" applyNumberFormat="1" applyFont="1" applyFill="1" applyBorder="1" applyAlignment="1" quotePrefix="1">
      <alignment horizontal="center"/>
      <protection/>
    </xf>
    <xf numFmtId="3" fontId="1" fillId="0" borderId="0" xfId="63" applyNumberFormat="1" applyFont="1" applyFill="1" applyBorder="1">
      <alignment/>
      <protection/>
    </xf>
    <xf numFmtId="164" fontId="1" fillId="0" borderId="19" xfId="55" applyNumberFormat="1" applyFont="1" applyFill="1" applyBorder="1">
      <alignment/>
      <protection/>
    </xf>
    <xf numFmtId="165" fontId="3" fillId="0" borderId="0" xfId="55" applyNumberFormat="1" applyFont="1" applyFill="1">
      <alignment/>
      <protection/>
    </xf>
    <xf numFmtId="164" fontId="3" fillId="0" borderId="0" xfId="55" applyNumberFormat="1" applyFont="1" applyFill="1">
      <alignment/>
      <protection/>
    </xf>
    <xf numFmtId="165" fontId="3" fillId="0" borderId="19" xfId="55" applyNumberFormat="1" applyFont="1" applyFill="1" applyBorder="1">
      <alignment/>
      <protection/>
    </xf>
    <xf numFmtId="3" fontId="3" fillId="0" borderId="0" xfId="63" applyNumberFormat="1" applyFont="1" applyFill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5" fontId="7" fillId="0" borderId="0" xfId="0" applyNumberFormat="1" applyFont="1" applyAlignment="1">
      <alignment/>
    </xf>
    <xf numFmtId="42" fontId="7" fillId="0" borderId="0" xfId="0" applyNumberFormat="1" applyFont="1" applyAlignment="1">
      <alignment/>
    </xf>
    <xf numFmtId="10" fontId="7" fillId="0" borderId="19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10" fontId="7" fillId="0" borderId="19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2" fontId="7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 horizontal="center"/>
    </xf>
    <xf numFmtId="5" fontId="7" fillId="0" borderId="19" xfId="0" applyNumberFormat="1" applyFont="1" applyFill="1" applyBorder="1" applyAlignment="1">
      <alignment/>
    </xf>
    <xf numFmtId="42" fontId="7" fillId="0" borderId="0" xfId="0" applyNumberFormat="1" applyFont="1" applyFill="1" applyBorder="1" applyAlignment="1">
      <alignment horizontal="center"/>
    </xf>
    <xf numFmtId="42" fontId="7" fillId="0" borderId="19" xfId="0" applyNumberFormat="1" applyFont="1" applyFill="1" applyBorder="1" applyAlignment="1">
      <alignment/>
    </xf>
    <xf numFmtId="5" fontId="7" fillId="0" borderId="19" xfId="0" applyNumberFormat="1" applyFont="1" applyBorder="1" applyAlignment="1">
      <alignment/>
    </xf>
    <xf numFmtId="167" fontId="7" fillId="0" borderId="19" xfId="0" applyNumberFormat="1" applyFont="1" applyFill="1" applyBorder="1" applyAlignment="1">
      <alignment/>
    </xf>
    <xf numFmtId="168" fontId="7" fillId="0" borderId="19" xfId="0" applyNumberFormat="1" applyFont="1" applyFill="1" applyBorder="1" applyAlignment="1">
      <alignment/>
    </xf>
    <xf numFmtId="42" fontId="7" fillId="0" borderId="21" xfId="0" applyNumberFormat="1" applyFont="1" applyBorder="1" applyAlignment="1">
      <alignment/>
    </xf>
    <xf numFmtId="42" fontId="7" fillId="0" borderId="0" xfId="0" applyNumberFormat="1" applyFont="1" applyBorder="1" applyAlignment="1">
      <alignment/>
    </xf>
    <xf numFmtId="5" fontId="7" fillId="0" borderId="21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167" fontId="7" fillId="0" borderId="19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7" fontId="7" fillId="0" borderId="22" xfId="0" applyNumberFormat="1" applyFont="1" applyBorder="1" applyAlignment="1">
      <alignment/>
    </xf>
    <xf numFmtId="167" fontId="7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3" fillId="0" borderId="0" xfId="63" applyNumberFormat="1" applyFont="1" applyAlignment="1">
      <alignment horizontal="left"/>
      <protection/>
    </xf>
    <xf numFmtId="167" fontId="7" fillId="0" borderId="0" xfId="0" applyNumberFormat="1" applyFont="1" applyFill="1" applyBorder="1" applyAlignment="1">
      <alignment/>
    </xf>
    <xf numFmtId="37" fontId="7" fillId="0" borderId="0" xfId="62" applyNumberFormat="1" applyFont="1">
      <alignment/>
      <protection/>
    </xf>
    <xf numFmtId="37" fontId="7" fillId="0" borderId="0" xfId="0" applyNumberFormat="1" applyFont="1" applyAlignment="1">
      <alignment horizontal="center"/>
    </xf>
    <xf numFmtId="42" fontId="7" fillId="0" borderId="19" xfId="0" applyNumberFormat="1" applyFont="1" applyBorder="1" applyAlignment="1">
      <alignment/>
    </xf>
    <xf numFmtId="42" fontId="7" fillId="0" borderId="22" xfId="0" applyNumberFormat="1" applyFont="1" applyBorder="1" applyAlignment="1">
      <alignment/>
    </xf>
    <xf numFmtId="3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70" fontId="7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42" fontId="7" fillId="0" borderId="0" xfId="0" applyNumberFormat="1" applyFont="1" applyFill="1" applyBorder="1" applyAlignment="1">
      <alignment/>
    </xf>
    <xf numFmtId="42" fontId="7" fillId="0" borderId="21" xfId="0" applyNumberFormat="1" applyFont="1" applyFill="1" applyBorder="1" applyAlignment="1">
      <alignment/>
    </xf>
    <xf numFmtId="164" fontId="3" fillId="0" borderId="10" xfId="55" applyNumberFormat="1" applyFont="1" applyFill="1" applyBorder="1" applyAlignment="1">
      <alignment horizontal="center"/>
      <protection/>
    </xf>
    <xf numFmtId="3" fontId="3" fillId="0" borderId="14" xfId="62" applyNumberFormat="1" applyFont="1" applyFill="1" applyBorder="1" applyAlignment="1">
      <alignment horizontal="center"/>
      <protection/>
    </xf>
    <xf numFmtId="3" fontId="3" fillId="0" borderId="17" xfId="62" applyNumberFormat="1" applyFont="1" applyFill="1" applyBorder="1" applyAlignment="1">
      <alignment horizontal="center"/>
      <protection/>
    </xf>
    <xf numFmtId="3" fontId="3" fillId="0" borderId="13" xfId="63" applyNumberFormat="1" applyFont="1" applyBorder="1" applyAlignment="1">
      <alignment horizontal="center"/>
      <protection/>
    </xf>
    <xf numFmtId="3" fontId="3" fillId="0" borderId="16" xfId="63" applyNumberFormat="1" applyFont="1" applyBorder="1" applyAlignment="1">
      <alignment horizontal="center"/>
      <protection/>
    </xf>
    <xf numFmtId="3" fontId="3" fillId="0" borderId="20" xfId="63" applyNumberFormat="1" applyFont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0" fontId="6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70" fontId="7" fillId="0" borderId="19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42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41" fontId="7" fillId="0" borderId="0" xfId="58">
      <alignment/>
      <protection/>
    </xf>
    <xf numFmtId="41" fontId="7" fillId="0" borderId="0" xfId="58" applyFont="1">
      <alignment/>
      <protection/>
    </xf>
    <xf numFmtId="41" fontId="7" fillId="0" borderId="0" xfId="57" applyFont="1">
      <alignment/>
      <protection/>
    </xf>
    <xf numFmtId="41" fontId="7" fillId="0" borderId="19" xfId="57" applyFont="1" applyBorder="1">
      <alignment/>
      <protection/>
    </xf>
    <xf numFmtId="41" fontId="7" fillId="0" borderId="19" xfId="57" applyFont="1" applyBorder="1" applyAlignment="1">
      <alignment horizontal="center"/>
      <protection/>
    </xf>
    <xf numFmtId="41" fontId="7" fillId="0" borderId="19" xfId="58" applyFont="1" applyBorder="1">
      <alignment/>
      <protection/>
    </xf>
    <xf numFmtId="42" fontId="7" fillId="0" borderId="0" xfId="58" applyNumberFormat="1" applyFont="1">
      <alignment/>
      <protection/>
    </xf>
    <xf numFmtId="10" fontId="7" fillId="0" borderId="19" xfId="58" applyNumberFormat="1" applyFont="1" applyFill="1" applyBorder="1">
      <alignment/>
      <protection/>
    </xf>
    <xf numFmtId="170" fontId="7" fillId="0" borderId="0" xfId="58" applyNumberFormat="1" applyFont="1" applyBorder="1">
      <alignment/>
      <protection/>
    </xf>
    <xf numFmtId="41" fontId="7" fillId="0" borderId="0" xfId="61" applyFont="1">
      <alignment/>
      <protection/>
    </xf>
    <xf numFmtId="42" fontId="7" fillId="0" borderId="0" xfId="58" applyNumberFormat="1" applyFont="1" applyFill="1">
      <alignment/>
      <protection/>
    </xf>
    <xf numFmtId="42" fontId="7" fillId="0" borderId="19" xfId="58" applyNumberFormat="1" applyFont="1" applyFill="1" applyBorder="1">
      <alignment/>
      <protection/>
    </xf>
    <xf numFmtId="41" fontId="7" fillId="0" borderId="0" xfId="58" applyFont="1" applyFill="1" applyBorder="1">
      <alignment/>
      <protection/>
    </xf>
    <xf numFmtId="41" fontId="7" fillId="0" borderId="0" xfId="58" applyFont="1" applyFill="1">
      <alignment/>
      <protection/>
    </xf>
    <xf numFmtId="10" fontId="7" fillId="0" borderId="0" xfId="58" applyNumberFormat="1" applyFont="1" applyFill="1" applyBorder="1">
      <alignment/>
      <protection/>
    </xf>
    <xf numFmtId="42" fontId="7" fillId="0" borderId="21" xfId="58" applyNumberFormat="1" applyFont="1" applyBorder="1">
      <alignment/>
      <protection/>
    </xf>
    <xf numFmtId="41" fontId="7" fillId="0" borderId="0" xfId="58" applyFont="1" applyBorder="1">
      <alignment/>
      <protection/>
    </xf>
    <xf numFmtId="41" fontId="7" fillId="0" borderId="0" xfId="61" applyFont="1" applyBorder="1">
      <alignment/>
      <protection/>
    </xf>
    <xf numFmtId="41" fontId="7" fillId="0" borderId="0" xfId="59">
      <alignment/>
      <protection/>
    </xf>
    <xf numFmtId="41" fontId="7" fillId="0" borderId="0" xfId="59" applyFont="1">
      <alignment/>
      <protection/>
    </xf>
    <xf numFmtId="41" fontId="7" fillId="0" borderId="0" xfId="59" applyFont="1" applyAlignment="1">
      <alignment horizontal="center"/>
      <protection/>
    </xf>
    <xf numFmtId="41" fontId="7" fillId="0" borderId="0" xfId="59" applyAlignment="1">
      <alignment horizontal="center"/>
      <protection/>
    </xf>
    <xf numFmtId="41" fontId="7" fillId="0" borderId="19" xfId="59" applyFont="1" applyBorder="1">
      <alignment/>
      <protection/>
    </xf>
    <xf numFmtId="41" fontId="7" fillId="0" borderId="0" xfId="59" applyFont="1" applyBorder="1">
      <alignment/>
      <protection/>
    </xf>
    <xf numFmtId="41" fontId="7" fillId="0" borderId="19" xfId="59" applyFont="1" applyBorder="1" applyAlignment="1">
      <alignment horizontal="center"/>
      <protection/>
    </xf>
    <xf numFmtId="170" fontId="7" fillId="0" borderId="0" xfId="59" applyNumberFormat="1">
      <alignment/>
      <protection/>
    </xf>
    <xf numFmtId="41" fontId="7" fillId="0" borderId="0" xfId="59" applyFont="1" applyFill="1">
      <alignment/>
      <protection/>
    </xf>
    <xf numFmtId="42" fontId="7" fillId="0" borderId="0" xfId="59" applyNumberFormat="1" applyFill="1">
      <alignment/>
      <protection/>
    </xf>
    <xf numFmtId="41" fontId="7" fillId="0" borderId="0" xfId="59" applyFill="1">
      <alignment/>
      <protection/>
    </xf>
    <xf numFmtId="10" fontId="7" fillId="0" borderId="0" xfId="59" applyNumberFormat="1" applyFill="1">
      <alignment/>
      <protection/>
    </xf>
    <xf numFmtId="42" fontId="7" fillId="0" borderId="19" xfId="59" applyNumberFormat="1" applyFill="1" applyBorder="1">
      <alignment/>
      <protection/>
    </xf>
    <xf numFmtId="10" fontId="7" fillId="0" borderId="0" xfId="59" applyNumberFormat="1">
      <alignment/>
      <protection/>
    </xf>
    <xf numFmtId="41" fontId="7" fillId="0" borderId="19" xfId="59" applyBorder="1">
      <alignment/>
      <protection/>
    </xf>
    <xf numFmtId="41" fontId="12" fillId="0" borderId="19" xfId="59" applyFont="1" applyBorder="1">
      <alignment/>
      <protection/>
    </xf>
    <xf numFmtId="10" fontId="7" fillId="0" borderId="19" xfId="59" applyNumberFormat="1" applyBorder="1">
      <alignment/>
      <protection/>
    </xf>
    <xf numFmtId="41" fontId="7" fillId="0" borderId="0" xfId="56" applyFont="1" applyBorder="1">
      <alignment/>
      <protection/>
    </xf>
    <xf numFmtId="41" fontId="7" fillId="0" borderId="0" xfId="56" applyFont="1">
      <alignment/>
      <protection/>
    </xf>
    <xf numFmtId="41" fontId="7" fillId="0" borderId="0" xfId="56" applyFont="1" applyFill="1" applyBorder="1">
      <alignment/>
      <protection/>
    </xf>
    <xf numFmtId="41" fontId="7" fillId="0" borderId="0" xfId="60" applyFont="1" applyFill="1" applyBorder="1">
      <alignment/>
      <protection/>
    </xf>
    <xf numFmtId="10" fontId="7" fillId="0" borderId="0" xfId="0" applyNumberFormat="1" applyFont="1" applyFill="1" applyBorder="1" applyAlignment="1">
      <alignment/>
    </xf>
    <xf numFmtId="170" fontId="7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170" fontId="7" fillId="0" borderId="0" xfId="0" applyNumberFormat="1" applyFont="1" applyFill="1" applyBorder="1" applyAlignment="1">
      <alignment/>
    </xf>
    <xf numFmtId="37" fontId="7" fillId="0" borderId="19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42" fontId="9" fillId="0" borderId="0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42" fontId="9" fillId="0" borderId="19" xfId="0" applyNumberFormat="1" applyFont="1" applyFill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0" fontId="7" fillId="0" borderId="0" xfId="0" applyNumberFormat="1" applyFont="1" applyBorder="1" applyAlignment="1">
      <alignment/>
    </xf>
    <xf numFmtId="164" fontId="1" fillId="0" borderId="0" xfId="55" applyNumberFormat="1" applyFont="1" applyFill="1" applyBorder="1">
      <alignment/>
      <protection/>
    </xf>
    <xf numFmtId="3" fontId="1" fillId="0" borderId="19" xfId="63" applyNumberFormat="1" applyFont="1" applyBorder="1">
      <alignment/>
      <protection/>
    </xf>
    <xf numFmtId="172" fontId="7" fillId="0" borderId="19" xfId="0" applyNumberFormat="1" applyFont="1" applyBorder="1" applyAlignment="1">
      <alignment/>
    </xf>
    <xf numFmtId="173" fontId="7" fillId="0" borderId="0" xfId="59" applyNumberFormat="1" applyFill="1">
      <alignment/>
      <protection/>
    </xf>
    <xf numFmtId="173" fontId="7" fillId="0" borderId="19" xfId="59" applyNumberFormat="1" applyFill="1" applyBorder="1">
      <alignment/>
      <protection/>
    </xf>
    <xf numFmtId="164" fontId="1" fillId="0" borderId="19" xfId="63" applyNumberFormat="1" applyFont="1" applyBorder="1">
      <alignment/>
      <protection/>
    </xf>
    <xf numFmtId="41" fontId="1" fillId="0" borderId="19" xfId="63" applyNumberFormat="1" applyFont="1" applyBorder="1">
      <alignment/>
      <protection/>
    </xf>
    <xf numFmtId="41" fontId="1" fillId="0" borderId="0" xfId="63" applyNumberFormat="1" applyFont="1" applyFill="1" applyBorder="1" applyAlignment="1">
      <alignment horizontal="center"/>
      <protection/>
    </xf>
    <xf numFmtId="41" fontId="1" fillId="0" borderId="0" xfId="63" applyNumberFormat="1" applyFont="1">
      <alignment/>
      <protection/>
    </xf>
    <xf numFmtId="41" fontId="1" fillId="0" borderId="0" xfId="55" applyNumberFormat="1" applyFont="1" applyFill="1">
      <alignment/>
      <protection/>
    </xf>
    <xf numFmtId="41" fontId="1" fillId="0" borderId="19" xfId="55" applyNumberFormat="1" applyFont="1" applyFill="1" applyBorder="1">
      <alignment/>
      <protection/>
    </xf>
    <xf numFmtId="41" fontId="1" fillId="0" borderId="21" xfId="63" applyNumberFormat="1" applyFont="1" applyBorder="1">
      <alignment/>
      <protection/>
    </xf>
    <xf numFmtId="41" fontId="1" fillId="0" borderId="12" xfId="63" applyNumberFormat="1" applyFont="1" applyBorder="1">
      <alignment/>
      <protection/>
    </xf>
    <xf numFmtId="41" fontId="1" fillId="0" borderId="0" xfId="63" applyNumberFormat="1" applyFont="1" applyFill="1">
      <alignment/>
      <protection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164" fontId="1" fillId="0" borderId="21" xfId="63" applyNumberFormat="1" applyFont="1" applyBorder="1">
      <alignment/>
      <protection/>
    </xf>
    <xf numFmtId="164" fontId="1" fillId="0" borderId="0" xfId="63" applyNumberFormat="1" applyFont="1" applyBorder="1">
      <alignment/>
      <protection/>
    </xf>
    <xf numFmtId="5" fontId="1" fillId="0" borderId="0" xfId="63" applyNumberFormat="1" applyFont="1" applyFill="1" applyBorder="1">
      <alignment/>
      <protection/>
    </xf>
    <xf numFmtId="37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3" fillId="0" borderId="13" xfId="55" applyNumberFormat="1" applyFont="1" applyFill="1" applyBorder="1" applyAlignment="1">
      <alignment horizontal="center"/>
      <protection/>
    </xf>
    <xf numFmtId="3" fontId="3" fillId="0" borderId="16" xfId="62" applyNumberFormat="1" applyFont="1" applyFill="1" applyBorder="1" applyAlignment="1">
      <alignment horizontal="center"/>
      <protection/>
    </xf>
    <xf numFmtId="3" fontId="3" fillId="0" borderId="20" xfId="62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9" fontId="7" fillId="0" borderId="19" xfId="0" applyNumberFormat="1" applyFont="1" applyFill="1" applyBorder="1" applyAlignment="1">
      <alignment/>
    </xf>
    <xf numFmtId="5" fontId="7" fillId="0" borderId="0" xfId="58" applyNumberFormat="1" applyFont="1">
      <alignment/>
      <protection/>
    </xf>
    <xf numFmtId="0" fontId="9" fillId="0" borderId="0" xfId="0" applyFont="1" applyAlignment="1">
      <alignment horizontal="center"/>
    </xf>
    <xf numFmtId="10" fontId="7" fillId="0" borderId="0" xfId="59" applyNumberFormat="1" applyFill="1" applyBorder="1">
      <alignment/>
      <protection/>
    </xf>
    <xf numFmtId="10" fontId="7" fillId="0" borderId="19" xfId="59" applyNumberFormat="1" applyFill="1" applyBorder="1">
      <alignment/>
      <protection/>
    </xf>
    <xf numFmtId="43" fontId="7" fillId="0" borderId="19" xfId="42" applyFont="1" applyFill="1" applyBorder="1" applyAlignment="1">
      <alignment horizontal="center"/>
    </xf>
    <xf numFmtId="174" fontId="7" fillId="0" borderId="0" xfId="0" applyNumberFormat="1" applyFont="1" applyBorder="1" applyAlignment="1">
      <alignment/>
    </xf>
    <xf numFmtId="42" fontId="7" fillId="0" borderId="0" xfId="42" applyNumberFormat="1" applyFont="1" applyBorder="1" applyAlignment="1">
      <alignment/>
    </xf>
    <xf numFmtId="174" fontId="7" fillId="0" borderId="0" xfId="0" applyNumberFormat="1" applyFont="1" applyBorder="1" applyAlignment="1" quotePrefix="1">
      <alignment/>
    </xf>
    <xf numFmtId="42" fontId="7" fillId="0" borderId="0" xfId="42" applyNumberFormat="1" applyFont="1" applyAlignment="1">
      <alignment/>
    </xf>
    <xf numFmtId="0" fontId="7" fillId="0" borderId="0" xfId="0" applyFont="1" applyAlignment="1">
      <alignment horizontal="right"/>
    </xf>
    <xf numFmtId="42" fontId="7" fillId="0" borderId="23" xfId="42" applyNumberFormat="1" applyFont="1" applyBorder="1" applyAlignment="1">
      <alignment/>
    </xf>
    <xf numFmtId="42" fontId="7" fillId="0" borderId="21" xfId="42" applyNumberFormat="1" applyFont="1" applyBorder="1" applyAlignment="1">
      <alignment/>
    </xf>
    <xf numFmtId="0" fontId="13" fillId="0" borderId="0" xfId="0" applyFont="1" applyAlignment="1">
      <alignment/>
    </xf>
    <xf numFmtId="41" fontId="7" fillId="0" borderId="0" xfId="60" applyFont="1">
      <alignment/>
      <protection/>
    </xf>
    <xf numFmtId="41" fontId="7" fillId="0" borderId="0" xfId="60" applyFont="1" applyBorder="1">
      <alignment/>
      <protection/>
    </xf>
    <xf numFmtId="175" fontId="7" fillId="0" borderId="0" xfId="44" applyNumberFormat="1" applyFont="1" applyAlignment="1">
      <alignment/>
    </xf>
    <xf numFmtId="42" fontId="7" fillId="0" borderId="19" xfId="44" applyNumberFormat="1" applyFont="1" applyBorder="1" applyAlignment="1">
      <alignment/>
    </xf>
    <xf numFmtId="175" fontId="7" fillId="0" borderId="24" xfId="44" applyNumberFormat="1" applyFont="1" applyBorder="1" applyAlignment="1">
      <alignment/>
    </xf>
    <xf numFmtId="175" fontId="7" fillId="0" borderId="0" xfId="44" applyNumberFormat="1" applyFont="1" applyFill="1" applyBorder="1" applyAlignment="1">
      <alignment/>
    </xf>
    <xf numFmtId="9" fontId="7" fillId="0" borderId="0" xfId="0" applyNumberFormat="1" applyFont="1" applyBorder="1" applyAlignment="1">
      <alignment horizontal="center"/>
    </xf>
    <xf numFmtId="9" fontId="7" fillId="0" borderId="19" xfId="0" applyNumberFormat="1" applyFont="1" applyBorder="1" applyAlignment="1">
      <alignment/>
    </xf>
    <xf numFmtId="4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9" fontId="7" fillId="0" borderId="0" xfId="0" applyNumberFormat="1" applyFont="1" applyBorder="1" applyAlignment="1">
      <alignment/>
    </xf>
    <xf numFmtId="0" fontId="6" fillId="0" borderId="0" xfId="63" applyNumberFormat="1" applyFont="1" applyAlignment="1">
      <alignment horizontal="left"/>
      <protection/>
    </xf>
    <xf numFmtId="0" fontId="7" fillId="0" borderId="0" xfId="63" applyFont="1">
      <alignment/>
      <protection/>
    </xf>
    <xf numFmtId="3" fontId="6" fillId="0" borderId="0" xfId="63" applyNumberFormat="1" applyFont="1">
      <alignment/>
      <protection/>
    </xf>
    <xf numFmtId="3" fontId="7" fillId="0" borderId="0" xfId="63" applyNumberFormat="1" applyFont="1">
      <alignment/>
      <protection/>
    </xf>
    <xf numFmtId="0" fontId="6" fillId="0" borderId="0" xfId="63" applyNumberFormat="1" applyFont="1" applyAlignment="1">
      <alignment horizontal="center"/>
      <protection/>
    </xf>
    <xf numFmtId="0" fontId="6" fillId="0" borderId="0" xfId="63" applyFont="1" applyAlignment="1">
      <alignment horizontal="center"/>
      <protection/>
    </xf>
    <xf numFmtId="3" fontId="6" fillId="0" borderId="0" xfId="63" applyNumberFormat="1" applyFont="1" applyAlignment="1">
      <alignment horizontal="center"/>
      <protection/>
    </xf>
    <xf numFmtId="0" fontId="6" fillId="0" borderId="0" xfId="63" applyFont="1" applyBorder="1" applyAlignment="1">
      <alignment horizontal="center"/>
      <protection/>
    </xf>
    <xf numFmtId="0" fontId="6" fillId="0" borderId="19" xfId="63" applyFont="1" applyBorder="1" applyAlignment="1">
      <alignment horizontal="center"/>
      <protection/>
    </xf>
    <xf numFmtId="0" fontId="7" fillId="0" borderId="0" xfId="63" applyNumberFormat="1" applyFont="1" applyAlignment="1">
      <alignment horizontal="center"/>
      <protection/>
    </xf>
    <xf numFmtId="37" fontId="7" fillId="0" borderId="0" xfId="63" applyNumberFormat="1" applyFont="1">
      <alignment/>
      <protection/>
    </xf>
    <xf numFmtId="37" fontId="7" fillId="0" borderId="19" xfId="63" applyNumberFormat="1" applyFont="1" applyBorder="1">
      <alignment/>
      <protection/>
    </xf>
    <xf numFmtId="37" fontId="7" fillId="0" borderId="12" xfId="63" applyNumberFormat="1" applyFont="1" applyBorder="1">
      <alignment/>
      <protection/>
    </xf>
    <xf numFmtId="0" fontId="7" fillId="0" borderId="0" xfId="63" applyNumberFormat="1" applyFont="1" applyBorder="1" applyAlignment="1">
      <alignment horizontal="center"/>
      <protection/>
    </xf>
    <xf numFmtId="37" fontId="7" fillId="0" borderId="0" xfId="63" applyNumberFormat="1" applyFont="1" applyBorder="1">
      <alignment/>
      <protection/>
    </xf>
    <xf numFmtId="3" fontId="7" fillId="0" borderId="19" xfId="63" applyNumberFormat="1" applyFont="1" applyBorder="1">
      <alignment/>
      <protection/>
    </xf>
    <xf numFmtId="5" fontId="7" fillId="0" borderId="0" xfId="63" applyNumberFormat="1" applyFont="1">
      <alignment/>
      <protection/>
    </xf>
    <xf numFmtId="5" fontId="7" fillId="0" borderId="21" xfId="63" applyNumberFormat="1" applyFont="1" applyBorder="1">
      <alignment/>
      <protection/>
    </xf>
    <xf numFmtId="0" fontId="7" fillId="0" borderId="0" xfId="63" applyFont="1" applyAlignment="1">
      <alignment horizontal="center"/>
      <protection/>
    </xf>
    <xf numFmtId="42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63" applyNumberFormat="1" applyFont="1" applyBorder="1" applyAlignment="1">
      <alignment horizontal="center"/>
      <protection/>
    </xf>
    <xf numFmtId="0" fontId="7" fillId="0" borderId="0" xfId="63" applyFont="1" applyBorder="1">
      <alignment/>
      <protection/>
    </xf>
    <xf numFmtId="3" fontId="6" fillId="0" borderId="0" xfId="63" applyNumberFormat="1" applyFont="1" applyBorder="1" applyAlignment="1">
      <alignment horizontal="center"/>
      <protection/>
    </xf>
    <xf numFmtId="0" fontId="6" fillId="0" borderId="19" xfId="63" applyNumberFormat="1" applyFont="1" applyBorder="1" applyAlignment="1">
      <alignment horizontal="center"/>
      <protection/>
    </xf>
    <xf numFmtId="3" fontId="6" fillId="0" borderId="19" xfId="63" applyNumberFormat="1" applyFont="1" applyBorder="1" applyAlignment="1">
      <alignment horizontal="center"/>
      <protection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1" fontId="6" fillId="0" borderId="0" xfId="60" applyFont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DGas6_97" xfId="55"/>
    <cellStyle name="Normal_SHEET" xfId="56"/>
    <cellStyle name="Normal_SHEET_2" xfId="57"/>
    <cellStyle name="Normal_SHEET_3" xfId="58"/>
    <cellStyle name="Normal_SHEET_4" xfId="59"/>
    <cellStyle name="Normal_SHEET_7" xfId="60"/>
    <cellStyle name="Normal_SHEET_C" xfId="61"/>
    <cellStyle name="Normal_WAElec6_97" xfId="62"/>
    <cellStyle name="Normal_WAGas6_9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hibit_EMA-3-WAG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lectric%20schedules%20revised08006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hedules%20electri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Avista\Schedules%20g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A-3 pg 1"/>
      <sheetName val="EMA-3 pg 2"/>
      <sheetName val="EMA-3 pg 3"/>
      <sheetName val="EMA-3 pgs 4-8"/>
      <sheetName val="PFRstmtSheet"/>
      <sheetName val="ResultSumGas"/>
      <sheetName val="DFIT"/>
      <sheetName val="BldGain"/>
      <sheetName val="GasInv"/>
      <sheetName val="WznDSM"/>
      <sheetName val="CustAdv"/>
      <sheetName val="DeprTrue-up"/>
      <sheetName val="WeatherGas"/>
      <sheetName val="BandO"/>
      <sheetName val="PropTax"/>
      <sheetName val="UncollExp"/>
      <sheetName val="RegExp"/>
      <sheetName val="InjDam"/>
      <sheetName val="FIT"/>
      <sheetName val="SIT"/>
      <sheetName val="GainsLosses"/>
      <sheetName val="ElimAR"/>
      <sheetName val="SubSpace"/>
      <sheetName val="ExciseTax"/>
      <sheetName val="OMSavings"/>
      <sheetName val="MiscReState"/>
      <sheetName val="DebtInt"/>
      <sheetName val="DebtCalc"/>
      <sheetName val="PFNon-Exec"/>
      <sheetName val="PF-Exec"/>
      <sheetName val="PFJPStorage"/>
      <sheetName val="PFCapx2008"/>
      <sheetName val="PFCapx2009"/>
      <sheetName val="PFAssetMgt"/>
      <sheetName val="PFIncentives"/>
      <sheetName val="PFInfoServ"/>
      <sheetName val="PFEmpBen"/>
      <sheetName val="PFInsur"/>
      <sheetName val="Inputs"/>
      <sheetName val="ExhEMA3"/>
      <sheetName val="NOT USED PAST THIS TAB"/>
      <sheetName val="PFJP11-open"/>
      <sheetName val="PF12-Open"/>
      <sheetName val="blank"/>
      <sheetName val="CompWA"/>
      <sheetName val="CompID"/>
      <sheetName val="CWIPAlloc"/>
      <sheetName val="SYSGas12_06"/>
      <sheetName val="Proposed Rates-ID"/>
      <sheetName val="RevReqEx ID"/>
      <sheetName val="ConverFac_Exh-ID"/>
      <sheetName val="IDGas12_07"/>
    </sheetNames>
    <sheetDataSet>
      <sheetData sheetId="5">
        <row r="14">
          <cell r="F14">
            <v>0</v>
          </cell>
        </row>
      </sheetData>
      <sheetData sheetId="38">
        <row r="2">
          <cell r="D2" t="str">
            <v>TWELVE MONTHS ENDED SEPTEMBER 30, 2008</v>
          </cell>
        </row>
        <row r="6">
          <cell r="D6" t="str">
            <v>AVISTA UTILITIES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A-1"/>
      <sheetName val="A-2"/>
      <sheetName val="C-1"/>
      <sheetName val="C-2"/>
      <sheetName val="C-2.1"/>
      <sheetName val="C-3"/>
      <sheetName val="Sheet2"/>
      <sheetName val="Sheet1"/>
      <sheetName val="C-6"/>
      <sheetName val="C-7"/>
      <sheetName val="C-8"/>
      <sheetName val="C-9"/>
      <sheetName val="C-10"/>
      <sheetName val="C-11"/>
      <sheetName val="C-12"/>
      <sheetName val="c-13"/>
      <sheetName val="C-_"/>
      <sheetName val="D"/>
    </sheetNames>
    <sheetDataSet>
      <sheetData sheetId="0">
        <row r="1">
          <cell r="A1" t="str">
            <v>AVISTA UTILITIES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A1 RevReq"/>
      <sheetName val="A2"/>
      <sheetName val="B-1"/>
      <sheetName val="B-2"/>
      <sheetName val="B-3"/>
      <sheetName val="B-4"/>
      <sheetName val="B-5"/>
      <sheetName val="B-6"/>
      <sheetName val="B-7"/>
      <sheetName val="C-1 NOI"/>
      <sheetName val="C-2 Prop Tax"/>
      <sheetName val="C-3"/>
      <sheetName val="C-4 ProdPty"/>
      <sheetName val="C-5a nonexec"/>
      <sheetName val="C-5b"/>
      <sheetName val="C-6 exec lbr"/>
      <sheetName val="C-7 08 CapAddns"/>
      <sheetName val="C-8 09 CapAdd"/>
      <sheetName val="C-9 Asset Mgt"/>
      <sheetName val="C-10 Info serv"/>
      <sheetName val="C-11 CDA Sett"/>
      <sheetName val="C-12 Colstrip"/>
      <sheetName val="C-13 Incentives"/>
      <sheetName val="C-14 O&amp;M"/>
      <sheetName val="C-15 Insur"/>
      <sheetName val="C-16 D&amp;O Ins"/>
      <sheetName val="C-17 Dir Mtgs"/>
      <sheetName val="C-18 Dir Fees"/>
      <sheetName val="C-19 Airpl"/>
      <sheetName val="C-20 IntSyn"/>
      <sheetName val="D ROR"/>
    </sheetNames>
    <sheetDataSet>
      <sheetData sheetId="1">
        <row r="3">
          <cell r="A3" t="str">
            <v>Test Year Twelve Months Ended September 30, 2008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A1 RevReq"/>
      <sheetName val="A2"/>
      <sheetName val="B-1 "/>
      <sheetName val="B-2"/>
      <sheetName val="B-3"/>
      <sheetName val="Sheet1"/>
      <sheetName val="C NOIb"/>
      <sheetName val="C-2a nonexec"/>
      <sheetName val="C-2b"/>
      <sheetName val="C-3 exec lbr"/>
      <sheetName val="C-4 08 CapAddns"/>
      <sheetName val="C-5 09 CapAdd"/>
      <sheetName val="C-6 Asset Mgt"/>
      <sheetName val="C-7 Info serv"/>
      <sheetName val="C-8 Incentives"/>
      <sheetName val="C-9 Insur"/>
      <sheetName val="C-10 D&amp;O Ins"/>
      <sheetName val="C-11 Dir Mtgs"/>
      <sheetName val="C-12 Dir Fees"/>
      <sheetName val="C-14 "/>
      <sheetName val="C-15"/>
      <sheetName val="C-16 IntSyn"/>
      <sheetName val="D1 ROR"/>
    </sheetNames>
    <sheetDataSet>
      <sheetData sheetId="1">
        <row r="1">
          <cell r="A1" t="str">
            <v>AVISTA UTLITIES </v>
          </cell>
        </row>
        <row r="2">
          <cell r="A2" t="str">
            <v>Washington Gas System</v>
          </cell>
        </row>
        <row r="3">
          <cell r="A3" t="str">
            <v>Test Year Twelve Months Ended September 30, 2008</v>
          </cell>
        </row>
        <row r="4">
          <cell r="A4" t="str">
            <v>($000's of Dollars)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Layout" workbookViewId="0" topLeftCell="D1">
      <selection activeCell="A4" sqref="A4:K4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31.57421875" style="0" customWidth="1"/>
    <col min="4" max="4" width="0.9921875" style="0" customWidth="1"/>
    <col min="5" max="5" width="14.7109375" style="0" customWidth="1"/>
    <col min="6" max="6" width="0.85546875" style="0" customWidth="1"/>
    <col min="7" max="7" width="14.7109375" style="0" customWidth="1"/>
    <col min="8" max="8" width="0.5625" style="0" customWidth="1"/>
    <col min="9" max="9" width="14.7109375" style="0" customWidth="1"/>
    <col min="10" max="10" width="0.85546875" style="0" customWidth="1"/>
  </cols>
  <sheetData>
    <row r="1" spans="1:11" ht="15.75">
      <c r="A1" s="264" t="s">
        <v>164</v>
      </c>
      <c r="B1" s="265"/>
      <c r="C1" s="265"/>
      <c r="D1" s="265"/>
      <c r="E1" s="265"/>
      <c r="F1" s="265"/>
      <c r="G1" s="265"/>
      <c r="H1" s="265"/>
      <c r="I1" s="265"/>
      <c r="J1" s="265"/>
      <c r="K1" s="266"/>
    </row>
    <row r="2" spans="1:11" ht="15.75">
      <c r="A2" s="264" t="s">
        <v>165</v>
      </c>
      <c r="B2" s="265"/>
      <c r="C2" s="265"/>
      <c r="D2" s="265"/>
      <c r="E2" s="265"/>
      <c r="F2" s="265"/>
      <c r="G2" s="265"/>
      <c r="H2" s="265"/>
      <c r="I2" s="265"/>
      <c r="J2" s="265"/>
      <c r="K2" s="266"/>
    </row>
    <row r="3" spans="1:11" ht="15.75">
      <c r="A3" s="264" t="s">
        <v>166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15.75">
      <c r="A4" s="264" t="s">
        <v>167</v>
      </c>
      <c r="B4" s="265"/>
      <c r="C4" s="265"/>
      <c r="D4" s="265"/>
      <c r="E4" s="265"/>
      <c r="F4" s="265"/>
      <c r="G4" s="265"/>
      <c r="H4" s="265"/>
      <c r="I4" s="265"/>
      <c r="J4" s="265"/>
      <c r="K4" s="266"/>
    </row>
    <row r="5" spans="1:11" ht="15.75">
      <c r="A5" s="65"/>
      <c r="B5" s="65"/>
      <c r="C5" s="65"/>
      <c r="D5" s="66"/>
      <c r="E5" s="66"/>
      <c r="F5" s="66"/>
      <c r="G5" s="65"/>
      <c r="H5" s="66"/>
      <c r="I5" s="66"/>
      <c r="J5" s="66"/>
      <c r="K5" s="66"/>
    </row>
    <row r="6" spans="1:11" ht="15.75">
      <c r="A6" s="65"/>
      <c r="B6" s="65"/>
      <c r="C6" s="65"/>
      <c r="D6" s="66"/>
      <c r="E6" s="66"/>
      <c r="F6" s="66"/>
      <c r="G6" s="66"/>
      <c r="H6" s="66"/>
      <c r="I6" s="66"/>
      <c r="J6" s="66"/>
      <c r="K6" s="66"/>
    </row>
    <row r="7" spans="1:11" ht="15.75">
      <c r="A7" s="66" t="s">
        <v>144</v>
      </c>
      <c r="B7" s="65"/>
      <c r="C7" s="65"/>
      <c r="D7" s="66"/>
      <c r="E7" s="66"/>
      <c r="F7" s="66"/>
      <c r="G7" s="65"/>
      <c r="H7" s="66"/>
      <c r="I7" s="66"/>
      <c r="J7" s="66"/>
      <c r="K7" s="66"/>
    </row>
    <row r="8" spans="1:11" ht="15.75">
      <c r="A8" s="67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5.75">
      <c r="A9" s="68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ht="15.75">
      <c r="A10" s="68"/>
      <c r="B10" s="66"/>
      <c r="C10" s="66"/>
      <c r="D10" s="66"/>
      <c r="E10" s="68" t="s">
        <v>145</v>
      </c>
      <c r="F10" s="68"/>
      <c r="G10" s="68" t="s">
        <v>145</v>
      </c>
      <c r="H10" s="66"/>
      <c r="I10" s="66"/>
      <c r="J10" s="66"/>
      <c r="K10" s="66"/>
    </row>
    <row r="11" spans="1:11" ht="15.75">
      <c r="A11" s="68" t="s">
        <v>15</v>
      </c>
      <c r="B11" s="66"/>
      <c r="C11" s="66"/>
      <c r="D11" s="66"/>
      <c r="E11" s="68" t="s">
        <v>146</v>
      </c>
      <c r="F11" s="68"/>
      <c r="G11" s="68" t="s">
        <v>147</v>
      </c>
      <c r="K11" s="66"/>
    </row>
    <row r="12" spans="1:11" ht="15.75">
      <c r="A12" s="69" t="s">
        <v>45</v>
      </c>
      <c r="B12" s="66"/>
      <c r="C12" s="70" t="s">
        <v>148</v>
      </c>
      <c r="D12" s="66"/>
      <c r="E12" s="69" t="s">
        <v>149</v>
      </c>
      <c r="F12" s="71"/>
      <c r="G12" s="69" t="s">
        <v>149</v>
      </c>
      <c r="I12" s="69" t="s">
        <v>150</v>
      </c>
      <c r="J12" s="65"/>
      <c r="K12" s="70" t="s">
        <v>151</v>
      </c>
    </row>
    <row r="13" spans="1:11" ht="15.75">
      <c r="A13" s="68"/>
      <c r="B13" s="66"/>
      <c r="C13" s="66"/>
      <c r="D13" s="66"/>
      <c r="E13" s="72" t="s">
        <v>152</v>
      </c>
      <c r="F13" s="72"/>
      <c r="G13" s="72" t="s">
        <v>153</v>
      </c>
      <c r="I13" s="68" t="s">
        <v>154</v>
      </c>
      <c r="K13" s="71" t="s">
        <v>155</v>
      </c>
    </row>
    <row r="14" spans="1:11" ht="15.75">
      <c r="A14" s="68"/>
      <c r="B14" s="66"/>
      <c r="C14" s="66"/>
      <c r="D14" s="66"/>
      <c r="E14" s="66"/>
      <c r="F14" s="68"/>
      <c r="G14" s="66"/>
      <c r="K14" s="65"/>
    </row>
    <row r="15" spans="1:11" ht="15.75">
      <c r="A15" s="68">
        <v>1</v>
      </c>
      <c r="B15" s="66"/>
      <c r="C15" s="66" t="s">
        <v>156</v>
      </c>
      <c r="D15" s="66"/>
      <c r="E15" s="73">
        <v>178263</v>
      </c>
      <c r="F15" s="68"/>
      <c r="G15" s="73">
        <f>'C-11'!E14</f>
        <v>168792</v>
      </c>
      <c r="I15" s="73">
        <f>+G15-E15</f>
        <v>-9471</v>
      </c>
      <c r="K15" s="65" t="s">
        <v>382</v>
      </c>
    </row>
    <row r="16" spans="1:11" ht="15.75">
      <c r="A16" s="68"/>
      <c r="B16" s="66"/>
      <c r="C16" s="66"/>
      <c r="D16" s="66"/>
      <c r="E16" s="66"/>
      <c r="F16" s="68"/>
      <c r="G16" s="66"/>
      <c r="I16" s="66"/>
      <c r="K16" s="65"/>
    </row>
    <row r="17" spans="1:11" ht="15.75">
      <c r="A17" s="68">
        <v>2</v>
      </c>
      <c r="B17" s="66"/>
      <c r="C17" s="66" t="s">
        <v>157</v>
      </c>
      <c r="D17" s="66"/>
      <c r="E17" s="75">
        <v>0.0868</v>
      </c>
      <c r="F17" s="76"/>
      <c r="G17" s="75">
        <v>0.0818</v>
      </c>
      <c r="I17" s="77">
        <f>+G17-E17</f>
        <v>-0.0050000000000000044</v>
      </c>
      <c r="K17" s="65" t="s">
        <v>383</v>
      </c>
    </row>
    <row r="18" spans="1:11" ht="15.75">
      <c r="A18" s="68"/>
      <c r="B18" s="66"/>
      <c r="C18" s="66"/>
      <c r="D18" s="66"/>
      <c r="E18" s="78"/>
      <c r="F18" s="79"/>
      <c r="G18" s="78"/>
      <c r="I18" s="66"/>
      <c r="K18" s="65"/>
    </row>
    <row r="19" spans="1:11" ht="15.75">
      <c r="A19" s="68">
        <v>3</v>
      </c>
      <c r="B19" s="66"/>
      <c r="C19" s="66" t="s">
        <v>158</v>
      </c>
      <c r="D19" s="66"/>
      <c r="E19" s="80">
        <f>ROUND(E15*E17,0)</f>
        <v>15473</v>
      </c>
      <c r="F19" s="81"/>
      <c r="G19" s="80">
        <f>+G15*G17</f>
        <v>13807.185599999999</v>
      </c>
      <c r="I19" s="73">
        <f aca="true" t="shared" si="0" ref="I19:I27">+G19-E19</f>
        <v>-1665.8144000000011</v>
      </c>
      <c r="K19" s="65" t="s">
        <v>159</v>
      </c>
    </row>
    <row r="20" spans="1:11" ht="15.75">
      <c r="A20" s="68"/>
      <c r="B20" s="66"/>
      <c r="C20" s="66"/>
      <c r="D20" s="66"/>
      <c r="E20" s="80"/>
      <c r="F20" s="81"/>
      <c r="G20" s="78"/>
      <c r="I20" s="73"/>
      <c r="K20" s="65"/>
    </row>
    <row r="21" spans="1:11" ht="15.75">
      <c r="A21" s="68">
        <v>4</v>
      </c>
      <c r="B21" s="66"/>
      <c r="C21" s="66" t="s">
        <v>160</v>
      </c>
      <c r="D21" s="66"/>
      <c r="E21" s="82">
        <v>12414</v>
      </c>
      <c r="F21" s="83"/>
      <c r="G21" s="82">
        <f>'A-1'!AS52</f>
        <v>13538.998911501301</v>
      </c>
      <c r="I21" s="85">
        <f t="shared" si="0"/>
        <v>1124.9989115013013</v>
      </c>
      <c r="K21" s="65" t="s">
        <v>382</v>
      </c>
    </row>
    <row r="22" spans="1:11" ht="15.75">
      <c r="A22" s="68"/>
      <c r="B22" s="66"/>
      <c r="C22" s="66"/>
      <c r="D22" s="66"/>
      <c r="E22" s="80"/>
      <c r="F22" s="80"/>
      <c r="G22" s="78"/>
      <c r="I22" s="73"/>
      <c r="K22" s="65"/>
    </row>
    <row r="23" spans="1:11" ht="15.75">
      <c r="A23" s="68">
        <v>5</v>
      </c>
      <c r="B23" s="66"/>
      <c r="C23" s="66" t="s">
        <v>161</v>
      </c>
      <c r="D23" s="66"/>
      <c r="E23" s="80">
        <f>E19-E21</f>
        <v>3059</v>
      </c>
      <c r="F23" s="80"/>
      <c r="G23" s="80">
        <f>+G19-G21</f>
        <v>268.18668849869755</v>
      </c>
      <c r="I23" s="73">
        <f t="shared" si="0"/>
        <v>-2790.8133115013025</v>
      </c>
      <c r="K23" s="65" t="s">
        <v>162</v>
      </c>
    </row>
    <row r="24" spans="1:11" ht="15.75">
      <c r="A24" s="68"/>
      <c r="B24" s="66"/>
      <c r="C24" s="66"/>
      <c r="D24" s="66"/>
      <c r="E24" s="78"/>
      <c r="F24" s="78"/>
      <c r="G24" s="78"/>
      <c r="I24" s="73"/>
      <c r="K24" s="65"/>
    </row>
    <row r="25" spans="1:11" ht="15.75">
      <c r="A25" s="68">
        <v>6</v>
      </c>
      <c r="B25" s="66"/>
      <c r="C25" s="66" t="s">
        <v>168</v>
      </c>
      <c r="D25" s="66"/>
      <c r="E25" s="86">
        <f>'A-2'!E29</f>
        <v>0.62203765</v>
      </c>
      <c r="F25" s="66"/>
      <c r="G25" s="87">
        <f>'A-2'!G29</f>
        <v>0.62208854</v>
      </c>
      <c r="I25" s="189">
        <f t="shared" si="0"/>
        <v>5.089000000002564E-05</v>
      </c>
      <c r="K25" s="65" t="s">
        <v>384</v>
      </c>
    </row>
    <row r="26" spans="1:11" ht="15.75">
      <c r="A26" s="68"/>
      <c r="B26" s="66"/>
      <c r="C26" s="66"/>
      <c r="D26" s="66"/>
      <c r="E26" s="78"/>
      <c r="F26" s="78"/>
      <c r="G26" s="78"/>
      <c r="I26" s="73"/>
      <c r="K26" s="65"/>
    </row>
    <row r="27" spans="1:11" ht="16.5" thickBot="1">
      <c r="A27" s="68">
        <v>7</v>
      </c>
      <c r="B27" s="66"/>
      <c r="C27" s="66" t="s">
        <v>163</v>
      </c>
      <c r="D27" s="66"/>
      <c r="E27" s="88">
        <f>ROUND(E23/E25,0)</f>
        <v>4918</v>
      </c>
      <c r="F27" s="89"/>
      <c r="G27" s="88">
        <f>ROUND(G23/G25,0)</f>
        <v>431</v>
      </c>
      <c r="I27" s="90">
        <f t="shared" si="0"/>
        <v>-4487</v>
      </c>
      <c r="K27" s="65" t="s">
        <v>355</v>
      </c>
    </row>
    <row r="28" spans="1:11" ht="16.5" thickTop="1">
      <c r="A28" s="68"/>
      <c r="B28" s="66"/>
      <c r="C28" s="66"/>
      <c r="D28" s="66"/>
      <c r="E28" s="66"/>
      <c r="F28" s="66"/>
      <c r="G28" s="66"/>
      <c r="H28" s="66"/>
      <c r="I28" s="66"/>
      <c r="J28" s="66"/>
      <c r="K28" s="65"/>
    </row>
    <row r="29" spans="1:11" ht="15.75">
      <c r="A29" s="68"/>
      <c r="B29" s="66"/>
      <c r="C29" s="66"/>
      <c r="D29" s="66"/>
      <c r="E29" s="66"/>
      <c r="F29" s="66"/>
      <c r="G29" s="66"/>
      <c r="H29" s="66"/>
      <c r="I29" s="66"/>
      <c r="J29" s="66"/>
      <c r="K29" s="65"/>
    </row>
    <row r="30" spans="1:11" ht="15.75">
      <c r="A30" s="65"/>
      <c r="B30" s="65"/>
      <c r="C30" s="91"/>
      <c r="D30" s="66"/>
      <c r="E30" s="66"/>
      <c r="F30" s="66"/>
      <c r="G30" s="66"/>
      <c r="H30" s="66"/>
      <c r="I30" s="66"/>
      <c r="J30" s="66"/>
      <c r="K30" s="65"/>
    </row>
    <row r="31" spans="1:11" ht="15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5"/>
    </row>
    <row r="32" spans="1:11" ht="15.75">
      <c r="A32" s="66"/>
      <c r="B32" s="66"/>
      <c r="C32" s="65"/>
      <c r="D32" s="66"/>
      <c r="E32" s="66"/>
      <c r="F32" s="66"/>
      <c r="G32" s="66"/>
      <c r="H32" s="66"/>
      <c r="I32" s="66"/>
      <c r="J32" s="66"/>
      <c r="K32" s="65"/>
    </row>
    <row r="33" spans="1:11" ht="15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5"/>
    </row>
    <row r="34" spans="1:11" ht="15.75">
      <c r="A34" s="66"/>
      <c r="B34" s="66"/>
      <c r="C34" s="92"/>
      <c r="D34" s="66"/>
      <c r="E34" s="66"/>
      <c r="F34" s="66"/>
      <c r="G34" s="66"/>
      <c r="H34" s="66"/>
      <c r="I34" s="66"/>
      <c r="J34" s="66"/>
      <c r="K34" s="65"/>
    </row>
    <row r="35" spans="1:11" ht="15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5"/>
    </row>
    <row r="36" spans="1:11" ht="15.75">
      <c r="A36" s="66"/>
      <c r="B36" s="66"/>
      <c r="C36" s="92"/>
      <c r="D36" s="66"/>
      <c r="E36" s="66"/>
      <c r="F36" s="66"/>
      <c r="G36" s="66"/>
      <c r="H36" s="66"/>
      <c r="I36" s="66"/>
      <c r="J36" s="66"/>
      <c r="K36" s="65"/>
    </row>
    <row r="37" spans="1:11" ht="15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5"/>
    </row>
    <row r="38" spans="1:11" ht="15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5"/>
    </row>
    <row r="39" spans="1:11" ht="15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1:11" ht="15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1:11" ht="15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</row>
    <row r="42" spans="1:11" ht="15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</row>
  </sheetData>
  <sheetProtection/>
  <mergeCells count="4">
    <mergeCell ref="A1:K1"/>
    <mergeCell ref="A2:K2"/>
    <mergeCell ref="A3:K3"/>
    <mergeCell ref="A4:K4"/>
  </mergeCells>
  <printOptions/>
  <pageMargins left="0.75" right="0.75" top="1" bottom="1" header="0.5" footer="0.5"/>
  <pageSetup fitToHeight="1" fitToWidth="1" horizontalDpi="600" verticalDpi="600" orientation="portrait" scale="88" r:id="rId1"/>
  <headerFooter alignWithMargins="0">
    <oddHeader>&amp;R&amp;"Times New Roman,Regular"Docket Nos. UE-090134 and UG-090135, UG-060518
Exhibit No. __(HL-4)
Schedule A (Gas&amp;"Arial,Regular")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Layout" workbookViewId="0" topLeftCell="C1">
      <selection activeCell="E27" sqref="E27"/>
    </sheetView>
  </sheetViews>
  <sheetFormatPr defaultColWidth="9.140625" defaultRowHeight="12.75"/>
  <cols>
    <col min="2" max="2" width="0.9921875" style="0" customWidth="1"/>
    <col min="3" max="3" width="44.28125" style="0" customWidth="1"/>
    <col min="4" max="4" width="0.71875" style="0" customWidth="1"/>
    <col min="5" max="5" width="14.7109375" style="0" customWidth="1"/>
    <col min="6" max="6" width="0.9921875" style="0" customWidth="1"/>
    <col min="7" max="7" width="14.140625" style="0" customWidth="1"/>
    <col min="8" max="8" width="0.9921875" style="0" customWidth="1"/>
    <col min="9" max="9" width="10.7109375" style="0" customWidth="1"/>
  </cols>
  <sheetData>
    <row r="1" spans="1:9" ht="15.75">
      <c r="A1" s="265" t="str">
        <f>A!A1</f>
        <v>AVISTA UTILITIES</v>
      </c>
      <c r="B1" s="265"/>
      <c r="C1" s="265"/>
      <c r="D1" s="265"/>
      <c r="E1" s="265"/>
      <c r="F1" s="265"/>
      <c r="G1" s="265"/>
      <c r="H1" s="265"/>
      <c r="I1" s="265"/>
    </row>
    <row r="2" spans="1:9" ht="15.75">
      <c r="A2" s="265" t="str">
        <f>A!A2</f>
        <v>Washington Gas System</v>
      </c>
      <c r="B2" s="265"/>
      <c r="C2" s="265"/>
      <c r="D2" s="265"/>
      <c r="E2" s="265"/>
      <c r="F2" s="265"/>
      <c r="G2" s="265"/>
      <c r="H2" s="265"/>
      <c r="I2" s="265"/>
    </row>
    <row r="3" spans="1:9" ht="15.75">
      <c r="A3" s="265" t="str">
        <f>A!A3</f>
        <v>Test Year Twelve Months Ended September 30, 2008</v>
      </c>
      <c r="B3" s="265"/>
      <c r="C3" s="265"/>
      <c r="D3" s="265"/>
      <c r="E3" s="265"/>
      <c r="F3" s="265"/>
      <c r="G3" s="265"/>
      <c r="H3" s="265"/>
      <c r="I3" s="265"/>
    </row>
    <row r="4" spans="1:9" ht="15.75">
      <c r="A4" s="265"/>
      <c r="B4" s="265"/>
      <c r="C4" s="265"/>
      <c r="D4" s="265"/>
      <c r="E4" s="265"/>
      <c r="F4" s="265"/>
      <c r="G4" s="265"/>
      <c r="H4" s="265"/>
      <c r="I4" s="265"/>
    </row>
    <row r="5" spans="2:9" ht="15.75">
      <c r="B5" s="66"/>
      <c r="C5" s="66"/>
      <c r="D5" s="66"/>
      <c r="E5" s="66"/>
      <c r="F5" s="66"/>
      <c r="G5" s="68"/>
      <c r="H5" s="68"/>
      <c r="I5" s="66"/>
    </row>
    <row r="6" spans="1:9" ht="15.75">
      <c r="A6" s="66"/>
      <c r="B6" s="66"/>
      <c r="C6" s="66"/>
      <c r="D6" s="66"/>
      <c r="E6" s="66"/>
      <c r="F6" s="66"/>
      <c r="G6" s="68"/>
      <c r="H6" s="68"/>
      <c r="I6" s="66"/>
    </row>
    <row r="7" spans="1:9" ht="15.75">
      <c r="A7" s="66" t="s">
        <v>319</v>
      </c>
      <c r="B7" s="66"/>
      <c r="C7" s="66"/>
      <c r="D7" s="66"/>
      <c r="E7" s="68"/>
      <c r="F7" s="68"/>
      <c r="G7" s="68"/>
      <c r="H7" s="68"/>
      <c r="I7" s="66"/>
    </row>
    <row r="8" spans="1:9" ht="15.75">
      <c r="A8" s="66"/>
      <c r="B8" s="66"/>
      <c r="C8" s="66"/>
      <c r="D8" s="66"/>
      <c r="E8" s="68"/>
      <c r="F8" s="68"/>
      <c r="G8" s="68"/>
      <c r="H8" s="68"/>
      <c r="I8" s="66"/>
    </row>
    <row r="9" spans="1:9" ht="15.75">
      <c r="A9" s="68" t="s">
        <v>15</v>
      </c>
      <c r="B9" s="66"/>
      <c r="C9" s="66"/>
      <c r="D9" s="66"/>
      <c r="E9" s="68"/>
      <c r="F9" s="68"/>
      <c r="G9" s="68"/>
      <c r="H9" s="68"/>
      <c r="I9" s="66"/>
    </row>
    <row r="10" spans="1:9" ht="15.75">
      <c r="A10" s="69" t="s">
        <v>45</v>
      </c>
      <c r="B10" s="66"/>
      <c r="C10" s="70" t="s">
        <v>148</v>
      </c>
      <c r="D10" s="65"/>
      <c r="E10" s="69" t="s">
        <v>184</v>
      </c>
      <c r="F10" s="71"/>
      <c r="G10" s="71"/>
      <c r="H10" s="68"/>
      <c r="I10" s="65"/>
    </row>
    <row r="11" spans="1:9" ht="15.75">
      <c r="A11" s="71"/>
      <c r="B11" s="66"/>
      <c r="C11" s="65"/>
      <c r="D11" s="65"/>
      <c r="E11" s="65"/>
      <c r="F11" s="65"/>
      <c r="G11" s="91"/>
      <c r="H11" s="68"/>
      <c r="I11" s="65"/>
    </row>
    <row r="12" spans="1:9" ht="15.75">
      <c r="A12" s="68"/>
      <c r="B12" s="66"/>
      <c r="C12" s="66"/>
      <c r="D12" s="66"/>
      <c r="E12" s="66"/>
      <c r="F12" s="66"/>
      <c r="G12" s="66"/>
      <c r="H12" s="66"/>
      <c r="I12" s="66"/>
    </row>
    <row r="13" spans="1:9" ht="15.75">
      <c r="A13" s="106">
        <v>1</v>
      </c>
      <c r="B13" s="66"/>
      <c r="C13" s="66" t="s">
        <v>320</v>
      </c>
      <c r="D13" s="65"/>
      <c r="E13" s="89">
        <v>78284</v>
      </c>
      <c r="F13" s="65"/>
      <c r="G13" s="89" t="s">
        <v>266</v>
      </c>
      <c r="H13" s="65"/>
      <c r="I13" s="65"/>
    </row>
    <row r="14" spans="1:9" ht="15.75">
      <c r="A14" s="106"/>
      <c r="B14" s="66"/>
      <c r="C14" s="66"/>
      <c r="D14" s="65"/>
      <c r="E14" s="175"/>
      <c r="F14" s="65"/>
      <c r="G14" s="89"/>
      <c r="H14" s="65"/>
      <c r="I14" s="65"/>
    </row>
    <row r="15" spans="1:9" ht="15.75">
      <c r="A15" s="106">
        <v>2</v>
      </c>
      <c r="B15" s="66"/>
      <c r="C15" s="66" t="s">
        <v>321</v>
      </c>
      <c r="D15" s="65"/>
      <c r="E15" s="107">
        <f>I33</f>
        <v>-17886</v>
      </c>
      <c r="F15" s="65"/>
      <c r="G15" s="89" t="s">
        <v>267</v>
      </c>
      <c r="H15" s="65"/>
      <c r="I15" s="65"/>
    </row>
    <row r="16" spans="1:9" ht="15.75">
      <c r="A16" s="106"/>
      <c r="B16" s="66"/>
      <c r="C16" s="66"/>
      <c r="D16" s="65"/>
      <c r="E16" s="89"/>
      <c r="F16" s="65"/>
      <c r="G16" s="89"/>
      <c r="H16" s="65"/>
      <c r="I16" s="65"/>
    </row>
    <row r="17" spans="1:9" ht="15.75">
      <c r="A17" s="106">
        <v>3</v>
      </c>
      <c r="B17" s="66"/>
      <c r="C17" s="66" t="s">
        <v>322</v>
      </c>
      <c r="D17" s="65"/>
      <c r="E17" s="89">
        <f>G33</f>
        <v>60398</v>
      </c>
      <c r="F17" s="65"/>
      <c r="G17" s="89"/>
      <c r="H17" s="65"/>
      <c r="I17" s="65"/>
    </row>
    <row r="18" spans="1:9" ht="15.75">
      <c r="A18" s="106"/>
      <c r="B18" s="66"/>
      <c r="C18" s="65"/>
      <c r="D18" s="65"/>
      <c r="E18" s="89"/>
      <c r="F18" s="65"/>
      <c r="G18" s="89"/>
      <c r="H18" s="65"/>
      <c r="I18" s="65"/>
    </row>
    <row r="19" spans="1:9" ht="15.75">
      <c r="A19" s="106">
        <v>4</v>
      </c>
      <c r="C19" s="66" t="s">
        <v>185</v>
      </c>
      <c r="D19" s="65"/>
      <c r="E19" s="77">
        <v>0.35</v>
      </c>
      <c r="F19" s="65"/>
      <c r="G19" s="65"/>
      <c r="H19" s="65"/>
      <c r="I19" s="65"/>
    </row>
    <row r="20" spans="1:9" ht="15.75">
      <c r="A20" s="106"/>
      <c r="B20" s="66"/>
      <c r="C20" s="65"/>
      <c r="D20" s="65"/>
      <c r="E20" s="89"/>
      <c r="F20" s="65"/>
      <c r="G20" s="89"/>
      <c r="H20" s="65"/>
      <c r="I20" s="65"/>
    </row>
    <row r="21" spans="1:9" ht="15.75">
      <c r="A21" s="106">
        <v>5</v>
      </c>
      <c r="B21" s="66"/>
      <c r="C21" s="65" t="s">
        <v>362</v>
      </c>
      <c r="D21" s="65"/>
      <c r="E21" s="107">
        <f>+E17*-E19</f>
        <v>-21139.3</v>
      </c>
      <c r="F21" s="65"/>
      <c r="G21" s="65"/>
      <c r="H21" s="65"/>
      <c r="I21" s="65"/>
    </row>
    <row r="22" spans="1:9" ht="15.75">
      <c r="A22" s="106"/>
      <c r="B22" s="66"/>
      <c r="C22" s="65"/>
      <c r="D22" s="65"/>
      <c r="E22" s="91"/>
      <c r="F22" s="65"/>
      <c r="G22" s="89"/>
      <c r="H22" s="65"/>
      <c r="I22" s="65"/>
    </row>
    <row r="23" spans="1:9" ht="16.5" thickBot="1">
      <c r="A23" s="109">
        <v>6</v>
      </c>
      <c r="B23" s="92"/>
      <c r="C23" s="110" t="s">
        <v>357</v>
      </c>
      <c r="D23" s="92"/>
      <c r="E23" s="114">
        <f>-E17-E21</f>
        <v>-39258.7</v>
      </c>
      <c r="F23" s="92"/>
      <c r="G23" s="113"/>
      <c r="H23" s="92"/>
      <c r="I23" s="172"/>
    </row>
    <row r="24" spans="1:9" ht="16.5" thickTop="1">
      <c r="A24" s="109"/>
      <c r="B24" s="92"/>
      <c r="C24" s="110"/>
      <c r="D24" s="92"/>
      <c r="E24" s="91"/>
      <c r="F24" s="91"/>
      <c r="G24" s="176"/>
      <c r="H24" s="92"/>
      <c r="I24" s="113"/>
    </row>
    <row r="25" spans="1:9" ht="15.75">
      <c r="A25" s="109"/>
      <c r="B25" s="92"/>
      <c r="C25" s="110"/>
      <c r="D25" s="92"/>
      <c r="E25" s="91"/>
      <c r="F25" s="91"/>
      <c r="G25" s="176"/>
      <c r="H25" s="92"/>
      <c r="I25" s="113"/>
    </row>
    <row r="26" spans="1:9" ht="15.75">
      <c r="A26" s="177" t="s">
        <v>179</v>
      </c>
      <c r="B26" s="128"/>
      <c r="C26" s="178"/>
      <c r="D26" s="128"/>
      <c r="E26" s="102"/>
      <c r="F26" s="102"/>
      <c r="G26" s="111"/>
      <c r="H26" s="128"/>
      <c r="I26" s="84"/>
    </row>
    <row r="27" spans="1:9" ht="15.75">
      <c r="A27" s="109"/>
      <c r="B27" s="92"/>
      <c r="C27" s="112"/>
      <c r="D27" s="92"/>
      <c r="E27" s="71" t="s">
        <v>104</v>
      </c>
      <c r="F27" s="71"/>
      <c r="G27" s="83" t="s">
        <v>378</v>
      </c>
      <c r="H27" s="92"/>
      <c r="I27" s="113"/>
    </row>
    <row r="28" spans="1:9" ht="15.75">
      <c r="A28" s="109"/>
      <c r="B28" s="92"/>
      <c r="C28" s="112"/>
      <c r="D28" s="92"/>
      <c r="E28" s="71" t="s">
        <v>266</v>
      </c>
      <c r="F28" s="179"/>
      <c r="G28" s="83" t="s">
        <v>267</v>
      </c>
      <c r="H28" s="92"/>
      <c r="I28" s="113"/>
    </row>
    <row r="29" spans="1:9" ht="15.75">
      <c r="A29" s="109"/>
      <c r="B29" s="92"/>
      <c r="C29" s="112"/>
      <c r="D29" s="92"/>
      <c r="E29" s="180" t="s">
        <v>323</v>
      </c>
      <c r="F29" s="180"/>
      <c r="G29" s="180" t="s">
        <v>323</v>
      </c>
      <c r="H29" s="123"/>
      <c r="I29" s="181"/>
    </row>
    <row r="30" spans="1:9" ht="15.75">
      <c r="A30" s="109"/>
      <c r="B30" s="92"/>
      <c r="C30" s="112"/>
      <c r="D30" s="92"/>
      <c r="E30" s="180" t="s">
        <v>324</v>
      </c>
      <c r="F30" s="180"/>
      <c r="G30" s="180" t="s">
        <v>324</v>
      </c>
      <c r="H30" s="123"/>
      <c r="I30" s="181"/>
    </row>
    <row r="31" spans="1:9" ht="15.75">
      <c r="A31" s="109"/>
      <c r="B31" s="92"/>
      <c r="C31" s="112"/>
      <c r="D31" s="92"/>
      <c r="E31" s="182" t="s">
        <v>325</v>
      </c>
      <c r="F31" s="180"/>
      <c r="G31" s="182" t="s">
        <v>326</v>
      </c>
      <c r="H31" s="123"/>
      <c r="I31" s="183" t="s">
        <v>150</v>
      </c>
    </row>
    <row r="32" spans="1:9" ht="15.75">
      <c r="A32" s="109"/>
      <c r="B32" s="92"/>
      <c r="C32" s="110"/>
      <c r="D32" s="92"/>
      <c r="E32" s="92"/>
      <c r="F32" s="92"/>
      <c r="G32" s="184"/>
      <c r="H32" s="92"/>
      <c r="I32" s="113"/>
    </row>
    <row r="33" spans="1:9" ht="15.75">
      <c r="A33" s="109"/>
      <c r="B33" s="92"/>
      <c r="C33" s="112"/>
      <c r="D33" s="92"/>
      <c r="E33" s="89">
        <v>78284</v>
      </c>
      <c r="F33" s="65"/>
      <c r="G33" s="89">
        <v>60398</v>
      </c>
      <c r="H33" s="92"/>
      <c r="I33" s="113">
        <f>+G33-E33</f>
        <v>-17886</v>
      </c>
    </row>
    <row r="34" spans="1:9" ht="15.75">
      <c r="A34" s="109"/>
      <c r="B34" s="92"/>
      <c r="C34" s="185"/>
      <c r="D34" s="92"/>
      <c r="E34" s="89"/>
      <c r="F34" s="65"/>
      <c r="G34" s="89"/>
      <c r="H34" s="92"/>
      <c r="I34" s="113"/>
    </row>
    <row r="35" spans="1:9" ht="15.75">
      <c r="A35" s="109"/>
      <c r="B35" s="92"/>
      <c r="C35" s="66"/>
      <c r="D35" s="92"/>
      <c r="E35" s="175"/>
      <c r="F35" s="65"/>
      <c r="G35" s="89"/>
      <c r="H35" s="92"/>
      <c r="I35" s="113"/>
    </row>
    <row r="36" spans="1:9" ht="15.75">
      <c r="A36" s="124"/>
      <c r="B36" s="92"/>
      <c r="H36" s="92"/>
      <c r="I36" s="172"/>
    </row>
    <row r="37" spans="1:9" ht="15.75">
      <c r="A37" s="124"/>
      <c r="B37" s="92"/>
      <c r="C37" s="112"/>
      <c r="D37" s="92"/>
      <c r="E37" s="175"/>
      <c r="F37" s="92"/>
      <c r="G37" s="173"/>
      <c r="H37" s="92"/>
      <c r="I37" s="172"/>
    </row>
    <row r="38" spans="1:9" ht="15.75">
      <c r="A38" s="124"/>
      <c r="B38" s="92"/>
      <c r="C38" s="112"/>
      <c r="D38" s="92"/>
      <c r="F38" s="92"/>
      <c r="G38" s="113"/>
      <c r="H38" s="92"/>
      <c r="I38" s="172"/>
    </row>
    <row r="39" spans="1:9" ht="15.75">
      <c r="A39" s="124"/>
      <c r="B39" s="92"/>
      <c r="C39" s="112"/>
      <c r="D39" s="92"/>
      <c r="E39" s="92"/>
      <c r="F39" s="92"/>
      <c r="G39" s="113"/>
      <c r="H39" s="92"/>
      <c r="I39" s="172"/>
    </row>
    <row r="40" spans="1:9" ht="15.75">
      <c r="A40" s="124"/>
      <c r="B40" s="92"/>
      <c r="C40" s="110"/>
      <c r="D40" s="92"/>
      <c r="H40" s="92"/>
      <c r="I40" s="172"/>
    </row>
  </sheetData>
  <sheetProtection/>
  <mergeCells count="4"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&amp;R&amp;"Times New Roman,Regular"Docket Nos. UE-090134 and UG-090135, UG-060518
Exhibit No. __ (HL-4)
Schedule C-4 (Gas)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Layout" workbookViewId="0" topLeftCell="C1">
      <selection activeCell="E25" sqref="E25"/>
    </sheetView>
  </sheetViews>
  <sheetFormatPr defaultColWidth="9.140625" defaultRowHeight="12.75"/>
  <cols>
    <col min="2" max="2" width="0.9921875" style="0" customWidth="1"/>
    <col min="3" max="3" width="63.28125" style="0" customWidth="1"/>
    <col min="4" max="4" width="0.71875" style="0" customWidth="1"/>
    <col min="5" max="5" width="12.57421875" style="0" customWidth="1"/>
    <col min="6" max="6" width="0.9921875" style="0" customWidth="1"/>
    <col min="7" max="7" width="10.57421875" style="0" bestFit="1" customWidth="1"/>
  </cols>
  <sheetData>
    <row r="1" spans="1:8" ht="15.75">
      <c r="A1" s="265" t="str">
        <f>A!A1</f>
        <v>AVISTA UTILITIES</v>
      </c>
      <c r="B1" s="265"/>
      <c r="C1" s="265"/>
      <c r="D1" s="265"/>
      <c r="E1" s="265"/>
      <c r="F1" s="265"/>
      <c r="G1" s="265"/>
      <c r="H1" s="265"/>
    </row>
    <row r="2" spans="1:8" ht="15.75">
      <c r="A2" s="265" t="str">
        <f>A!A2</f>
        <v>Washington Gas System</v>
      </c>
      <c r="B2" s="265"/>
      <c r="C2" s="265"/>
      <c r="D2" s="265"/>
      <c r="E2" s="265"/>
      <c r="F2" s="265"/>
      <c r="G2" s="265"/>
      <c r="H2" s="265"/>
    </row>
    <row r="3" spans="1:8" ht="15.75">
      <c r="A3" s="265" t="str">
        <f>A!A3</f>
        <v>Test Year Twelve Months Ended September 30, 2008</v>
      </c>
      <c r="B3" s="265"/>
      <c r="C3" s="265"/>
      <c r="D3" s="265"/>
      <c r="E3" s="265"/>
      <c r="F3" s="265"/>
      <c r="G3" s="265"/>
      <c r="H3" s="265"/>
    </row>
    <row r="4" spans="1:8" ht="15.75">
      <c r="A4" s="265"/>
      <c r="B4" s="265"/>
      <c r="C4" s="265"/>
      <c r="D4" s="265"/>
      <c r="E4" s="265"/>
      <c r="F4" s="265"/>
      <c r="G4" s="265"/>
      <c r="H4" s="265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6"/>
      <c r="B6" s="66"/>
      <c r="C6" s="66"/>
      <c r="D6" s="66"/>
      <c r="E6" s="66"/>
      <c r="F6" s="66"/>
      <c r="G6" s="66"/>
      <c r="H6" s="66"/>
    </row>
    <row r="7" spans="1:8" ht="15.75">
      <c r="A7" s="66" t="s">
        <v>327</v>
      </c>
      <c r="B7" s="66"/>
      <c r="C7" s="66"/>
      <c r="D7" s="66"/>
      <c r="E7" s="66"/>
      <c r="F7" s="66"/>
      <c r="G7" s="66"/>
      <c r="H7" s="66"/>
    </row>
    <row r="8" spans="1:8" ht="15.75">
      <c r="A8" s="66"/>
      <c r="B8" s="66"/>
      <c r="C8" s="66"/>
      <c r="D8" s="66"/>
      <c r="E8" s="66"/>
      <c r="F8" s="66"/>
      <c r="G8" s="66"/>
      <c r="H8" s="66"/>
    </row>
    <row r="9" spans="1:8" ht="15.75">
      <c r="A9" s="69" t="s">
        <v>183</v>
      </c>
      <c r="B9" s="66"/>
      <c r="C9" s="70" t="s">
        <v>148</v>
      </c>
      <c r="D9" s="65"/>
      <c r="E9" s="70" t="s">
        <v>184</v>
      </c>
      <c r="F9" s="66"/>
      <c r="G9" s="70" t="s">
        <v>260</v>
      </c>
      <c r="H9" s="65"/>
    </row>
    <row r="10" spans="1:8" ht="15.75">
      <c r="A10" s="68"/>
      <c r="B10" s="66"/>
      <c r="C10" s="66"/>
      <c r="D10" s="66"/>
      <c r="E10" s="66"/>
      <c r="F10" s="66"/>
      <c r="G10" s="66"/>
      <c r="H10" s="65"/>
    </row>
    <row r="11" spans="1:8" ht="15.75">
      <c r="A11" s="106">
        <v>1</v>
      </c>
      <c r="B11" s="66"/>
      <c r="C11" s="66" t="s">
        <v>328</v>
      </c>
      <c r="D11" s="65"/>
      <c r="E11" s="89">
        <v>217168</v>
      </c>
      <c r="F11" s="65"/>
      <c r="G11" s="65" t="s">
        <v>329</v>
      </c>
      <c r="H11" s="65"/>
    </row>
    <row r="12" spans="1:8" ht="15.75">
      <c r="A12" s="106"/>
      <c r="B12" s="66"/>
      <c r="C12" s="66"/>
      <c r="D12" s="65"/>
      <c r="E12" s="89"/>
      <c r="F12" s="65"/>
      <c r="G12" s="65"/>
      <c r="H12" s="65"/>
    </row>
    <row r="13" spans="1:8" ht="15.75">
      <c r="A13" s="106">
        <v>2</v>
      </c>
      <c r="B13" s="66"/>
      <c r="C13" s="66" t="s">
        <v>330</v>
      </c>
      <c r="D13" s="66"/>
      <c r="E13" s="174">
        <v>-0.5</v>
      </c>
      <c r="F13" s="66"/>
      <c r="G13" s="66"/>
      <c r="H13" s="65"/>
    </row>
    <row r="14" spans="1:8" ht="15.75">
      <c r="A14" s="106"/>
      <c r="B14" s="66"/>
      <c r="C14" s="66"/>
      <c r="D14" s="66"/>
      <c r="E14" s="66"/>
      <c r="F14" s="66"/>
      <c r="G14" s="66"/>
      <c r="H14" s="65"/>
    </row>
    <row r="15" spans="1:8" ht="15.75">
      <c r="A15" s="106">
        <v>3</v>
      </c>
      <c r="B15" s="66"/>
      <c r="C15" s="66" t="s">
        <v>331</v>
      </c>
      <c r="D15" s="66"/>
      <c r="E15" s="89">
        <f>+E13*E11</f>
        <v>-108584</v>
      </c>
      <c r="F15" s="66"/>
      <c r="G15" s="66" t="s">
        <v>332</v>
      </c>
      <c r="H15" s="65"/>
    </row>
    <row r="16" spans="1:8" ht="15.75">
      <c r="A16" s="109"/>
      <c r="B16" s="92"/>
      <c r="C16" s="112"/>
      <c r="D16" s="92"/>
      <c r="E16" s="113"/>
      <c r="F16" s="92"/>
      <c r="G16" s="113"/>
      <c r="H16" s="65"/>
    </row>
    <row r="17" spans="1:8" ht="15.75">
      <c r="A17" s="109">
        <v>4</v>
      </c>
      <c r="B17" s="92"/>
      <c r="C17" s="110" t="s">
        <v>185</v>
      </c>
      <c r="D17" s="92"/>
      <c r="E17" s="111">
        <v>0.35</v>
      </c>
      <c r="F17" s="92"/>
      <c r="G17" s="113"/>
      <c r="H17" s="65"/>
    </row>
    <row r="18" spans="1:8" ht="15.75">
      <c r="A18" s="109"/>
      <c r="B18" s="92"/>
      <c r="C18" s="112"/>
      <c r="D18" s="92"/>
      <c r="E18" s="113"/>
      <c r="F18" s="92"/>
      <c r="G18" s="113"/>
      <c r="H18" s="65"/>
    </row>
    <row r="19" spans="1:8" ht="15.75">
      <c r="A19" s="109">
        <v>5</v>
      </c>
      <c r="B19" s="92"/>
      <c r="C19" s="110" t="s">
        <v>186</v>
      </c>
      <c r="D19" s="92"/>
      <c r="E19" s="84">
        <f>-E15*E17</f>
        <v>38004.399999999994</v>
      </c>
      <c r="F19" s="92"/>
      <c r="G19" s="113" t="s">
        <v>293</v>
      </c>
      <c r="H19" s="65"/>
    </row>
    <row r="20" spans="1:8" ht="15.75">
      <c r="A20" s="109"/>
      <c r="B20" s="92"/>
      <c r="C20" s="112"/>
      <c r="D20" s="92"/>
      <c r="E20" s="113"/>
      <c r="F20" s="92"/>
      <c r="G20" s="113"/>
      <c r="H20" s="65"/>
    </row>
    <row r="21" spans="1:8" ht="16.5" thickBot="1">
      <c r="A21" s="109">
        <v>6</v>
      </c>
      <c r="B21" s="92"/>
      <c r="C21" s="110" t="s">
        <v>187</v>
      </c>
      <c r="D21" s="92"/>
      <c r="E21" s="114">
        <f>-E15-E19</f>
        <v>70579.6</v>
      </c>
      <c r="F21" s="92"/>
      <c r="G21" s="113" t="s">
        <v>294</v>
      </c>
      <c r="H21" s="65"/>
    </row>
    <row r="22" spans="1:8" ht="16.5" thickTop="1">
      <c r="A22" s="124"/>
      <c r="B22" s="92"/>
      <c r="C22" s="112"/>
      <c r="D22" s="92"/>
      <c r="E22" s="113"/>
      <c r="F22" s="92"/>
      <c r="G22" s="113"/>
      <c r="H22" s="65"/>
    </row>
    <row r="23" spans="1:8" ht="15.75">
      <c r="A23" s="124"/>
      <c r="B23" s="92"/>
      <c r="C23" s="112"/>
      <c r="D23" s="92"/>
      <c r="E23" s="173"/>
      <c r="F23" s="92"/>
      <c r="G23" s="113"/>
      <c r="H23" s="65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&amp;R&amp;"Times New Roman,Regular"Docket Nos. UE-090134 and UG-090135, UG-060518
Exhibit No. __(HL-4)
Schedule C-5 (Gas)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Layout" workbookViewId="0" topLeftCell="B1">
      <selection activeCell="E31" sqref="E31"/>
    </sheetView>
  </sheetViews>
  <sheetFormatPr defaultColWidth="9.140625" defaultRowHeight="12.75"/>
  <cols>
    <col min="2" max="2" width="0.9921875" style="0" customWidth="1"/>
    <col min="3" max="3" width="63.28125" style="0" customWidth="1"/>
    <col min="4" max="4" width="0.71875" style="0" customWidth="1"/>
    <col min="5" max="5" width="12.57421875" style="0" customWidth="1"/>
    <col min="6" max="6" width="0.9921875" style="0" customWidth="1"/>
    <col min="7" max="7" width="10.57421875" style="0" bestFit="1" customWidth="1"/>
  </cols>
  <sheetData>
    <row r="1" spans="1:8" ht="15.75">
      <c r="A1" s="265" t="str">
        <f>A!A1</f>
        <v>AVISTA UTILITIES</v>
      </c>
      <c r="B1" s="265"/>
      <c r="C1" s="265"/>
      <c r="D1" s="265"/>
      <c r="E1" s="265"/>
      <c r="F1" s="265"/>
      <c r="G1" s="265"/>
      <c r="H1" s="265"/>
    </row>
    <row r="2" spans="1:8" ht="15.75">
      <c r="A2" s="265" t="str">
        <f>A!A2</f>
        <v>Washington Gas System</v>
      </c>
      <c r="B2" s="265"/>
      <c r="C2" s="265"/>
      <c r="D2" s="265"/>
      <c r="E2" s="265"/>
      <c r="F2" s="265"/>
      <c r="G2" s="265"/>
      <c r="H2" s="265"/>
    </row>
    <row r="3" spans="1:8" ht="15.75">
      <c r="A3" s="265" t="str">
        <f>A!A3</f>
        <v>Test Year Twelve Months Ended September 30, 2008</v>
      </c>
      <c r="B3" s="265"/>
      <c r="C3" s="265"/>
      <c r="D3" s="265"/>
      <c r="E3" s="265"/>
      <c r="F3" s="265"/>
      <c r="G3" s="265"/>
      <c r="H3" s="265"/>
    </row>
    <row r="4" spans="1:8" ht="15.75">
      <c r="A4" s="66"/>
      <c r="B4" s="66"/>
      <c r="C4" s="66"/>
      <c r="D4" s="66"/>
      <c r="E4" s="66"/>
      <c r="F4" s="66"/>
      <c r="G4" s="66"/>
      <c r="H4" s="66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6" t="s">
        <v>379</v>
      </c>
      <c r="B6" s="66"/>
      <c r="C6" s="66"/>
      <c r="D6" s="66"/>
      <c r="E6" s="66"/>
      <c r="F6" s="66"/>
      <c r="G6" s="66"/>
      <c r="H6" s="66"/>
    </row>
    <row r="7" spans="1:8" ht="15.75">
      <c r="A7" s="66"/>
      <c r="B7" s="66"/>
      <c r="C7" s="66"/>
      <c r="D7" s="66"/>
      <c r="E7" s="66"/>
      <c r="F7" s="66"/>
      <c r="G7" s="66"/>
      <c r="H7" s="66"/>
    </row>
    <row r="8" spans="1:8" ht="15.75">
      <c r="A8" s="69" t="s">
        <v>183</v>
      </c>
      <c r="B8" s="66"/>
      <c r="C8" s="70" t="s">
        <v>148</v>
      </c>
      <c r="D8" s="65"/>
      <c r="E8" s="70" t="s">
        <v>184</v>
      </c>
      <c r="F8" s="66"/>
      <c r="G8" s="70" t="s">
        <v>260</v>
      </c>
      <c r="H8" s="66"/>
    </row>
    <row r="9" spans="1:8" ht="15.75">
      <c r="A9" s="68"/>
      <c r="B9" s="66"/>
      <c r="C9" s="66"/>
      <c r="D9" s="66"/>
      <c r="E9" s="66"/>
      <c r="F9" s="66"/>
      <c r="G9" s="66"/>
      <c r="H9" s="66"/>
    </row>
    <row r="10" spans="1:8" ht="15.75">
      <c r="A10" s="106">
        <v>1</v>
      </c>
      <c r="B10" s="66"/>
      <c r="C10" s="66" t="s">
        <v>333</v>
      </c>
      <c r="D10" s="65"/>
      <c r="E10" s="89">
        <v>96553</v>
      </c>
      <c r="F10" s="65"/>
      <c r="G10" s="65" t="s">
        <v>334</v>
      </c>
      <c r="H10" s="65"/>
    </row>
    <row r="11" spans="1:8" ht="15.75">
      <c r="A11" s="106"/>
      <c r="B11" s="66"/>
      <c r="C11" s="65"/>
      <c r="D11" s="65"/>
      <c r="E11" s="65"/>
      <c r="F11" s="65"/>
      <c r="G11" s="65"/>
      <c r="H11" s="65"/>
    </row>
    <row r="12" spans="1:8" ht="15.75">
      <c r="A12" s="106">
        <v>2</v>
      </c>
      <c r="B12" s="66"/>
      <c r="C12" s="66" t="s">
        <v>335</v>
      </c>
      <c r="D12" s="65"/>
      <c r="E12" s="174">
        <v>0.1918</v>
      </c>
      <c r="F12" s="65"/>
      <c r="G12" s="65" t="s">
        <v>336</v>
      </c>
      <c r="H12" s="65"/>
    </row>
    <row r="13" spans="1:8" ht="15.75">
      <c r="A13" s="106"/>
      <c r="B13" s="66"/>
      <c r="C13" s="65"/>
      <c r="D13" s="65"/>
      <c r="E13" s="65"/>
      <c r="F13" s="65"/>
      <c r="G13" s="65"/>
      <c r="H13" s="65"/>
    </row>
    <row r="14" spans="1:8" ht="15.75">
      <c r="A14" s="106">
        <v>3</v>
      </c>
      <c r="B14" s="66"/>
      <c r="C14" s="65" t="s">
        <v>337</v>
      </c>
      <c r="D14" s="65"/>
      <c r="E14" s="89">
        <f>+E10*E12</f>
        <v>18518.8654</v>
      </c>
      <c r="F14" s="65"/>
      <c r="G14" s="65" t="s">
        <v>332</v>
      </c>
      <c r="H14" s="65"/>
    </row>
    <row r="15" spans="1:8" ht="15.75">
      <c r="A15" s="106"/>
      <c r="B15" s="66"/>
      <c r="C15" s="65"/>
      <c r="D15" s="65"/>
      <c r="E15" s="65"/>
      <c r="F15" s="65"/>
      <c r="G15" s="65"/>
      <c r="H15" s="65"/>
    </row>
    <row r="16" spans="1:8" ht="15.75">
      <c r="A16" s="106">
        <v>4</v>
      </c>
      <c r="B16" s="66"/>
      <c r="C16" s="66" t="s">
        <v>338</v>
      </c>
      <c r="D16" s="65"/>
      <c r="E16" s="174">
        <v>0.67505</v>
      </c>
      <c r="F16" s="65"/>
      <c r="G16" s="65" t="s">
        <v>336</v>
      </c>
      <c r="H16" s="65"/>
    </row>
    <row r="17" spans="1:8" ht="15.75">
      <c r="A17" s="106"/>
      <c r="B17" s="66"/>
      <c r="C17" s="66"/>
      <c r="D17" s="66"/>
      <c r="E17" s="66"/>
      <c r="F17" s="66"/>
      <c r="G17" s="66"/>
      <c r="H17" s="66"/>
    </row>
    <row r="18" spans="1:8" ht="15.75">
      <c r="A18" s="106">
        <v>5</v>
      </c>
      <c r="B18" s="66"/>
      <c r="C18" s="66" t="s">
        <v>339</v>
      </c>
      <c r="D18" s="66"/>
      <c r="E18" s="74">
        <f>+E14*E16</f>
        <v>12501.16008827</v>
      </c>
      <c r="F18" s="66"/>
      <c r="G18" s="65" t="s">
        <v>380</v>
      </c>
      <c r="H18" s="66"/>
    </row>
    <row r="19" spans="1:8" ht="15.75">
      <c r="A19" s="68"/>
      <c r="B19" s="66"/>
      <c r="C19" s="66"/>
      <c r="D19" s="66"/>
      <c r="E19" s="66"/>
      <c r="F19" s="66"/>
      <c r="G19" s="66"/>
      <c r="H19" s="66"/>
    </row>
    <row r="20" spans="1:8" ht="15.75">
      <c r="A20" s="106">
        <v>6</v>
      </c>
      <c r="B20" s="66"/>
      <c r="C20" s="66" t="s">
        <v>330</v>
      </c>
      <c r="D20" s="66"/>
      <c r="E20" s="174">
        <v>-0.5</v>
      </c>
      <c r="F20" s="66"/>
      <c r="G20" s="66"/>
      <c r="H20" s="66"/>
    </row>
    <row r="21" spans="1:8" ht="15.75">
      <c r="A21" s="106"/>
      <c r="B21" s="66"/>
      <c r="C21" s="66"/>
      <c r="D21" s="66"/>
      <c r="E21" s="66"/>
      <c r="F21" s="66"/>
      <c r="G21" s="66"/>
      <c r="H21" s="66"/>
    </row>
    <row r="22" spans="1:8" ht="15.75">
      <c r="A22" s="106">
        <v>7</v>
      </c>
      <c r="B22" s="66"/>
      <c r="C22" s="66" t="s">
        <v>340</v>
      </c>
      <c r="D22" s="66"/>
      <c r="E22" s="89">
        <f>+E18*E20</f>
        <v>-6250.580044135</v>
      </c>
      <c r="F22" s="66"/>
      <c r="G22" s="66" t="s">
        <v>341</v>
      </c>
      <c r="H22" s="66"/>
    </row>
    <row r="23" spans="1:8" ht="15.75">
      <c r="A23" s="109"/>
      <c r="B23" s="92"/>
      <c r="C23" s="112"/>
      <c r="D23" s="92"/>
      <c r="E23" s="113"/>
      <c r="F23" s="92"/>
      <c r="G23" s="113"/>
      <c r="H23" s="172"/>
    </row>
    <row r="24" spans="1:8" ht="15.75">
      <c r="A24" s="109">
        <v>8</v>
      </c>
      <c r="B24" s="92"/>
      <c r="C24" s="110" t="s">
        <v>185</v>
      </c>
      <c r="D24" s="92"/>
      <c r="E24" s="111">
        <v>0.35</v>
      </c>
      <c r="F24" s="92"/>
      <c r="G24" s="113"/>
      <c r="H24" s="172"/>
    </row>
    <row r="25" spans="1:8" ht="15.75">
      <c r="A25" s="109"/>
      <c r="B25" s="92"/>
      <c r="C25" s="112"/>
      <c r="D25" s="92"/>
      <c r="E25" s="113"/>
      <c r="F25" s="92"/>
      <c r="G25" s="113"/>
      <c r="H25" s="172"/>
    </row>
    <row r="26" spans="1:8" ht="15.75">
      <c r="A26" s="109">
        <v>9</v>
      </c>
      <c r="B26" s="92"/>
      <c r="C26" s="110" t="s">
        <v>186</v>
      </c>
      <c r="D26" s="92"/>
      <c r="E26" s="84">
        <f>-E22*E24</f>
        <v>2187.70301544725</v>
      </c>
      <c r="F26" s="92"/>
      <c r="G26" s="113" t="s">
        <v>342</v>
      </c>
      <c r="H26" s="172"/>
    </row>
    <row r="27" spans="1:8" ht="15.75">
      <c r="A27" s="109"/>
      <c r="B27" s="92"/>
      <c r="C27" s="112"/>
      <c r="D27" s="92"/>
      <c r="E27" s="113"/>
      <c r="F27" s="92"/>
      <c r="G27" s="113"/>
      <c r="H27" s="172"/>
    </row>
    <row r="28" spans="1:8" ht="16.5" thickBot="1">
      <c r="A28" s="109">
        <v>10</v>
      </c>
      <c r="B28" s="92"/>
      <c r="C28" s="110" t="s">
        <v>187</v>
      </c>
      <c r="D28" s="92"/>
      <c r="E28" s="114">
        <f>-E22-E26</f>
        <v>4062.87702868775</v>
      </c>
      <c r="F28" s="92"/>
      <c r="G28" s="113" t="s">
        <v>343</v>
      </c>
      <c r="H28" s="172"/>
    </row>
    <row r="29" spans="1:8" ht="16.5" thickTop="1">
      <c r="A29" s="124"/>
      <c r="B29" s="92"/>
      <c r="C29" s="112"/>
      <c r="D29" s="92"/>
      <c r="E29" s="113"/>
      <c r="F29" s="92"/>
      <c r="G29" s="113"/>
      <c r="H29" s="172"/>
    </row>
    <row r="30" spans="1:8" ht="15.75">
      <c r="A30" s="124"/>
      <c r="B30" s="92"/>
      <c r="C30" s="112"/>
      <c r="D30" s="92"/>
      <c r="E30" s="173"/>
      <c r="F30" s="92"/>
      <c r="G30" s="113"/>
      <c r="H30" s="172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&amp;R&amp;"Times New Roman,Regular"Docket Nos. UE-090134 and UG-090135, UG-060518
Exhibit No. __(HL-4)
Schedule C-6 (Gas)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Layout" workbookViewId="0" topLeftCell="C1">
      <selection activeCell="E33" sqref="E33"/>
    </sheetView>
  </sheetViews>
  <sheetFormatPr defaultColWidth="9.140625" defaultRowHeight="12.75"/>
  <cols>
    <col min="2" max="2" width="0.9921875" style="0" customWidth="1"/>
    <col min="3" max="3" width="63.28125" style="0" customWidth="1"/>
    <col min="4" max="4" width="0.71875" style="0" customWidth="1"/>
    <col min="5" max="5" width="12.57421875" style="0" customWidth="1"/>
    <col min="6" max="6" width="0.9921875" style="0" customWidth="1"/>
    <col min="7" max="7" width="10.57421875" style="0" bestFit="1" customWidth="1"/>
  </cols>
  <sheetData>
    <row r="1" spans="1:8" ht="15.75">
      <c r="A1" s="265" t="str">
        <f>A!A1</f>
        <v>AVISTA UTILITIES</v>
      </c>
      <c r="B1" s="265"/>
      <c r="C1" s="265"/>
      <c r="D1" s="265"/>
      <c r="E1" s="265"/>
      <c r="F1" s="265"/>
      <c r="G1" s="265"/>
      <c r="H1" s="265"/>
    </row>
    <row r="2" spans="1:8" ht="15.75">
      <c r="A2" s="265" t="str">
        <f>A!A2</f>
        <v>Washington Gas System</v>
      </c>
      <c r="B2" s="265"/>
      <c r="C2" s="265"/>
      <c r="D2" s="265"/>
      <c r="E2" s="265"/>
      <c r="F2" s="265"/>
      <c r="G2" s="265"/>
      <c r="H2" s="265"/>
    </row>
    <row r="3" spans="1:8" ht="15.75">
      <c r="A3" s="265" t="str">
        <f>A!A3</f>
        <v>Test Year Twelve Months Ended September 30, 2008</v>
      </c>
      <c r="B3" s="265"/>
      <c r="C3" s="265"/>
      <c r="D3" s="265"/>
      <c r="E3" s="265"/>
      <c r="F3" s="265"/>
      <c r="G3" s="265"/>
      <c r="H3" s="265"/>
    </row>
    <row r="4" spans="1:8" ht="15.75">
      <c r="A4" s="265"/>
      <c r="B4" s="265"/>
      <c r="C4" s="265"/>
      <c r="D4" s="265"/>
      <c r="E4" s="265"/>
      <c r="F4" s="265"/>
      <c r="G4" s="265"/>
      <c r="H4" s="265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6"/>
      <c r="B6" s="66"/>
      <c r="C6" s="66"/>
      <c r="D6" s="66"/>
      <c r="E6" s="66"/>
      <c r="F6" s="66"/>
      <c r="G6" s="66"/>
      <c r="H6" s="66"/>
    </row>
    <row r="7" spans="1:8" ht="15.75">
      <c r="A7" s="66" t="s">
        <v>344</v>
      </c>
      <c r="B7" s="66"/>
      <c r="C7" s="66"/>
      <c r="D7" s="66"/>
      <c r="E7" s="66"/>
      <c r="F7" s="66"/>
      <c r="G7" s="66"/>
      <c r="H7" s="66"/>
    </row>
    <row r="8" spans="1:8" ht="15.75">
      <c r="A8" s="66"/>
      <c r="B8" s="66"/>
      <c r="C8" s="66"/>
      <c r="D8" s="66"/>
      <c r="E8" s="66"/>
      <c r="F8" s="66"/>
      <c r="G8" s="66"/>
      <c r="H8" s="66"/>
    </row>
    <row r="9" spans="1:8" ht="15.75">
      <c r="A9" s="69" t="s">
        <v>183</v>
      </c>
      <c r="B9" s="66"/>
      <c r="C9" s="70" t="s">
        <v>148</v>
      </c>
      <c r="D9" s="65"/>
      <c r="E9" s="69" t="s">
        <v>184</v>
      </c>
      <c r="F9" s="68"/>
      <c r="G9" s="69" t="s">
        <v>260</v>
      </c>
      <c r="H9" s="66"/>
    </row>
    <row r="10" spans="1:8" ht="15.75">
      <c r="A10" s="68"/>
      <c r="B10" s="66"/>
      <c r="C10" s="66"/>
      <c r="D10" s="66"/>
      <c r="E10" s="66"/>
      <c r="F10" s="66"/>
      <c r="G10" s="66"/>
      <c r="H10" s="66"/>
    </row>
    <row r="11" spans="1:8" ht="15.75">
      <c r="A11" s="106">
        <v>1</v>
      </c>
      <c r="B11" s="66"/>
      <c r="C11" s="66" t="s">
        <v>345</v>
      </c>
      <c r="D11" s="65"/>
      <c r="E11" s="89">
        <v>1162018</v>
      </c>
      <c r="F11" s="65"/>
      <c r="G11" s="65" t="s">
        <v>336</v>
      </c>
      <c r="H11" s="65"/>
    </row>
    <row r="12" spans="1:8" ht="15.75">
      <c r="A12" s="106"/>
      <c r="B12" s="66"/>
      <c r="C12" s="65"/>
      <c r="D12" s="65"/>
      <c r="E12" s="65"/>
      <c r="F12" s="65"/>
      <c r="G12" s="65"/>
      <c r="H12" s="65"/>
    </row>
    <row r="13" spans="1:8" ht="15.75">
      <c r="A13" s="106">
        <v>2</v>
      </c>
      <c r="B13" s="66"/>
      <c r="C13" s="66" t="s">
        <v>335</v>
      </c>
      <c r="D13" s="65"/>
      <c r="E13" s="174">
        <v>0.1918</v>
      </c>
      <c r="F13" s="65"/>
      <c r="G13" s="65" t="s">
        <v>336</v>
      </c>
      <c r="H13" s="65"/>
    </row>
    <row r="14" spans="1:8" ht="15.75">
      <c r="A14" s="106"/>
      <c r="B14" s="66"/>
      <c r="C14" s="65"/>
      <c r="D14" s="65"/>
      <c r="E14" s="65"/>
      <c r="F14" s="65"/>
      <c r="G14" s="65"/>
      <c r="H14" s="65"/>
    </row>
    <row r="15" spans="1:8" ht="15.75">
      <c r="A15" s="106">
        <v>3</v>
      </c>
      <c r="B15" s="66"/>
      <c r="C15" s="65" t="s">
        <v>337</v>
      </c>
      <c r="D15" s="65"/>
      <c r="E15" s="89">
        <f>+E11*E13</f>
        <v>222875.0524</v>
      </c>
      <c r="F15" s="65"/>
      <c r="G15" s="65" t="s">
        <v>332</v>
      </c>
      <c r="H15" s="65"/>
    </row>
    <row r="16" spans="1:8" ht="15.75">
      <c r="A16" s="106"/>
      <c r="B16" s="66"/>
      <c r="C16" s="65"/>
      <c r="D16" s="65"/>
      <c r="E16" s="65"/>
      <c r="F16" s="65"/>
      <c r="G16" s="65"/>
      <c r="H16" s="65"/>
    </row>
    <row r="17" spans="1:8" ht="15.75">
      <c r="A17" s="106">
        <v>4</v>
      </c>
      <c r="B17" s="66"/>
      <c r="C17" s="66" t="s">
        <v>338</v>
      </c>
      <c r="D17" s="65"/>
      <c r="E17" s="174">
        <v>0.67505</v>
      </c>
      <c r="F17" s="65"/>
      <c r="G17" s="65" t="s">
        <v>336</v>
      </c>
      <c r="H17" s="65"/>
    </row>
    <row r="18" spans="1:8" ht="15.75">
      <c r="A18" s="106"/>
      <c r="B18" s="66"/>
      <c r="C18" s="66"/>
      <c r="D18" s="66"/>
      <c r="E18" s="66"/>
      <c r="F18" s="66"/>
      <c r="G18" s="66"/>
      <c r="H18" s="66"/>
    </row>
    <row r="19" spans="1:8" ht="15.75">
      <c r="A19" s="106">
        <v>5</v>
      </c>
      <c r="B19" s="66"/>
      <c r="C19" s="66" t="s">
        <v>339</v>
      </c>
      <c r="D19" s="66"/>
      <c r="E19" s="74">
        <f>+E15*E17</f>
        <v>150451.80412262</v>
      </c>
      <c r="F19" s="66"/>
      <c r="G19" s="65" t="s">
        <v>293</v>
      </c>
      <c r="H19" s="66"/>
    </row>
    <row r="20" spans="1:8" ht="15.75">
      <c r="A20" s="68"/>
      <c r="B20" s="66"/>
      <c r="C20" s="66"/>
      <c r="D20" s="66"/>
      <c r="E20" s="66"/>
      <c r="F20" s="66"/>
      <c r="G20" s="66"/>
      <c r="H20" s="66"/>
    </row>
    <row r="21" spans="1:8" ht="15.75">
      <c r="A21" s="106">
        <v>6</v>
      </c>
      <c r="B21" s="66"/>
      <c r="C21" s="66" t="s">
        <v>330</v>
      </c>
      <c r="D21" s="66"/>
      <c r="E21" s="174">
        <v>-0.5</v>
      </c>
      <c r="F21" s="66"/>
      <c r="G21" s="66"/>
      <c r="H21" s="66"/>
    </row>
    <row r="22" spans="1:8" ht="15.75">
      <c r="A22" s="106"/>
      <c r="B22" s="66"/>
      <c r="C22" s="66"/>
      <c r="D22" s="66"/>
      <c r="E22" s="66"/>
      <c r="F22" s="66"/>
      <c r="G22" s="66"/>
      <c r="H22" s="66"/>
    </row>
    <row r="23" spans="1:8" ht="15.75">
      <c r="A23" s="106">
        <v>7</v>
      </c>
      <c r="B23" s="66"/>
      <c r="C23" s="66" t="s">
        <v>346</v>
      </c>
      <c r="D23" s="66"/>
      <c r="E23" s="89">
        <f>+E19*E21</f>
        <v>-75225.90206131</v>
      </c>
      <c r="F23" s="66"/>
      <c r="G23" s="66" t="s">
        <v>341</v>
      </c>
      <c r="H23" s="66"/>
    </row>
    <row r="24" spans="1:8" ht="15.75">
      <c r="A24" s="109"/>
      <c r="B24" s="92"/>
      <c r="C24" s="112"/>
      <c r="D24" s="92"/>
      <c r="E24" s="113"/>
      <c r="F24" s="92"/>
      <c r="G24" s="113"/>
      <c r="H24" s="172"/>
    </row>
    <row r="25" spans="1:8" ht="15.75">
      <c r="A25" s="109">
        <v>8</v>
      </c>
      <c r="B25" s="92"/>
      <c r="C25" s="110" t="s">
        <v>185</v>
      </c>
      <c r="D25" s="92"/>
      <c r="E25" s="111">
        <v>0.35</v>
      </c>
      <c r="F25" s="92"/>
      <c r="G25" s="113"/>
      <c r="H25" s="172"/>
    </row>
    <row r="26" spans="1:8" ht="15.75">
      <c r="A26" s="109"/>
      <c r="B26" s="92"/>
      <c r="C26" s="112"/>
      <c r="D26" s="92"/>
      <c r="E26" s="113"/>
      <c r="F26" s="92"/>
      <c r="G26" s="113"/>
      <c r="H26" s="172"/>
    </row>
    <row r="27" spans="1:8" ht="15.75">
      <c r="A27" s="109">
        <v>9</v>
      </c>
      <c r="B27" s="92"/>
      <c r="C27" s="110" t="s">
        <v>186</v>
      </c>
      <c r="D27" s="92"/>
      <c r="E27" s="84">
        <f>-E23*E25</f>
        <v>26329.065721458497</v>
      </c>
      <c r="F27" s="92"/>
      <c r="G27" s="113" t="s">
        <v>342</v>
      </c>
      <c r="H27" s="172"/>
    </row>
    <row r="28" spans="1:8" ht="15.75">
      <c r="A28" s="109"/>
      <c r="B28" s="92"/>
      <c r="C28" s="112"/>
      <c r="D28" s="92"/>
      <c r="E28" s="113"/>
      <c r="F28" s="92"/>
      <c r="G28" s="113"/>
      <c r="H28" s="172"/>
    </row>
    <row r="29" spans="1:8" ht="16.5" thickBot="1">
      <c r="A29" s="109">
        <v>10</v>
      </c>
      <c r="B29" s="92"/>
      <c r="C29" s="110" t="s">
        <v>187</v>
      </c>
      <c r="D29" s="92"/>
      <c r="E29" s="114">
        <f>-E23-E27</f>
        <v>48896.83633985151</v>
      </c>
      <c r="F29" s="92"/>
      <c r="G29" s="113" t="s">
        <v>343</v>
      </c>
      <c r="H29" s="172"/>
    </row>
    <row r="30" spans="1:8" ht="16.5" thickTop="1">
      <c r="A30" s="124"/>
      <c r="B30" s="92"/>
      <c r="C30" s="112"/>
      <c r="D30" s="92"/>
      <c r="E30" s="113"/>
      <c r="F30" s="92"/>
      <c r="G30" s="113"/>
      <c r="H30" s="172"/>
    </row>
    <row r="31" spans="1:8" ht="15.75">
      <c r="A31" s="124"/>
      <c r="B31" s="92"/>
      <c r="C31" s="112"/>
      <c r="D31" s="92"/>
      <c r="E31" s="173"/>
      <c r="F31" s="92"/>
      <c r="G31" s="113"/>
      <c r="H31" s="172"/>
    </row>
    <row r="32" spans="1:8" ht="15.75">
      <c r="A32" s="124"/>
      <c r="B32" s="92"/>
      <c r="C32" s="112"/>
      <c r="D32" s="92"/>
      <c r="E32" s="113"/>
      <c r="F32" s="92"/>
      <c r="G32" s="113"/>
      <c r="H32" s="172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Header>&amp;R&amp;"Times New Roman,Regular"Docket Nos. UE-090134 and UG-090135, UG-060518
Exhibit No. __(HL-4)
Schedule C-7 (Gas)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view="pageLayout" workbookViewId="0" topLeftCell="C1">
      <selection activeCell="E36" sqref="E36"/>
    </sheetView>
  </sheetViews>
  <sheetFormatPr defaultColWidth="9.140625" defaultRowHeight="12.75"/>
  <cols>
    <col min="2" max="2" width="0.9921875" style="0" customWidth="1"/>
    <col min="3" max="3" width="44.28125" style="0" customWidth="1"/>
    <col min="4" max="4" width="0.71875" style="0" customWidth="1"/>
    <col min="5" max="5" width="14.7109375" style="0" customWidth="1"/>
    <col min="6" max="6" width="0.9921875" style="0" customWidth="1"/>
    <col min="7" max="7" width="14.140625" style="0" customWidth="1"/>
    <col min="8" max="8" width="0.9921875" style="0" customWidth="1"/>
    <col min="9" max="9" width="10.7109375" style="0" customWidth="1"/>
  </cols>
  <sheetData>
    <row r="1" spans="1:9" ht="15.75">
      <c r="A1" s="265" t="str">
        <f>A!A1</f>
        <v>AVISTA UTILITIES</v>
      </c>
      <c r="B1" s="265"/>
      <c r="C1" s="265"/>
      <c r="D1" s="265"/>
      <c r="E1" s="265"/>
      <c r="F1" s="265"/>
      <c r="G1" s="265"/>
      <c r="H1" s="265"/>
      <c r="I1" s="265"/>
    </row>
    <row r="2" spans="1:9" ht="15.75">
      <c r="A2" s="265" t="str">
        <f>A!A2</f>
        <v>Washington Gas System</v>
      </c>
      <c r="B2" s="265"/>
      <c r="C2" s="265"/>
      <c r="D2" s="265"/>
      <c r="E2" s="265"/>
      <c r="F2" s="265"/>
      <c r="G2" s="265"/>
      <c r="H2" s="265"/>
      <c r="I2" s="265"/>
    </row>
    <row r="3" spans="1:9" ht="15.75">
      <c r="A3" s="265" t="str">
        <f>A!A3</f>
        <v>Test Year Twelve Months Ended September 30, 2008</v>
      </c>
      <c r="B3" s="265"/>
      <c r="C3" s="265"/>
      <c r="D3" s="265"/>
      <c r="E3" s="265"/>
      <c r="F3" s="265"/>
      <c r="G3" s="265"/>
      <c r="H3" s="265"/>
      <c r="I3" s="265"/>
    </row>
    <row r="4" spans="1:9" ht="15.75">
      <c r="A4" s="265"/>
      <c r="B4" s="265"/>
      <c r="C4" s="265"/>
      <c r="D4" s="265"/>
      <c r="E4" s="265"/>
      <c r="F4" s="265"/>
      <c r="G4" s="265"/>
      <c r="H4" s="265"/>
      <c r="I4" s="265"/>
    </row>
    <row r="5" spans="2:9" ht="15.75">
      <c r="B5" s="66"/>
      <c r="C5" s="66"/>
      <c r="D5" s="66"/>
      <c r="E5" s="66"/>
      <c r="F5" s="66"/>
      <c r="G5" s="68"/>
      <c r="H5" s="68"/>
      <c r="I5" s="66"/>
    </row>
    <row r="6" spans="1:9" ht="15.75">
      <c r="A6" s="66"/>
      <c r="B6" s="66"/>
      <c r="C6" s="66"/>
      <c r="D6" s="66"/>
      <c r="E6" s="66"/>
      <c r="F6" s="66"/>
      <c r="G6" s="68"/>
      <c r="H6" s="68"/>
      <c r="I6" s="66"/>
    </row>
    <row r="7" spans="1:9" ht="15.75">
      <c r="A7" s="66" t="s">
        <v>347</v>
      </c>
      <c r="B7" s="66"/>
      <c r="C7" s="66"/>
      <c r="D7" s="66"/>
      <c r="E7" s="68"/>
      <c r="F7" s="68"/>
      <c r="G7" s="68"/>
      <c r="H7" s="68"/>
      <c r="I7" s="66"/>
    </row>
    <row r="8" spans="1:9" ht="15.75">
      <c r="A8" s="66"/>
      <c r="B8" s="66"/>
      <c r="C8" s="66"/>
      <c r="D8" s="66"/>
      <c r="E8" s="68"/>
      <c r="F8" s="68"/>
      <c r="G8" s="68"/>
      <c r="H8" s="68"/>
      <c r="I8" s="66"/>
    </row>
    <row r="9" spans="1:9" ht="15.75">
      <c r="A9" s="68" t="s">
        <v>15</v>
      </c>
      <c r="B9" s="66"/>
      <c r="C9" s="66"/>
      <c r="D9" s="66"/>
      <c r="E9" s="68"/>
      <c r="F9" s="68"/>
      <c r="G9" s="68"/>
      <c r="H9" s="68"/>
      <c r="I9" s="66"/>
    </row>
    <row r="10" spans="1:9" ht="15.75">
      <c r="A10" s="69" t="s">
        <v>45</v>
      </c>
      <c r="B10" s="66"/>
      <c r="C10" s="70" t="s">
        <v>148</v>
      </c>
      <c r="D10" s="65"/>
      <c r="E10" s="69" t="s">
        <v>184</v>
      </c>
      <c r="F10" s="71"/>
      <c r="G10" s="71"/>
      <c r="H10" s="68"/>
      <c r="I10" s="65"/>
    </row>
    <row r="11" spans="1:9" ht="15.75">
      <c r="A11" s="71"/>
      <c r="B11" s="66"/>
      <c r="C11" s="65"/>
      <c r="D11" s="65"/>
      <c r="E11" s="65"/>
      <c r="F11" s="65"/>
      <c r="G11" s="91"/>
      <c r="H11" s="68"/>
      <c r="I11" s="65"/>
    </row>
    <row r="12" spans="1:9" ht="15.75">
      <c r="A12" s="68"/>
      <c r="B12" s="66"/>
      <c r="C12" s="66"/>
      <c r="D12" s="66"/>
      <c r="E12" s="66"/>
      <c r="F12" s="66"/>
      <c r="G12" s="66"/>
      <c r="H12" s="66"/>
      <c r="I12" s="66"/>
    </row>
    <row r="13" spans="1:9" ht="15.75">
      <c r="A13" s="106">
        <v>1</v>
      </c>
      <c r="B13" s="66"/>
      <c r="C13" s="66" t="s">
        <v>349</v>
      </c>
      <c r="D13" s="65"/>
      <c r="E13" s="89">
        <v>3825972</v>
      </c>
      <c r="F13" s="65"/>
      <c r="G13" s="89"/>
      <c r="H13" s="65"/>
      <c r="I13" s="65"/>
    </row>
    <row r="14" spans="1:9" ht="15.75">
      <c r="A14" s="106"/>
      <c r="B14" s="66"/>
      <c r="C14" s="66"/>
      <c r="D14" s="65"/>
      <c r="E14" s="175"/>
      <c r="F14" s="65"/>
      <c r="G14" s="89"/>
      <c r="H14" s="65"/>
      <c r="I14" s="65"/>
    </row>
    <row r="15" spans="1:9" ht="15.75">
      <c r="A15" s="106">
        <v>2</v>
      </c>
      <c r="B15" s="66"/>
      <c r="C15" s="66" t="s">
        <v>352</v>
      </c>
      <c r="D15" s="65"/>
      <c r="E15" s="77">
        <v>0.3536</v>
      </c>
      <c r="F15" s="65"/>
      <c r="G15" s="89"/>
      <c r="H15" s="65"/>
      <c r="I15" s="65"/>
    </row>
    <row r="16" spans="1:9" ht="15.75">
      <c r="A16" s="106"/>
      <c r="B16" s="66"/>
      <c r="C16" s="66"/>
      <c r="D16" s="65"/>
      <c r="E16" s="89"/>
      <c r="F16" s="65"/>
      <c r="G16" s="89"/>
      <c r="H16" s="65"/>
      <c r="I16" s="65"/>
    </row>
    <row r="17" spans="1:9" ht="16.5" thickBot="1">
      <c r="A17" s="106">
        <v>3</v>
      </c>
      <c r="B17" s="66"/>
      <c r="C17" s="66" t="s">
        <v>348</v>
      </c>
      <c r="D17" s="65"/>
      <c r="E17" s="88">
        <f>+E15*-E13</f>
        <v>-1352863.6992000001</v>
      </c>
      <c r="F17" s="65"/>
      <c r="G17" s="89"/>
      <c r="H17" s="65"/>
      <c r="I17" s="65"/>
    </row>
    <row r="18" spans="1:9" ht="16.5" thickTop="1">
      <c r="A18" s="106"/>
      <c r="B18" s="66"/>
      <c r="C18" s="65"/>
      <c r="D18" s="65"/>
      <c r="E18" s="89"/>
      <c r="F18" s="65"/>
      <c r="G18" s="89"/>
      <c r="H18" s="65"/>
      <c r="I18" s="65"/>
    </row>
    <row r="19" spans="1:9" ht="15.75">
      <c r="A19" s="106"/>
      <c r="C19" s="66"/>
      <c r="D19" s="65"/>
      <c r="E19" s="186"/>
      <c r="F19" s="65"/>
      <c r="G19" s="65"/>
      <c r="H19" s="65"/>
      <c r="I19" s="65"/>
    </row>
    <row r="20" spans="1:9" ht="15.75">
      <c r="A20" s="106">
        <v>4</v>
      </c>
      <c r="B20" s="66"/>
      <c r="C20" s="65" t="s">
        <v>351</v>
      </c>
      <c r="D20" s="65"/>
      <c r="E20" s="89">
        <v>148151</v>
      </c>
      <c r="F20" s="65"/>
      <c r="G20" s="89"/>
      <c r="H20" s="65"/>
      <c r="I20" s="65"/>
    </row>
    <row r="21" spans="1:9" ht="15.75">
      <c r="A21" s="106"/>
      <c r="B21" s="66"/>
      <c r="C21" s="65"/>
      <c r="D21" s="65"/>
      <c r="E21" s="89"/>
      <c r="F21" s="65"/>
      <c r="G21" s="65"/>
      <c r="H21" s="65"/>
      <c r="I21" s="65"/>
    </row>
    <row r="22" spans="1:9" ht="15.75">
      <c r="A22" s="106">
        <v>5</v>
      </c>
      <c r="B22" s="66"/>
      <c r="C22" s="66" t="s">
        <v>352</v>
      </c>
      <c r="D22" s="65"/>
      <c r="E22" s="77">
        <f>E15</f>
        <v>0.3536</v>
      </c>
      <c r="F22" s="65"/>
      <c r="G22" s="89"/>
      <c r="H22" s="65"/>
      <c r="I22" s="65"/>
    </row>
    <row r="23" spans="1:9" ht="15.75">
      <c r="A23" s="109"/>
      <c r="B23" s="92"/>
      <c r="C23" s="110"/>
      <c r="D23" s="92"/>
      <c r="E23" s="113"/>
      <c r="F23" s="92"/>
      <c r="G23" s="113"/>
      <c r="H23" s="92"/>
      <c r="I23" s="172"/>
    </row>
    <row r="24" spans="1:9" ht="16.5" thickBot="1">
      <c r="A24" s="109">
        <v>6</v>
      </c>
      <c r="B24" s="92"/>
      <c r="C24" s="110" t="s">
        <v>353</v>
      </c>
      <c r="D24" s="92"/>
      <c r="E24" s="88">
        <f>+E20*E22</f>
        <v>52386.193600000006</v>
      </c>
      <c r="F24" s="91"/>
      <c r="G24" s="176"/>
      <c r="H24" s="92"/>
      <c r="I24" s="113"/>
    </row>
    <row r="25" spans="1:9" ht="16.5" thickTop="1">
      <c r="A25" s="109"/>
      <c r="B25" s="92"/>
      <c r="C25" s="110"/>
      <c r="D25" s="92"/>
      <c r="E25" s="89"/>
      <c r="F25" s="91"/>
      <c r="G25" s="176"/>
      <c r="H25" s="92"/>
      <c r="I25" s="113"/>
    </row>
    <row r="26" spans="1:9" ht="15.75">
      <c r="A26" s="109">
        <v>7</v>
      </c>
      <c r="B26" s="92"/>
      <c r="C26" s="110" t="s">
        <v>185</v>
      </c>
      <c r="D26" s="176"/>
      <c r="E26" s="212">
        <v>0.35</v>
      </c>
      <c r="F26" s="91"/>
      <c r="G26" s="176"/>
      <c r="H26" s="92"/>
      <c r="I26" s="113"/>
    </row>
    <row r="27" spans="1:9" ht="15.75">
      <c r="A27" s="109"/>
      <c r="B27" s="92"/>
      <c r="C27" s="112"/>
      <c r="D27" s="113"/>
      <c r="E27" s="92"/>
      <c r="F27" s="91"/>
      <c r="G27" s="176"/>
      <c r="H27" s="92"/>
      <c r="I27" s="113"/>
    </row>
    <row r="28" spans="1:9" ht="15.75">
      <c r="A28" s="109">
        <v>8</v>
      </c>
      <c r="B28" s="92"/>
      <c r="C28" s="110" t="s">
        <v>362</v>
      </c>
      <c r="D28" s="113"/>
      <c r="E28" s="84">
        <f>+E24*-E26</f>
        <v>-18335.16776</v>
      </c>
      <c r="F28" s="91"/>
      <c r="G28" s="176"/>
      <c r="H28" s="92"/>
      <c r="I28" s="113"/>
    </row>
    <row r="29" spans="1:9" ht="15.75">
      <c r="A29" s="124"/>
      <c r="B29" s="92"/>
      <c r="C29" s="112"/>
      <c r="D29" s="113"/>
      <c r="E29" s="92"/>
      <c r="F29" s="91"/>
      <c r="G29" s="176"/>
      <c r="H29" s="92"/>
      <c r="I29" s="113"/>
    </row>
    <row r="30" spans="1:9" ht="16.5" thickBot="1">
      <c r="A30" s="124">
        <v>9</v>
      </c>
      <c r="B30" s="92"/>
      <c r="C30" s="110" t="s">
        <v>357</v>
      </c>
      <c r="D30" s="113"/>
      <c r="E30" s="114">
        <f>-E24-E28</f>
        <v>-34051.02584</v>
      </c>
      <c r="F30" s="91"/>
      <c r="G30" s="176"/>
      <c r="H30" s="92"/>
      <c r="I30" s="113"/>
    </row>
    <row r="31" spans="1:9" ht="16.5" thickTop="1">
      <c r="A31" s="109"/>
      <c r="B31" s="92"/>
      <c r="C31" s="110"/>
      <c r="D31" s="92"/>
      <c r="E31" s="89"/>
      <c r="F31" s="91"/>
      <c r="G31" s="176"/>
      <c r="H31" s="92"/>
      <c r="I31" s="113"/>
    </row>
    <row r="32" spans="1:9" ht="15.75">
      <c r="A32" s="109"/>
      <c r="B32" s="92"/>
      <c r="C32" s="110"/>
      <c r="D32" s="92"/>
      <c r="E32" s="89"/>
      <c r="F32" s="91"/>
      <c r="G32" s="176"/>
      <c r="H32" s="92"/>
      <c r="I32" s="113"/>
    </row>
    <row r="33" spans="1:9" ht="15.75">
      <c r="A33" s="109"/>
      <c r="B33" s="92"/>
      <c r="C33" s="110"/>
      <c r="D33" s="92"/>
      <c r="E33" s="89"/>
      <c r="F33" s="91"/>
      <c r="G33" s="176"/>
      <c r="H33" s="92"/>
      <c r="I33" s="113"/>
    </row>
    <row r="34" spans="1:9" ht="15.75">
      <c r="A34" s="109"/>
      <c r="B34" s="92"/>
      <c r="C34" s="110"/>
      <c r="D34" s="92"/>
      <c r="E34" s="91"/>
      <c r="F34" s="91"/>
      <c r="G34" s="176"/>
      <c r="H34" s="92"/>
      <c r="I34" s="113"/>
    </row>
    <row r="35" spans="1:9" ht="15.75">
      <c r="A35" s="177" t="s">
        <v>179</v>
      </c>
      <c r="B35" s="128"/>
      <c r="C35" s="178"/>
      <c r="D35" s="128"/>
      <c r="E35" s="102"/>
      <c r="F35" s="102"/>
      <c r="G35" s="111"/>
      <c r="H35" s="128"/>
      <c r="I35" s="84"/>
    </row>
    <row r="37" ht="15.75">
      <c r="A37" s="66" t="s">
        <v>350</v>
      </c>
    </row>
  </sheetData>
  <sheetProtection/>
  <mergeCells count="4"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&amp;R&amp;"Times New Roman,Regular"Docket Nos. UE-090134 and UG-090135, UG-060518
Exhibit No. __(HL-4)
Schedule C-8 (Gas)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view="pageLayout" workbookViewId="0" topLeftCell="C1">
      <selection activeCell="E27" sqref="E27"/>
    </sheetView>
  </sheetViews>
  <sheetFormatPr defaultColWidth="9.140625" defaultRowHeight="12.75"/>
  <cols>
    <col min="1" max="1" width="4.00390625" style="0" customWidth="1"/>
    <col min="2" max="2" width="0.71875" style="0" customWidth="1"/>
    <col min="3" max="3" width="41.421875" style="0" customWidth="1"/>
    <col min="4" max="4" width="2.7109375" style="0" customWidth="1"/>
    <col min="5" max="5" width="13.140625" style="0" customWidth="1"/>
    <col min="6" max="6" width="1.1484375" style="0" customWidth="1"/>
    <col min="7" max="7" width="12.28125" style="0" customWidth="1"/>
  </cols>
  <sheetData>
    <row r="1" spans="1:7" ht="15.75">
      <c r="A1" s="268" t="str">
        <f>'[4]A1 RevReq'!A1:I1</f>
        <v>AVISTA UTLITIES </v>
      </c>
      <c r="B1" s="265"/>
      <c r="C1" s="265"/>
      <c r="D1" s="265"/>
      <c r="E1" s="265"/>
      <c r="F1" s="265"/>
      <c r="G1" s="265"/>
    </row>
    <row r="2" spans="1:7" ht="15.75">
      <c r="A2" s="264" t="str">
        <f>'[4]A1 RevReq'!A2:I2</f>
        <v>Washington Gas System</v>
      </c>
      <c r="B2" s="267"/>
      <c r="C2" s="267"/>
      <c r="D2" s="267"/>
      <c r="E2" s="267"/>
      <c r="F2" s="267"/>
      <c r="G2" s="267"/>
    </row>
    <row r="3" spans="1:7" ht="15.75">
      <c r="A3" s="264" t="str">
        <f>'[4]A1 RevReq'!A3:I3</f>
        <v>Test Year Twelve Months Ended September 30, 2008</v>
      </c>
      <c r="B3" s="267"/>
      <c r="C3" s="267"/>
      <c r="D3" s="267"/>
      <c r="E3" s="267"/>
      <c r="F3" s="267"/>
      <c r="G3" s="267"/>
    </row>
    <row r="4" spans="1:7" ht="15.75">
      <c r="A4" s="264" t="str">
        <f>'[4]A1 RevReq'!A4:I4</f>
        <v>($000's of Dollars)</v>
      </c>
      <c r="B4" s="265"/>
      <c r="C4" s="265"/>
      <c r="D4" s="265"/>
      <c r="E4" s="265"/>
      <c r="F4" s="265"/>
      <c r="G4" s="265"/>
    </row>
    <row r="5" spans="1:7" ht="15.75">
      <c r="A5" s="65"/>
      <c r="B5" s="65"/>
      <c r="C5" s="226"/>
      <c r="D5" s="65"/>
      <c r="E5" s="65"/>
      <c r="F5" s="65"/>
      <c r="G5" s="65"/>
    </row>
    <row r="6" ht="15.75">
      <c r="A6" s="66" t="s">
        <v>391</v>
      </c>
    </row>
    <row r="7" spans="1:7" ht="15.75">
      <c r="A7" s="227"/>
      <c r="B7" s="227"/>
      <c r="C7" s="65"/>
      <c r="D7" s="65"/>
      <c r="E7" s="65"/>
      <c r="F7" s="65"/>
      <c r="G7" s="65"/>
    </row>
    <row r="8" spans="1:7" ht="15.75">
      <c r="A8" s="68" t="s">
        <v>15</v>
      </c>
      <c r="B8" s="66"/>
      <c r="C8" s="66"/>
      <c r="D8" s="66"/>
      <c r="E8" s="68"/>
      <c r="F8" s="68"/>
      <c r="G8" s="124"/>
    </row>
    <row r="9" spans="1:7" ht="15.75">
      <c r="A9" s="69" t="s">
        <v>45</v>
      </c>
      <c r="B9" s="66"/>
      <c r="C9" s="70" t="s">
        <v>148</v>
      </c>
      <c r="D9" s="66"/>
      <c r="E9" s="69" t="s">
        <v>184</v>
      </c>
      <c r="F9" s="68"/>
      <c r="G9" s="126" t="s">
        <v>260</v>
      </c>
    </row>
    <row r="10" spans="1:7" ht="15.75">
      <c r="A10" s="68"/>
      <c r="B10" s="66"/>
      <c r="C10" s="66"/>
      <c r="D10" s="66"/>
      <c r="E10" s="68" t="s">
        <v>152</v>
      </c>
      <c r="F10" s="68"/>
      <c r="G10" s="124" t="s">
        <v>153</v>
      </c>
    </row>
    <row r="11" spans="1:7" ht="15.75">
      <c r="A11" s="68"/>
      <c r="B11" s="66"/>
      <c r="C11" s="66"/>
      <c r="D11" s="66"/>
      <c r="E11" s="68"/>
      <c r="F11" s="68"/>
      <c r="G11" s="124"/>
    </row>
    <row r="12" spans="1:7" ht="15.75">
      <c r="A12" s="68">
        <v>1</v>
      </c>
      <c r="B12" s="66"/>
      <c r="C12" s="66" t="s">
        <v>392</v>
      </c>
      <c r="D12" s="66"/>
      <c r="E12" s="228">
        <v>64958</v>
      </c>
      <c r="F12" s="66"/>
      <c r="G12" s="83" t="s">
        <v>393</v>
      </c>
    </row>
    <row r="13" spans="1:7" ht="15.75">
      <c r="A13" s="68">
        <v>2</v>
      </c>
      <c r="B13" s="66"/>
      <c r="C13" s="66" t="s">
        <v>394</v>
      </c>
      <c r="D13" s="66"/>
      <c r="E13" s="229">
        <f>E37</f>
        <v>43526.9237403648</v>
      </c>
      <c r="F13" s="65"/>
      <c r="G13" s="83" t="s">
        <v>395</v>
      </c>
    </row>
    <row r="14" spans="1:7" ht="16.5" thickBot="1">
      <c r="A14" s="68">
        <v>3</v>
      </c>
      <c r="B14" s="66"/>
      <c r="C14" s="66" t="s">
        <v>396</v>
      </c>
      <c r="D14" s="66"/>
      <c r="E14" s="230">
        <f>+E13-E12</f>
        <v>-21431.0762596352</v>
      </c>
      <c r="F14" s="65"/>
      <c r="G14" s="231"/>
    </row>
    <row r="15" spans="1:7" ht="16.5" thickTop="1">
      <c r="A15" s="106"/>
      <c r="B15" s="66"/>
      <c r="C15" s="66"/>
      <c r="D15" s="66"/>
      <c r="E15" s="89"/>
      <c r="F15" s="66"/>
      <c r="G15" s="66"/>
    </row>
    <row r="16" spans="1:7" ht="15.75">
      <c r="A16" s="109">
        <v>4</v>
      </c>
      <c r="B16" s="92"/>
      <c r="C16" s="110" t="s">
        <v>185</v>
      </c>
      <c r="D16" s="92"/>
      <c r="E16" s="111">
        <v>0.35</v>
      </c>
      <c r="F16" s="92"/>
      <c r="G16" s="113"/>
    </row>
    <row r="17" spans="1:7" ht="15.75">
      <c r="A17" s="109"/>
      <c r="B17" s="92"/>
      <c r="C17" s="112"/>
      <c r="D17" s="92"/>
      <c r="E17" s="113"/>
      <c r="F17" s="92"/>
      <c r="G17" s="113"/>
    </row>
    <row r="18" spans="1:7" ht="15.75">
      <c r="A18" s="109">
        <v>5</v>
      </c>
      <c r="B18" s="92"/>
      <c r="C18" s="110" t="s">
        <v>186</v>
      </c>
      <c r="D18" s="92"/>
      <c r="E18" s="84">
        <f>+E14*-E16</f>
        <v>7500.876690872319</v>
      </c>
      <c r="F18" s="92"/>
      <c r="G18" s="113" t="s">
        <v>293</v>
      </c>
    </row>
    <row r="19" spans="1:7" ht="15.75">
      <c r="A19" s="109"/>
      <c r="B19" s="92"/>
      <c r="C19" s="112"/>
      <c r="D19" s="92"/>
      <c r="E19" s="113"/>
      <c r="F19" s="92"/>
      <c r="G19" s="113"/>
    </row>
    <row r="20" spans="1:7" ht="16.5" thickBot="1">
      <c r="A20" s="109">
        <v>6</v>
      </c>
      <c r="B20" s="92"/>
      <c r="C20" s="110" t="s">
        <v>187</v>
      </c>
      <c r="D20" s="92"/>
      <c r="E20" s="114">
        <f>-E14-E18</f>
        <v>13930.19956876288</v>
      </c>
      <c r="F20" s="92"/>
      <c r="G20" s="113" t="s">
        <v>294</v>
      </c>
    </row>
    <row r="21" spans="1:7" ht="16.5" thickTop="1">
      <c r="A21" s="66"/>
      <c r="B21" s="66"/>
      <c r="C21" s="66"/>
      <c r="D21" s="66"/>
      <c r="E21" s="66"/>
      <c r="F21" s="66"/>
      <c r="G21" s="66"/>
    </row>
    <row r="22" spans="1:7" ht="15.75">
      <c r="A22" s="70" t="s">
        <v>397</v>
      </c>
      <c r="B22" s="70"/>
      <c r="C22" s="70"/>
      <c r="D22" s="70"/>
      <c r="E22" s="70"/>
      <c r="F22" s="70"/>
      <c r="G22" s="70"/>
    </row>
    <row r="23" spans="1:7" ht="15.75">
      <c r="A23" s="71" t="s">
        <v>398</v>
      </c>
      <c r="B23" s="65"/>
      <c r="C23" s="65" t="s">
        <v>399</v>
      </c>
      <c r="D23" s="65"/>
      <c r="E23" s="65"/>
      <c r="F23" s="65"/>
      <c r="G23" s="65"/>
    </row>
    <row r="24" spans="1:7" ht="15.75">
      <c r="A24" s="71"/>
      <c r="B24" s="65"/>
      <c r="C24" s="185"/>
      <c r="D24" s="65"/>
      <c r="E24" s="89"/>
      <c r="F24" s="89"/>
      <c r="G24" s="232"/>
    </row>
    <row r="25" spans="1:7" ht="15.75">
      <c r="A25" s="71" t="s">
        <v>400</v>
      </c>
      <c r="B25" s="65"/>
      <c r="C25" s="185" t="s">
        <v>401</v>
      </c>
      <c r="D25" s="65"/>
      <c r="E25" s="89">
        <v>147067</v>
      </c>
      <c r="F25" s="89"/>
      <c r="G25" s="232" t="s">
        <v>402</v>
      </c>
    </row>
    <row r="26" spans="1:7" ht="15.75">
      <c r="A26" s="68"/>
      <c r="B26" s="66"/>
      <c r="C26" s="185" t="s">
        <v>403</v>
      </c>
      <c r="D26" s="65"/>
      <c r="E26" s="107">
        <v>-5883</v>
      </c>
      <c r="F26" s="89"/>
      <c r="G26" s="71" t="s">
        <v>404</v>
      </c>
    </row>
    <row r="27" spans="1:7" ht="15.75">
      <c r="A27" s="68"/>
      <c r="B27" s="66"/>
      <c r="C27" s="185" t="s">
        <v>405</v>
      </c>
      <c r="D27" s="65"/>
      <c r="E27" s="234">
        <f>SUM(E25:E26)</f>
        <v>141184</v>
      </c>
      <c r="F27" s="71"/>
      <c r="G27" s="71"/>
    </row>
    <row r="28" spans="1:7" ht="15.75">
      <c r="A28" s="68"/>
      <c r="B28" s="66"/>
      <c r="C28" s="185" t="s">
        <v>406</v>
      </c>
      <c r="D28" s="65"/>
      <c r="E28" s="233">
        <v>0.33</v>
      </c>
      <c r="F28" s="65"/>
      <c r="G28" s="234" t="s">
        <v>407</v>
      </c>
    </row>
    <row r="29" spans="1:7" ht="15.75">
      <c r="A29" s="68"/>
      <c r="B29" s="66"/>
      <c r="C29" s="185" t="s">
        <v>408</v>
      </c>
      <c r="D29" s="65"/>
      <c r="E29" s="89">
        <f>+E27*-E28</f>
        <v>-46590.72</v>
      </c>
      <c r="F29" s="65"/>
      <c r="G29" s="89"/>
    </row>
    <row r="30" spans="1:7" ht="15.75">
      <c r="A30" s="68"/>
      <c r="B30" s="66"/>
      <c r="C30" s="185"/>
      <c r="D30" s="65"/>
      <c r="E30" s="89"/>
      <c r="F30" s="65"/>
      <c r="G30" s="89"/>
    </row>
    <row r="31" spans="1:7" ht="15.75">
      <c r="A31" s="68"/>
      <c r="B31" s="66"/>
      <c r="C31" s="185" t="s">
        <v>405</v>
      </c>
      <c r="D31" s="65"/>
      <c r="E31" s="89">
        <v>141184</v>
      </c>
      <c r="F31" s="65"/>
      <c r="G31" s="89"/>
    </row>
    <row r="32" spans="1:7" ht="15.75">
      <c r="A32" s="68"/>
      <c r="B32" s="66"/>
      <c r="C32" s="185" t="str">
        <f>C29</f>
        <v>Recommended Disallowance</v>
      </c>
      <c r="D32" s="65"/>
      <c r="E32" s="107">
        <f>E29</f>
        <v>-46590.72</v>
      </c>
      <c r="F32" s="65"/>
      <c r="G32" s="89"/>
    </row>
    <row r="33" spans="1:7" ht="15.75">
      <c r="A33" s="68"/>
      <c r="B33" s="66"/>
      <c r="C33" s="185" t="s">
        <v>409</v>
      </c>
      <c r="D33" s="65"/>
      <c r="E33" s="89">
        <f>SUM(E31:E32)</f>
        <v>94593.28</v>
      </c>
      <c r="F33" s="65"/>
      <c r="G33" s="89"/>
    </row>
    <row r="34" spans="1:7" ht="15.75">
      <c r="A34" s="68"/>
      <c r="B34" s="66"/>
      <c r="C34" s="185" t="s">
        <v>410</v>
      </c>
      <c r="D34" s="65"/>
      <c r="E34" s="77">
        <v>0.6816</v>
      </c>
      <c r="F34" s="65"/>
      <c r="G34" s="89"/>
    </row>
    <row r="35" spans="1:7" ht="15.75">
      <c r="A35" s="68"/>
      <c r="B35" s="66"/>
      <c r="C35" s="185"/>
      <c r="D35" s="65"/>
      <c r="E35" s="89">
        <f>+E34*E33</f>
        <v>64474.779647999996</v>
      </c>
      <c r="F35" s="65"/>
      <c r="G35" s="89"/>
    </row>
    <row r="36" spans="1:7" ht="15.75">
      <c r="A36" s="68"/>
      <c r="B36" s="66"/>
      <c r="C36" s="185" t="s">
        <v>411</v>
      </c>
      <c r="D36" s="65"/>
      <c r="E36" s="77">
        <v>0.6751</v>
      </c>
      <c r="F36" s="65"/>
      <c r="G36" s="89"/>
    </row>
    <row r="37" spans="1:7" ht="15.75">
      <c r="A37" s="68"/>
      <c r="B37" s="66"/>
      <c r="C37" s="185" t="str">
        <f>C13</f>
        <v>Recommended WA Gas Operations AGA Dues </v>
      </c>
      <c r="D37" s="65"/>
      <c r="E37" s="89">
        <f>+E35*E36</f>
        <v>43526.9237403648</v>
      </c>
      <c r="F37" s="65"/>
      <c r="G37" s="89"/>
    </row>
    <row r="38" spans="1:7" ht="15.75">
      <c r="A38" s="68"/>
      <c r="B38" s="66"/>
      <c r="C38" s="185"/>
      <c r="D38" s="65"/>
      <c r="E38" s="89"/>
      <c r="F38" s="65"/>
      <c r="G38" s="89"/>
    </row>
    <row r="39" spans="1:7" ht="15.75">
      <c r="A39" s="68" t="s">
        <v>412</v>
      </c>
      <c r="B39" s="66"/>
      <c r="C39" s="235" t="s">
        <v>413</v>
      </c>
      <c r="D39" s="65"/>
      <c r="E39" s="89"/>
      <c r="F39" s="65"/>
      <c r="G39" s="89"/>
    </row>
    <row r="40" spans="1:7" ht="15.75">
      <c r="A40" s="68"/>
      <c r="B40" s="66"/>
      <c r="C40" s="235"/>
      <c r="D40" s="65"/>
      <c r="E40" s="65"/>
      <c r="F40" s="65"/>
      <c r="G40" s="65"/>
    </row>
    <row r="41" spans="1:7" ht="15.75">
      <c r="A41" s="68" t="s">
        <v>414</v>
      </c>
      <c r="B41" s="66"/>
      <c r="C41" s="235" t="s">
        <v>429</v>
      </c>
      <c r="D41" s="65"/>
      <c r="E41" s="71"/>
      <c r="F41" s="71"/>
      <c r="G41" s="71"/>
    </row>
    <row r="42" spans="1:7" ht="15.75">
      <c r="A42" s="66"/>
      <c r="B42" s="66"/>
      <c r="C42" s="235"/>
      <c r="D42" s="65"/>
      <c r="E42" s="89"/>
      <c r="F42" s="89"/>
      <c r="G42" s="89"/>
    </row>
    <row r="43" spans="1:7" ht="15.75">
      <c r="A43" s="66" t="s">
        <v>415</v>
      </c>
      <c r="B43" s="66"/>
      <c r="C43" s="235" t="s">
        <v>416</v>
      </c>
      <c r="D43" s="65"/>
      <c r="E43" s="236"/>
      <c r="F43" s="65"/>
      <c r="G43" s="236">
        <v>0.4</v>
      </c>
    </row>
    <row r="44" spans="1:7" ht="15.75">
      <c r="A44" s="66"/>
      <c r="B44" s="66"/>
      <c r="C44" s="235" t="s">
        <v>417</v>
      </c>
      <c r="D44" s="65"/>
      <c r="E44" s="89"/>
      <c r="F44" s="65"/>
      <c r="G44" s="233">
        <v>0.04</v>
      </c>
    </row>
    <row r="45" spans="1:7" ht="15.75">
      <c r="A45" s="66"/>
      <c r="B45" s="66"/>
      <c r="C45" s="65"/>
      <c r="D45" s="65"/>
      <c r="E45" s="65"/>
      <c r="F45" s="65"/>
      <c r="G45" s="236">
        <f>+G43-G44</f>
        <v>0.36000000000000004</v>
      </c>
    </row>
    <row r="46" spans="1:7" ht="15.75">
      <c r="A46" s="71"/>
      <c r="B46" s="65"/>
      <c r="C46" s="65"/>
      <c r="D46" s="65"/>
      <c r="E46" s="65"/>
      <c r="F46" s="65"/>
      <c r="G46" s="71"/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scale="92" r:id="rId1"/>
  <headerFooter alignWithMargins="0">
    <oddHeader>&amp;R&amp;"Times New Roman,Regular"Docket Nos. UE-090134 and UG-090135, UG-060518
Exhibit No. __(HL-4)
Schedule C-9 (Gas)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35"/>
  <sheetViews>
    <sheetView view="pageLayout" workbookViewId="0" topLeftCell="A1">
      <selection activeCell="E34" sqref="E34"/>
    </sheetView>
  </sheetViews>
  <sheetFormatPr defaultColWidth="9.140625" defaultRowHeight="12.75"/>
  <cols>
    <col min="1" max="1" width="15.28125" style="0" customWidth="1"/>
    <col min="2" max="2" width="3.57421875" style="0" customWidth="1"/>
    <col min="3" max="3" width="14.140625" style="0" customWidth="1"/>
    <col min="4" max="4" width="4.8515625" style="0" customWidth="1"/>
    <col min="5" max="5" width="14.00390625" style="0" customWidth="1"/>
  </cols>
  <sheetData>
    <row r="1" spans="1:5" ht="15.75">
      <c r="A1" s="265" t="str">
        <f>'C-8'!A1:I1</f>
        <v>AVISTA UTILITIES</v>
      </c>
      <c r="B1" s="267"/>
      <c r="C1" s="267"/>
      <c r="D1" s="267"/>
      <c r="E1" s="267"/>
    </row>
    <row r="2" spans="1:5" ht="15.75">
      <c r="A2" s="265" t="str">
        <f>'C-8'!A2:I2</f>
        <v>Washington Gas System</v>
      </c>
      <c r="B2" s="267"/>
      <c r="C2" s="267"/>
      <c r="D2" s="267"/>
      <c r="E2" s="267"/>
    </row>
    <row r="3" spans="1:5" ht="15.75">
      <c r="A3" s="265" t="str">
        <f>'C-8'!A3:I3</f>
        <v>Test Year Twelve Months Ended September 30, 2008</v>
      </c>
      <c r="B3" s="267"/>
      <c r="C3" s="267"/>
      <c r="D3" s="267"/>
      <c r="E3" s="267"/>
    </row>
    <row r="4" spans="1:2" ht="15.75">
      <c r="A4" s="175"/>
      <c r="B4" s="175"/>
    </row>
    <row r="5" spans="1:2" ht="15.75">
      <c r="A5" s="175"/>
      <c r="B5" s="175"/>
    </row>
    <row r="6" spans="1:2" ht="15.75">
      <c r="A6" s="66" t="s">
        <v>385</v>
      </c>
      <c r="B6" s="66"/>
    </row>
    <row r="7" spans="1:2" ht="15.75">
      <c r="A7" s="175"/>
      <c r="B7" s="175"/>
    </row>
    <row r="8" ht="12.75">
      <c r="A8" s="91"/>
    </row>
    <row r="9" spans="1:5" ht="15.75">
      <c r="A9" s="71"/>
      <c r="C9" s="126" t="s">
        <v>386</v>
      </c>
      <c r="D9" s="124"/>
      <c r="E9" s="217" t="s">
        <v>387</v>
      </c>
    </row>
    <row r="10" spans="1:5" ht="15.75">
      <c r="A10" s="91"/>
      <c r="C10" s="218">
        <v>39326</v>
      </c>
      <c r="D10" s="218"/>
      <c r="E10" s="219">
        <v>1107175</v>
      </c>
    </row>
    <row r="11" spans="1:5" ht="15.75">
      <c r="A11" s="91"/>
      <c r="C11" s="218">
        <v>39356</v>
      </c>
      <c r="D11" s="218"/>
      <c r="E11" s="219">
        <v>1108257</v>
      </c>
    </row>
    <row r="12" spans="1:5" ht="15.75">
      <c r="A12" s="91"/>
      <c r="C12" s="218">
        <v>39387</v>
      </c>
      <c r="D12" s="218"/>
      <c r="E12" s="219">
        <v>1146431</v>
      </c>
    </row>
    <row r="13" spans="1:5" ht="15.75">
      <c r="A13" s="91"/>
      <c r="C13" s="220">
        <v>39783</v>
      </c>
      <c r="D13" s="220"/>
      <c r="E13" s="219">
        <v>1202233</v>
      </c>
    </row>
    <row r="14" spans="1:20" ht="15.75">
      <c r="A14" s="91"/>
      <c r="C14" s="218">
        <v>39448</v>
      </c>
      <c r="D14" s="218"/>
      <c r="E14" s="219">
        <v>1202233</v>
      </c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</row>
    <row r="15" spans="1:20" ht="15.75">
      <c r="A15" s="91"/>
      <c r="C15" s="218">
        <v>39479</v>
      </c>
      <c r="D15" s="218"/>
      <c r="E15" s="219">
        <v>1210355</v>
      </c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</row>
    <row r="16" spans="1:20" ht="15.75">
      <c r="A16" s="91"/>
      <c r="C16" s="218">
        <v>39508</v>
      </c>
      <c r="D16" s="218"/>
      <c r="E16" s="219">
        <v>1242833</v>
      </c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</row>
    <row r="17" spans="1:20" ht="15.75">
      <c r="A17" s="91"/>
      <c r="C17" s="218">
        <v>39539</v>
      </c>
      <c r="D17" s="218"/>
      <c r="E17" s="219">
        <v>1247670</v>
      </c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</row>
    <row r="18" spans="1:20" ht="15.75">
      <c r="A18" s="91"/>
      <c r="C18" s="218">
        <v>39569</v>
      </c>
      <c r="D18" s="218"/>
      <c r="E18" s="219">
        <v>1248876</v>
      </c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</row>
    <row r="19" spans="1:20" ht="15.75">
      <c r="A19" s="91"/>
      <c r="C19" s="218">
        <v>39600</v>
      </c>
      <c r="D19" s="218"/>
      <c r="E19" s="219">
        <v>1250151</v>
      </c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</row>
    <row r="20" spans="1:20" ht="15.75">
      <c r="A20" s="91"/>
      <c r="C20" s="218">
        <v>39630</v>
      </c>
      <c r="D20" s="218"/>
      <c r="E20" s="219">
        <v>1251694</v>
      </c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</row>
    <row r="21" spans="1:20" ht="15.75">
      <c r="A21" s="91"/>
      <c r="C21" s="218">
        <v>39661</v>
      </c>
      <c r="D21" s="218"/>
      <c r="E21" s="219">
        <v>1283120</v>
      </c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</row>
    <row r="22" spans="1:20" ht="15.75">
      <c r="A22" s="91"/>
      <c r="C22" s="218">
        <v>39692</v>
      </c>
      <c r="D22" s="218"/>
      <c r="E22" s="219">
        <v>1286203</v>
      </c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</row>
    <row r="23" spans="3:20" ht="15.75">
      <c r="C23" s="66"/>
      <c r="D23" s="66"/>
      <c r="E23" s="221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</row>
    <row r="24" spans="3:20" ht="16.5" thickBot="1">
      <c r="C24" s="222" t="s">
        <v>388</v>
      </c>
      <c r="D24" s="66"/>
      <c r="E24" s="223">
        <f>SUM(E10,E22)/2</f>
        <v>1196689</v>
      </c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</row>
    <row r="25" spans="3:20" ht="15.75">
      <c r="C25" s="66"/>
      <c r="D25" s="66"/>
      <c r="E25" s="221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</row>
    <row r="26" spans="3:20" ht="16.5" thickBot="1">
      <c r="C26" s="222" t="s">
        <v>389</v>
      </c>
      <c r="D26" s="66"/>
      <c r="E26" s="224">
        <f>(E11+E12+E13+E14+E15+E16+E17+E18+E19+E20+E21+E24)/12</f>
        <v>1215878.5</v>
      </c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</row>
    <row r="27" spans="5:20" ht="16.5" thickTop="1">
      <c r="E27" s="66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</row>
    <row r="28" spans="1:20" ht="15.75">
      <c r="A28" s="66"/>
      <c r="B28" s="66" t="s">
        <v>185</v>
      </c>
      <c r="C28" s="66"/>
      <c r="D28" s="66"/>
      <c r="E28" s="233">
        <v>0.35</v>
      </c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</row>
    <row r="29" spans="1:20" ht="15.75">
      <c r="A29" s="66"/>
      <c r="B29" s="66"/>
      <c r="C29" s="175"/>
      <c r="D29" s="66"/>
      <c r="E29" s="66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</row>
    <row r="30" spans="1:20" ht="16.5" thickBot="1">
      <c r="A30" s="66" t="s">
        <v>421</v>
      </c>
      <c r="D30" s="66"/>
      <c r="E30" s="88">
        <f>+E26*E28</f>
        <v>425557.475</v>
      </c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</row>
    <row r="31" spans="3:20" ht="16.5" thickTop="1">
      <c r="C31" s="66"/>
      <c r="D31" s="66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</row>
    <row r="32" ht="15.75">
      <c r="E32" s="66"/>
    </row>
    <row r="34" spans="1:4" ht="15.75">
      <c r="A34" s="70" t="s">
        <v>179</v>
      </c>
      <c r="B34" s="70"/>
      <c r="C34" s="70"/>
      <c r="D34" s="70"/>
    </row>
    <row r="35" spans="1:4" ht="15.75">
      <c r="A35" s="66" t="s">
        <v>390</v>
      </c>
      <c r="B35" s="66"/>
      <c r="C35" s="66"/>
      <c r="D35" s="6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Nos. UE-090134 and UG-090135, UG-060518
Exhibit No. __(HL-4)
Schedule C-10 (Gas)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Layout" workbookViewId="0" topLeftCell="C1">
      <selection activeCell="A2" sqref="A2:H2"/>
    </sheetView>
  </sheetViews>
  <sheetFormatPr defaultColWidth="9.140625" defaultRowHeight="12.75"/>
  <cols>
    <col min="1" max="1" width="4.7109375" style="0" customWidth="1"/>
    <col min="2" max="2" width="1.57421875" style="0" customWidth="1"/>
    <col min="3" max="3" width="42.8515625" style="0" customWidth="1"/>
    <col min="4" max="4" width="8.00390625" style="0" customWidth="1"/>
    <col min="5" max="5" width="13.7109375" style="0" customWidth="1"/>
    <col min="6" max="6" width="3.140625" style="0" customWidth="1"/>
    <col min="7" max="7" width="8.00390625" style="0" customWidth="1"/>
  </cols>
  <sheetData>
    <row r="1" spans="1:7" ht="15.75">
      <c r="A1" s="264" t="str">
        <f>A!A1</f>
        <v>AVISTA UTILITIES</v>
      </c>
      <c r="B1" s="265"/>
      <c r="C1" s="265"/>
      <c r="D1" s="265"/>
      <c r="E1" s="265"/>
      <c r="F1" s="265"/>
      <c r="G1" s="265"/>
    </row>
    <row r="2" spans="1:7" ht="15.75">
      <c r="A2" s="264" t="str">
        <f>A!A2</f>
        <v>Washington Gas System</v>
      </c>
      <c r="B2" s="265"/>
      <c r="C2" s="265"/>
      <c r="D2" s="265"/>
      <c r="E2" s="265"/>
      <c r="F2" s="265"/>
      <c r="G2" s="265"/>
    </row>
    <row r="3" spans="1:7" ht="15.75">
      <c r="A3" s="264" t="str">
        <f>A!A3</f>
        <v>Test Year Twelve Months Ended September 30, 2008</v>
      </c>
      <c r="B3" s="265"/>
      <c r="C3" s="265"/>
      <c r="D3" s="265"/>
      <c r="E3" s="265"/>
      <c r="F3" s="265"/>
      <c r="G3" s="265"/>
    </row>
    <row r="4" spans="1:7" ht="15.75">
      <c r="A4" s="264" t="str">
        <f>A!A4</f>
        <v>($000's of Dollars)</v>
      </c>
      <c r="B4" s="265"/>
      <c r="C4" s="265"/>
      <c r="D4" s="265"/>
      <c r="E4" s="265"/>
      <c r="F4" s="265"/>
      <c r="G4" s="265"/>
    </row>
    <row r="5" spans="1:7" ht="15.75">
      <c r="A5" s="91"/>
      <c r="B5" s="91"/>
      <c r="C5" s="91"/>
      <c r="D5" s="91"/>
      <c r="E5" s="134"/>
      <c r="F5" s="91"/>
      <c r="G5" s="134"/>
    </row>
    <row r="6" spans="1:7" ht="15.75">
      <c r="A6" s="91"/>
      <c r="B6" s="91"/>
      <c r="C6" s="91"/>
      <c r="D6" s="91"/>
      <c r="E6" s="134"/>
      <c r="F6" s="134"/>
      <c r="G6" s="134"/>
    </row>
    <row r="7" spans="1:7" ht="15.75">
      <c r="A7" s="65" t="s">
        <v>259</v>
      </c>
      <c r="B7" s="65"/>
      <c r="C7" s="65"/>
      <c r="D7" s="65"/>
      <c r="E7" s="135"/>
      <c r="F7" s="65"/>
      <c r="G7" s="135"/>
    </row>
    <row r="8" spans="1:7" ht="15.75">
      <c r="A8" s="67"/>
      <c r="B8" s="136"/>
      <c r="C8" s="136"/>
      <c r="D8" s="136"/>
      <c r="E8" s="136"/>
      <c r="F8" s="136"/>
      <c r="G8" s="135"/>
    </row>
    <row r="9" spans="1:7" ht="15.75">
      <c r="A9" s="136"/>
      <c r="B9" s="136"/>
      <c r="C9" s="136"/>
      <c r="D9" s="136"/>
      <c r="E9" s="136"/>
      <c r="F9" s="136"/>
      <c r="G9" s="135"/>
    </row>
    <row r="10" spans="1:7" ht="15.75">
      <c r="A10" s="136"/>
      <c r="B10" s="136"/>
      <c r="C10" s="136"/>
      <c r="D10" s="136"/>
      <c r="E10" s="136"/>
      <c r="F10" s="136"/>
      <c r="G10" s="135"/>
    </row>
    <row r="11" spans="1:7" ht="15.75">
      <c r="A11" s="136" t="s">
        <v>15</v>
      </c>
      <c r="B11" s="136"/>
      <c r="C11" s="136"/>
      <c r="D11" s="136"/>
      <c r="E11" s="136"/>
      <c r="F11" s="136"/>
      <c r="G11" s="135"/>
    </row>
    <row r="12" spans="1:7" ht="15.75">
      <c r="A12" s="137" t="s">
        <v>45</v>
      </c>
      <c r="B12" s="136"/>
      <c r="C12" s="137" t="s">
        <v>148</v>
      </c>
      <c r="D12" s="136"/>
      <c r="E12" s="138" t="s">
        <v>184</v>
      </c>
      <c r="F12" s="136"/>
      <c r="G12" s="139" t="s">
        <v>260</v>
      </c>
    </row>
    <row r="13" spans="1:7" ht="15.75">
      <c r="A13" s="135"/>
      <c r="B13" s="135"/>
      <c r="C13" s="135"/>
      <c r="D13" s="135"/>
      <c r="E13" s="135"/>
      <c r="F13" s="135"/>
      <c r="G13" s="135"/>
    </row>
    <row r="14" spans="1:7" ht="15.75">
      <c r="A14" s="135">
        <v>1</v>
      </c>
      <c r="B14" s="135"/>
      <c r="C14" s="135" t="s">
        <v>261</v>
      </c>
      <c r="D14" s="135"/>
      <c r="E14" s="213">
        <v>168792</v>
      </c>
      <c r="F14" s="135"/>
      <c r="G14" s="135" t="s">
        <v>381</v>
      </c>
    </row>
    <row r="15" spans="1:7" ht="15.75">
      <c r="A15" s="135"/>
      <c r="B15" s="135"/>
      <c r="C15" s="135"/>
      <c r="D15" s="135"/>
      <c r="E15" s="135"/>
      <c r="F15" s="135"/>
      <c r="G15" s="135"/>
    </row>
    <row r="16" spans="1:7" ht="15.75">
      <c r="A16" s="135">
        <v>2</v>
      </c>
      <c r="B16" s="135"/>
      <c r="C16" s="135" t="s">
        <v>262</v>
      </c>
      <c r="D16" s="135"/>
      <c r="E16" s="141">
        <v>0.0358</v>
      </c>
      <c r="F16" s="135"/>
      <c r="G16" s="135" t="s">
        <v>263</v>
      </c>
    </row>
    <row r="17" spans="1:7" ht="15.75">
      <c r="A17" s="135"/>
      <c r="B17" s="135"/>
      <c r="C17" s="135"/>
      <c r="D17" s="135"/>
      <c r="E17" s="142"/>
      <c r="F17" s="135"/>
      <c r="G17" s="135"/>
    </row>
    <row r="18" spans="1:7" ht="15.75">
      <c r="A18" s="135">
        <v>3</v>
      </c>
      <c r="B18" s="135"/>
      <c r="C18" s="143" t="s">
        <v>264</v>
      </c>
      <c r="D18" s="135"/>
      <c r="E18" s="140">
        <f>ROUND(E14*E16,0)</f>
        <v>6043</v>
      </c>
      <c r="F18" s="135"/>
      <c r="G18" s="135" t="s">
        <v>159</v>
      </c>
    </row>
    <row r="19" spans="1:7" ht="15.75">
      <c r="A19" s="135"/>
      <c r="B19" s="135"/>
      <c r="C19" s="143"/>
      <c r="D19" s="135"/>
      <c r="E19" s="144"/>
      <c r="F19" s="135"/>
      <c r="G19" s="135"/>
    </row>
    <row r="20" spans="1:7" ht="15.75">
      <c r="A20" s="135">
        <v>4</v>
      </c>
      <c r="B20" s="135"/>
      <c r="C20" s="143" t="s">
        <v>265</v>
      </c>
      <c r="D20" s="135"/>
      <c r="E20" s="145">
        <v>5724</v>
      </c>
      <c r="F20" s="135"/>
      <c r="G20" s="68" t="s">
        <v>266</v>
      </c>
    </row>
    <row r="21" spans="1:7" ht="15.75">
      <c r="A21" s="135"/>
      <c r="B21" s="135"/>
      <c r="C21" s="143"/>
      <c r="D21" s="135"/>
      <c r="E21" s="146"/>
      <c r="F21" s="135"/>
      <c r="G21" s="135"/>
    </row>
    <row r="22" spans="1:7" ht="15.75">
      <c r="A22" s="135">
        <v>5</v>
      </c>
      <c r="B22" s="135"/>
      <c r="C22" s="143" t="s">
        <v>150</v>
      </c>
      <c r="D22" s="135"/>
      <c r="E22" s="144">
        <f>E18-E20</f>
        <v>319</v>
      </c>
      <c r="F22" s="135"/>
      <c r="G22" s="135" t="s">
        <v>162</v>
      </c>
    </row>
    <row r="23" spans="1:7" ht="15.75">
      <c r="A23" s="135"/>
      <c r="B23" s="135"/>
      <c r="C23" s="143"/>
      <c r="D23" s="135"/>
      <c r="E23" s="147"/>
      <c r="F23" s="135"/>
      <c r="G23" s="135"/>
    </row>
    <row r="24" spans="1:7" ht="15.75">
      <c r="A24" s="135">
        <v>6</v>
      </c>
      <c r="B24" s="135"/>
      <c r="C24" s="143" t="s">
        <v>185</v>
      </c>
      <c r="D24" s="135"/>
      <c r="E24" s="148">
        <v>0.35</v>
      </c>
      <c r="F24" s="135"/>
      <c r="G24" s="68" t="s">
        <v>266</v>
      </c>
    </row>
    <row r="25" spans="1:7" ht="15.75">
      <c r="A25" s="135"/>
      <c r="B25" s="135"/>
      <c r="C25" s="143"/>
      <c r="D25" s="135"/>
      <c r="E25" s="142"/>
      <c r="F25" s="135"/>
      <c r="G25" s="135"/>
    </row>
    <row r="26" spans="1:7" ht="16.5" thickBot="1">
      <c r="A26" s="135">
        <v>7</v>
      </c>
      <c r="B26" s="135"/>
      <c r="C26" s="143" t="s">
        <v>268</v>
      </c>
      <c r="D26" s="135"/>
      <c r="E26" s="149">
        <f>ROUND(-E22*E24,0)</f>
        <v>-112</v>
      </c>
      <c r="F26" s="135"/>
      <c r="G26" s="135" t="s">
        <v>269</v>
      </c>
    </row>
    <row r="27" spans="1:7" ht="16.5" thickTop="1">
      <c r="A27" s="150"/>
      <c r="B27" s="150"/>
      <c r="C27" s="151" t="s">
        <v>270</v>
      </c>
      <c r="D27" s="150"/>
      <c r="E27" s="150"/>
      <c r="F27" s="150"/>
      <c r="G27" s="150"/>
    </row>
    <row r="28" spans="1:7" ht="15.75">
      <c r="A28" s="150"/>
      <c r="B28" s="150"/>
      <c r="C28" s="151"/>
      <c r="D28" s="150"/>
      <c r="E28" s="150"/>
      <c r="F28" s="150"/>
      <c r="G28" s="150"/>
    </row>
    <row r="29" spans="1:7" ht="15.75">
      <c r="A29" s="66"/>
      <c r="B29" s="66"/>
      <c r="C29" s="66"/>
      <c r="D29" s="66"/>
      <c r="E29" s="66"/>
      <c r="F29" s="66"/>
      <c r="G29" s="66"/>
    </row>
    <row r="30" spans="1:7" ht="15.75">
      <c r="A30" s="66"/>
      <c r="B30" s="66"/>
      <c r="C30" s="66"/>
      <c r="D30" s="66"/>
      <c r="E30" s="66"/>
      <c r="F30" s="66"/>
      <c r="G30" s="66"/>
    </row>
    <row r="31" spans="1:7" ht="15.75">
      <c r="A31" s="70" t="s">
        <v>179</v>
      </c>
      <c r="B31" s="70"/>
      <c r="C31" s="70"/>
      <c r="D31" s="66"/>
      <c r="E31" s="66"/>
      <c r="F31" s="66"/>
      <c r="G31" s="66"/>
    </row>
    <row r="32" spans="1:7" ht="15.75">
      <c r="A32" s="147" t="s">
        <v>363</v>
      </c>
      <c r="B32" s="92"/>
      <c r="C32" s="92"/>
      <c r="D32" s="66"/>
      <c r="E32" s="66"/>
      <c r="F32" s="66"/>
      <c r="G32" s="66"/>
    </row>
    <row r="33" spans="1:7" ht="15.75">
      <c r="A33" s="147"/>
      <c r="B33" s="78"/>
      <c r="C33" s="78"/>
      <c r="D33" s="66"/>
      <c r="E33" s="66"/>
      <c r="F33" s="66"/>
      <c r="G33" s="66"/>
    </row>
    <row r="34" spans="1:7" ht="15.75">
      <c r="A34" s="66"/>
      <c r="B34" s="66"/>
      <c r="C34" s="135"/>
      <c r="D34" s="66"/>
      <c r="E34" s="66"/>
      <c r="F34" s="66"/>
      <c r="G34" s="66"/>
    </row>
    <row r="35" spans="1:7" ht="15.75">
      <c r="A35" s="66"/>
      <c r="B35" s="66"/>
      <c r="C35" s="66"/>
      <c r="D35" s="66"/>
      <c r="E35" s="66"/>
      <c r="F35" s="66"/>
      <c r="G35" s="66"/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&amp;R&amp;"Times New Roman,Regular"Docket Nos. UE-090134 and UG-090135, UG-060518
Exhibit No. __(HL-4)
Schedule C-11 (Gas)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view="pageLayout" workbookViewId="0" topLeftCell="A1">
      <selection activeCell="A4" sqref="A4:K4"/>
    </sheetView>
  </sheetViews>
  <sheetFormatPr defaultColWidth="9.140625" defaultRowHeight="12.75"/>
  <cols>
    <col min="1" max="1" width="4.7109375" style="0" customWidth="1"/>
    <col min="2" max="2" width="1.57421875" style="0" customWidth="1"/>
    <col min="3" max="3" width="22.8515625" style="0" customWidth="1"/>
    <col min="4" max="4" width="1.28515625" style="0" customWidth="1"/>
    <col min="5" max="5" width="17.00390625" style="0" bestFit="1" customWidth="1"/>
    <col min="6" max="6" width="1.421875" style="0" customWidth="1"/>
    <col min="7" max="7" width="12.00390625" style="0" customWidth="1"/>
    <col min="8" max="8" width="1.57421875" style="0" customWidth="1"/>
    <col min="9" max="9" width="12.140625" style="0" customWidth="1"/>
    <col min="10" max="10" width="1.1484375" style="0" customWidth="1"/>
    <col min="11" max="11" width="10.421875" style="0" customWidth="1"/>
  </cols>
  <sheetData>
    <row r="1" spans="1:11" ht="15.75">
      <c r="A1" s="264" t="str">
        <f>A!A1</f>
        <v>AVISTA UTILITIES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5.75">
      <c r="A2" s="264" t="str">
        <f>A!A2</f>
        <v>Washington Gas System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5.75">
      <c r="A3" s="264" t="str">
        <f>A!A3</f>
        <v>Test Year Twelve Months Ended September 30, 2008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15.75">
      <c r="A4" s="264" t="str">
        <f>A!A4</f>
        <v>($000's of Dollars)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</row>
    <row r="5" spans="1:11" ht="15.75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5.75">
      <c r="A6" s="91"/>
      <c r="B6" s="91"/>
      <c r="C6" s="91"/>
      <c r="D6" s="91"/>
      <c r="E6" s="91"/>
      <c r="F6" s="91"/>
      <c r="G6" s="91"/>
      <c r="H6" s="152"/>
      <c r="I6" s="91"/>
      <c r="J6" s="152"/>
      <c r="K6" s="152"/>
    </row>
    <row r="7" spans="1:11" ht="15.75">
      <c r="A7" s="153" t="s">
        <v>271</v>
      </c>
      <c r="B7" s="152"/>
      <c r="C7" s="153"/>
      <c r="D7" s="153"/>
      <c r="E7" s="152"/>
      <c r="F7" s="152"/>
      <c r="G7" s="152"/>
      <c r="H7" s="152"/>
      <c r="I7" s="152"/>
      <c r="J7" s="91"/>
      <c r="K7" s="152"/>
    </row>
    <row r="8" spans="1:11" ht="15.7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5.75">
      <c r="A9" s="153" t="s">
        <v>15</v>
      </c>
      <c r="B9" s="152"/>
      <c r="C9" s="152"/>
      <c r="D9" s="152"/>
      <c r="E9" s="154"/>
      <c r="F9" s="155"/>
      <c r="G9" s="155"/>
      <c r="H9" s="155"/>
      <c r="I9" s="154" t="s">
        <v>272</v>
      </c>
      <c r="J9" s="155"/>
      <c r="K9" s="154" t="s">
        <v>273</v>
      </c>
    </row>
    <row r="10" spans="1:11" ht="15.75">
      <c r="A10" s="156" t="s">
        <v>45</v>
      </c>
      <c r="B10" s="152"/>
      <c r="C10" s="156" t="s">
        <v>148</v>
      </c>
      <c r="D10" s="157"/>
      <c r="E10" s="158" t="s">
        <v>274</v>
      </c>
      <c r="F10" s="155"/>
      <c r="G10" s="158" t="s">
        <v>275</v>
      </c>
      <c r="H10" s="155"/>
      <c r="I10" s="158" t="s">
        <v>276</v>
      </c>
      <c r="J10" s="155"/>
      <c r="K10" s="158" t="s">
        <v>277</v>
      </c>
    </row>
    <row r="11" spans="1:11" ht="15.75">
      <c r="A11" s="152"/>
      <c r="B11" s="152"/>
      <c r="C11" s="152"/>
      <c r="D11" s="152"/>
      <c r="E11" s="152"/>
      <c r="F11" s="152"/>
      <c r="G11" s="159"/>
      <c r="H11" s="159"/>
      <c r="I11" s="159"/>
      <c r="J11" s="159"/>
      <c r="K11" s="159"/>
    </row>
    <row r="12" spans="1:11" ht="15.75">
      <c r="A12" s="152">
        <v>1</v>
      </c>
      <c r="B12" s="152"/>
      <c r="C12" s="160" t="s">
        <v>278</v>
      </c>
      <c r="D12" s="160"/>
      <c r="E12" s="161">
        <v>1190915751</v>
      </c>
      <c r="F12" s="162"/>
      <c r="G12" s="190">
        <f>+E12/E16</f>
        <v>0.5443441938482355</v>
      </c>
      <c r="H12" s="163"/>
      <c r="I12" s="163">
        <v>0.0657</v>
      </c>
      <c r="J12" s="163"/>
      <c r="K12" s="163">
        <f>+G12*I12</f>
        <v>0.03576341353582907</v>
      </c>
    </row>
    <row r="13" spans="1:11" ht="15.75">
      <c r="A13" s="152"/>
      <c r="B13" s="152"/>
      <c r="C13" s="160"/>
      <c r="D13" s="160"/>
      <c r="E13" s="161"/>
      <c r="F13" s="162"/>
      <c r="G13" s="190"/>
      <c r="H13" s="163"/>
      <c r="I13" s="163"/>
      <c r="J13" s="163"/>
      <c r="K13" s="163"/>
    </row>
    <row r="14" spans="1:11" ht="15.75">
      <c r="A14" s="152">
        <v>2</v>
      </c>
      <c r="B14" s="152"/>
      <c r="C14" s="160" t="s">
        <v>279</v>
      </c>
      <c r="D14" s="160"/>
      <c r="E14" s="164">
        <v>996883374</v>
      </c>
      <c r="F14" s="162"/>
      <c r="G14" s="191">
        <f>+E14/E16</f>
        <v>0.4556558061517645</v>
      </c>
      <c r="H14" s="163"/>
      <c r="I14" s="216">
        <v>0.101</v>
      </c>
      <c r="J14" s="215"/>
      <c r="K14" s="216">
        <f>+G14*I14</f>
        <v>0.046021236421328215</v>
      </c>
    </row>
    <row r="15" spans="1:11" ht="15.75">
      <c r="A15" s="152"/>
      <c r="B15" s="152"/>
      <c r="C15" s="162"/>
      <c r="D15" s="162"/>
      <c r="E15" s="161"/>
      <c r="F15" s="162"/>
      <c r="G15" s="163"/>
      <c r="H15" s="163"/>
      <c r="I15" s="215"/>
      <c r="J15" s="215"/>
      <c r="K15" s="215"/>
    </row>
    <row r="16" spans="1:11" ht="15.75">
      <c r="A16" s="152">
        <v>3</v>
      </c>
      <c r="B16" s="152"/>
      <c r="C16" s="160" t="s">
        <v>280</v>
      </c>
      <c r="D16" s="160"/>
      <c r="E16" s="161">
        <f>SUM(E12:E14)</f>
        <v>2187799125</v>
      </c>
      <c r="F16" s="162"/>
      <c r="G16" s="163">
        <f>SUM(G12:G14)</f>
        <v>1</v>
      </c>
      <c r="H16" s="163"/>
      <c r="I16" s="163"/>
      <c r="J16" s="163"/>
      <c r="K16" s="215">
        <f>+K14+K12</f>
        <v>0.08178464995715728</v>
      </c>
    </row>
    <row r="17" spans="1:11" ht="15.75">
      <c r="A17" s="152"/>
      <c r="B17" s="152"/>
      <c r="C17" s="152"/>
      <c r="D17" s="152"/>
      <c r="E17" s="152"/>
      <c r="F17" s="152"/>
      <c r="G17" s="165"/>
      <c r="H17" s="165"/>
      <c r="I17" s="165"/>
      <c r="J17" s="165"/>
      <c r="K17" s="165"/>
    </row>
    <row r="18" spans="1:11" ht="15.75">
      <c r="A18" s="152"/>
      <c r="B18" s="152"/>
      <c r="C18" s="152"/>
      <c r="D18" s="152"/>
      <c r="E18" s="152"/>
      <c r="F18" s="152"/>
      <c r="G18" s="165"/>
      <c r="H18" s="165"/>
      <c r="I18" s="165"/>
      <c r="J18" s="165"/>
      <c r="K18" s="165"/>
    </row>
    <row r="19" spans="1:11" ht="18">
      <c r="A19" s="156" t="s">
        <v>281</v>
      </c>
      <c r="B19" s="166"/>
      <c r="C19" s="166"/>
      <c r="D19" s="167"/>
      <c r="E19" s="166"/>
      <c r="F19" s="166"/>
      <c r="G19" s="168"/>
      <c r="H19" s="168"/>
      <c r="I19" s="168"/>
      <c r="J19" s="168"/>
      <c r="K19" s="168"/>
    </row>
    <row r="20" spans="1:11" ht="15.75">
      <c r="A20" s="153" t="s">
        <v>282</v>
      </c>
      <c r="B20" s="152"/>
      <c r="C20" s="152"/>
      <c r="D20" s="153"/>
      <c r="E20" s="152"/>
      <c r="F20" s="152"/>
      <c r="G20" s="165"/>
      <c r="H20" s="165"/>
      <c r="I20" s="165"/>
      <c r="J20" s="165"/>
      <c r="K20" s="165"/>
    </row>
    <row r="21" spans="1:11" ht="15.75">
      <c r="A21" s="153" t="s">
        <v>283</v>
      </c>
      <c r="B21" s="152"/>
      <c r="C21" s="152"/>
      <c r="D21" s="153"/>
      <c r="E21" s="152"/>
      <c r="F21" s="152"/>
      <c r="G21" s="165"/>
      <c r="H21" s="165"/>
      <c r="I21" s="165"/>
      <c r="J21" s="165"/>
      <c r="K21" s="165"/>
    </row>
  </sheetData>
  <sheetProtection/>
  <mergeCells count="4"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Nos. UE-090134 and UG-090135, UG-060518
Exhibit No. __(HL-4)
Schedule D (Gas)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O119"/>
  <sheetViews>
    <sheetView view="pageLayout" workbookViewId="0" topLeftCell="T1">
      <selection activeCell="A69" sqref="A69"/>
    </sheetView>
  </sheetViews>
  <sheetFormatPr defaultColWidth="9.140625" defaultRowHeight="12.75"/>
  <cols>
    <col min="1" max="1" width="5.7109375" style="0" customWidth="1"/>
    <col min="2" max="4" width="1.7109375" style="0" customWidth="1"/>
    <col min="5" max="5" width="28.7109375" style="0" customWidth="1"/>
    <col min="6" max="6" width="11.7109375" style="0" customWidth="1"/>
    <col min="7" max="7" width="11.00390625" style="0" customWidth="1"/>
    <col min="8" max="8" width="13.421875" style="0" customWidth="1"/>
    <col min="9" max="9" width="9.57421875" style="0" customWidth="1"/>
    <col min="10" max="10" width="14.00390625" style="0" customWidth="1"/>
    <col min="11" max="11" width="10.421875" style="0" customWidth="1"/>
    <col min="12" max="12" width="12.7109375" style="0" customWidth="1"/>
    <col min="13" max="13" width="10.7109375" style="0" customWidth="1"/>
    <col min="14" max="14" width="15.140625" style="0" customWidth="1"/>
    <col min="15" max="15" width="11.140625" style="0" customWidth="1"/>
    <col min="16" max="16" width="10.7109375" style="0" customWidth="1"/>
    <col min="17" max="17" width="12.28125" style="0" customWidth="1"/>
    <col min="18" max="18" width="11.7109375" style="0" customWidth="1"/>
    <col min="19" max="19" width="10.421875" style="0" customWidth="1"/>
    <col min="20" max="20" width="10.28125" style="0" customWidth="1"/>
    <col min="21" max="21" width="15.421875" style="0" customWidth="1"/>
    <col min="22" max="22" width="10.8515625" style="0" customWidth="1"/>
    <col min="23" max="23" width="12.57421875" style="0" customWidth="1"/>
    <col min="24" max="24" width="12.421875" style="0" customWidth="1"/>
    <col min="25" max="25" width="14.00390625" style="0" customWidth="1"/>
    <col min="26" max="26" width="12.140625" style="0" customWidth="1"/>
    <col min="27" max="27" width="0" style="0" hidden="1" customWidth="1"/>
    <col min="28" max="28" width="12.28125" style="0" customWidth="1"/>
    <col min="29" max="29" width="10.8515625" style="0" customWidth="1"/>
    <col min="30" max="30" width="11.28125" style="0" customWidth="1"/>
    <col min="31" max="31" width="11.421875" style="0" customWidth="1"/>
    <col min="32" max="32" width="12.7109375" style="0" customWidth="1"/>
    <col min="33" max="33" width="13.140625" style="0" bestFit="1" customWidth="1"/>
    <col min="34" max="34" width="12.00390625" style="0" customWidth="1"/>
    <col min="35" max="37" width="12.140625" style="0" bestFit="1" customWidth="1"/>
    <col min="38" max="38" width="11.8515625" style="0" customWidth="1"/>
    <col min="44" max="44" width="10.8515625" style="0" customWidth="1"/>
    <col min="45" max="45" width="12.140625" style="0" bestFit="1" customWidth="1"/>
  </cols>
  <sheetData>
    <row r="1" spans="1:67" ht="12.75">
      <c r="A1" s="103" t="str">
        <f>'[1]Inputs'!$D$6</f>
        <v>AVISTA UTILITIES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</row>
    <row r="2" spans="1:67" ht="20.25">
      <c r="A2" s="103" t="s">
        <v>0</v>
      </c>
      <c r="B2" s="1"/>
      <c r="C2" s="1"/>
      <c r="D2" s="1"/>
      <c r="E2" s="1"/>
      <c r="F2" s="2"/>
      <c r="G2" s="51"/>
      <c r="H2" s="51"/>
      <c r="I2" s="51"/>
      <c r="J2" s="51"/>
      <c r="K2" s="51"/>
      <c r="L2" s="52"/>
      <c r="M2" s="4"/>
      <c r="N2" s="4"/>
      <c r="O2" s="3"/>
      <c r="P2" s="3"/>
      <c r="Q2" s="3"/>
      <c r="R2" s="3"/>
      <c r="S2" s="3"/>
      <c r="T2" s="3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</row>
    <row r="3" spans="1:67" ht="12.75">
      <c r="A3" s="103" t="s">
        <v>1</v>
      </c>
      <c r="B3" s="1"/>
      <c r="C3" s="1"/>
      <c r="D3" s="1"/>
      <c r="E3" s="1"/>
      <c r="F3" s="3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</row>
    <row r="4" spans="1:67" ht="12.75">
      <c r="A4" s="103" t="str">
        <f>'[1]Inputs'!$D$2</f>
        <v>TWELVE MONTHS ENDED SEPTEMBER 30, 2008</v>
      </c>
      <c r="B4" s="1"/>
      <c r="C4" s="1"/>
      <c r="D4" s="1"/>
      <c r="E4" s="1"/>
      <c r="F4" s="3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</row>
    <row r="5" spans="1:67" ht="12.75">
      <c r="A5" s="103" t="s">
        <v>2</v>
      </c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2"/>
      <c r="AH5" s="2"/>
      <c r="AI5" s="2"/>
      <c r="AJ5" s="2"/>
      <c r="AK5" s="2"/>
      <c r="AL5" s="2"/>
      <c r="AM5" s="3"/>
      <c r="AN5" s="3"/>
      <c r="AO5" s="3"/>
      <c r="AP5" s="3"/>
      <c r="AQ5" s="3"/>
      <c r="AR5" s="3"/>
      <c r="AS5" s="3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</row>
    <row r="6" spans="1:67" ht="12.75">
      <c r="A6" s="5"/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50"/>
      <c r="O6" s="7"/>
      <c r="P6" s="7"/>
      <c r="Q6" s="7"/>
      <c r="R6" s="7"/>
      <c r="S6" s="7" t="s">
        <v>309</v>
      </c>
      <c r="T6" s="27"/>
      <c r="U6" s="7"/>
      <c r="V6" s="7"/>
      <c r="W6" s="7"/>
      <c r="X6" s="7"/>
      <c r="Y6" s="7"/>
      <c r="Z6" s="7" t="s">
        <v>420</v>
      </c>
      <c r="AA6" s="7"/>
      <c r="AB6" s="7"/>
      <c r="AC6" s="7" t="s">
        <v>189</v>
      </c>
      <c r="AD6" s="7" t="s">
        <v>190</v>
      </c>
      <c r="AE6" s="7"/>
      <c r="AF6" s="7"/>
      <c r="AG6" s="7"/>
      <c r="AH6" s="7"/>
      <c r="AI6" s="7" t="s">
        <v>423</v>
      </c>
      <c r="AJ6" s="7"/>
      <c r="AK6" s="7"/>
      <c r="AL6" s="7" t="s">
        <v>303</v>
      </c>
      <c r="AM6" s="121" t="s">
        <v>304</v>
      </c>
      <c r="AN6" s="121" t="s">
        <v>305</v>
      </c>
      <c r="AO6" s="121" t="s">
        <v>306</v>
      </c>
      <c r="AP6" s="121" t="s">
        <v>307</v>
      </c>
      <c r="AQ6" s="121" t="s">
        <v>308</v>
      </c>
      <c r="AR6" s="121"/>
      <c r="AS6" s="7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</row>
    <row r="7" spans="1:67" ht="12.75">
      <c r="A7" s="8"/>
      <c r="B7" s="9"/>
      <c r="C7" s="10"/>
      <c r="D7" s="10"/>
      <c r="E7" s="11"/>
      <c r="F7" s="12" t="s">
        <v>3</v>
      </c>
      <c r="G7" s="12" t="s">
        <v>4</v>
      </c>
      <c r="H7" s="12" t="s">
        <v>5</v>
      </c>
      <c r="I7" s="53"/>
      <c r="J7" s="12" t="s">
        <v>6</v>
      </c>
      <c r="K7" s="12"/>
      <c r="L7" s="12"/>
      <c r="M7" s="12"/>
      <c r="N7" s="12" t="s">
        <v>7</v>
      </c>
      <c r="O7" s="12" t="s">
        <v>8</v>
      </c>
      <c r="P7" s="12"/>
      <c r="Q7" s="12"/>
      <c r="R7" s="12" t="s">
        <v>9</v>
      </c>
      <c r="S7" s="12" t="s">
        <v>10</v>
      </c>
      <c r="T7" s="54"/>
      <c r="U7" s="12"/>
      <c r="V7" s="12" t="s">
        <v>8</v>
      </c>
      <c r="W7" s="53" t="s">
        <v>11</v>
      </c>
      <c r="X7" s="12" t="s">
        <v>12</v>
      </c>
      <c r="Y7" s="53" t="s">
        <v>13</v>
      </c>
      <c r="Z7" s="53" t="s">
        <v>12</v>
      </c>
      <c r="AA7" s="12"/>
      <c r="AB7" s="12"/>
      <c r="AC7" s="53" t="s">
        <v>14</v>
      </c>
      <c r="AD7" s="53" t="s">
        <v>14</v>
      </c>
      <c r="AE7" s="53" t="s">
        <v>14</v>
      </c>
      <c r="AF7" s="53" t="s">
        <v>14</v>
      </c>
      <c r="AG7" s="53" t="s">
        <v>14</v>
      </c>
      <c r="AH7" s="53" t="s">
        <v>14</v>
      </c>
      <c r="AI7" s="53" t="s">
        <v>14</v>
      </c>
      <c r="AJ7" s="53" t="s">
        <v>14</v>
      </c>
      <c r="AK7" s="53" t="s">
        <v>14</v>
      </c>
      <c r="AL7" s="53" t="s">
        <v>14</v>
      </c>
      <c r="AM7" s="115"/>
      <c r="AN7" s="115" t="s">
        <v>191</v>
      </c>
      <c r="AO7" s="115"/>
      <c r="AP7" s="115"/>
      <c r="AQ7" s="208"/>
      <c r="AR7" s="208"/>
      <c r="AS7" s="118" t="s">
        <v>182</v>
      </c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</row>
    <row r="8" spans="1:67" ht="12.75">
      <c r="A8" s="13" t="s">
        <v>15</v>
      </c>
      <c r="B8" s="14"/>
      <c r="C8" s="15"/>
      <c r="D8" s="15"/>
      <c r="E8" s="16"/>
      <c r="F8" s="17" t="s">
        <v>16</v>
      </c>
      <c r="G8" s="17" t="s">
        <v>17</v>
      </c>
      <c r="H8" s="17" t="s">
        <v>18</v>
      </c>
      <c r="I8" s="55" t="s">
        <v>19</v>
      </c>
      <c r="J8" s="17" t="s">
        <v>20</v>
      </c>
      <c r="K8" s="17" t="s">
        <v>21</v>
      </c>
      <c r="L8" s="17" t="s">
        <v>22</v>
      </c>
      <c r="M8" s="17" t="s">
        <v>23</v>
      </c>
      <c r="N8" s="17" t="s">
        <v>24</v>
      </c>
      <c r="O8" s="17" t="s">
        <v>25</v>
      </c>
      <c r="P8" s="17" t="s">
        <v>26</v>
      </c>
      <c r="Q8" s="17" t="s">
        <v>27</v>
      </c>
      <c r="R8" s="17" t="s">
        <v>28</v>
      </c>
      <c r="S8" s="17" t="s">
        <v>29</v>
      </c>
      <c r="T8" s="56"/>
      <c r="U8" s="18" t="s">
        <v>30</v>
      </c>
      <c r="V8" s="17" t="s">
        <v>31</v>
      </c>
      <c r="W8" s="55" t="s">
        <v>32</v>
      </c>
      <c r="X8" s="17" t="s">
        <v>33</v>
      </c>
      <c r="Y8" s="55" t="s">
        <v>34</v>
      </c>
      <c r="Z8" s="55" t="s">
        <v>35</v>
      </c>
      <c r="AA8" s="17"/>
      <c r="AB8" s="17" t="s">
        <v>36</v>
      </c>
      <c r="AC8" s="116" t="s">
        <v>37</v>
      </c>
      <c r="AD8" s="116" t="s">
        <v>37</v>
      </c>
      <c r="AE8" s="55" t="s">
        <v>38</v>
      </c>
      <c r="AF8" s="55" t="s">
        <v>39</v>
      </c>
      <c r="AG8" s="55" t="s">
        <v>39</v>
      </c>
      <c r="AH8" s="55" t="s">
        <v>40</v>
      </c>
      <c r="AI8" s="55" t="s">
        <v>41</v>
      </c>
      <c r="AJ8" s="55" t="s">
        <v>42</v>
      </c>
      <c r="AK8" s="55" t="s">
        <v>43</v>
      </c>
      <c r="AL8" s="55" t="s">
        <v>44</v>
      </c>
      <c r="AM8" s="116" t="s">
        <v>192</v>
      </c>
      <c r="AN8" s="116" t="s">
        <v>193</v>
      </c>
      <c r="AO8" s="116" t="s">
        <v>191</v>
      </c>
      <c r="AP8" s="116" t="s">
        <v>194</v>
      </c>
      <c r="AQ8" s="209" t="s">
        <v>418</v>
      </c>
      <c r="AR8" s="209" t="s">
        <v>65</v>
      </c>
      <c r="AS8" s="119" t="s">
        <v>14</v>
      </c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</row>
    <row r="9" spans="1:67" ht="12.75">
      <c r="A9" s="19" t="s">
        <v>45</v>
      </c>
      <c r="B9" s="20"/>
      <c r="C9" s="21"/>
      <c r="D9" s="21"/>
      <c r="E9" s="22" t="s">
        <v>46</v>
      </c>
      <c r="F9" s="23" t="s">
        <v>47</v>
      </c>
      <c r="G9" s="23" t="s">
        <v>48</v>
      </c>
      <c r="H9" s="23" t="s">
        <v>49</v>
      </c>
      <c r="I9" s="57" t="s">
        <v>50</v>
      </c>
      <c r="J9" s="23" t="s">
        <v>51</v>
      </c>
      <c r="K9" s="23" t="s">
        <v>52</v>
      </c>
      <c r="L9" s="23" t="s">
        <v>53</v>
      </c>
      <c r="M9" s="23" t="s">
        <v>54</v>
      </c>
      <c r="N9" s="23" t="s">
        <v>55</v>
      </c>
      <c r="O9" s="23" t="s">
        <v>56</v>
      </c>
      <c r="P9" s="23" t="s">
        <v>57</v>
      </c>
      <c r="Q9" s="23" t="s">
        <v>28</v>
      </c>
      <c r="R9" s="23" t="s">
        <v>58</v>
      </c>
      <c r="S9" s="23" t="s">
        <v>59</v>
      </c>
      <c r="T9" s="57" t="s">
        <v>17</v>
      </c>
      <c r="U9" s="24" t="s">
        <v>60</v>
      </c>
      <c r="V9" s="23" t="s">
        <v>61</v>
      </c>
      <c r="W9" s="57" t="s">
        <v>62</v>
      </c>
      <c r="X9" s="23" t="s">
        <v>56</v>
      </c>
      <c r="Y9" s="57" t="s">
        <v>63</v>
      </c>
      <c r="Z9" s="57" t="s">
        <v>64</v>
      </c>
      <c r="AA9" s="23"/>
      <c r="AB9" s="23" t="s">
        <v>65</v>
      </c>
      <c r="AC9" s="117" t="s">
        <v>66</v>
      </c>
      <c r="AD9" s="117" t="s">
        <v>67</v>
      </c>
      <c r="AE9" s="57"/>
      <c r="AF9" s="58" t="s">
        <v>68</v>
      </c>
      <c r="AG9" s="58" t="s">
        <v>69</v>
      </c>
      <c r="AH9" s="57" t="s">
        <v>70</v>
      </c>
      <c r="AI9" s="58"/>
      <c r="AJ9" s="57" t="s">
        <v>71</v>
      </c>
      <c r="AK9" s="57" t="s">
        <v>72</v>
      </c>
      <c r="AL9" s="58"/>
      <c r="AM9" s="117" t="s">
        <v>44</v>
      </c>
      <c r="AN9" s="117" t="s">
        <v>196</v>
      </c>
      <c r="AO9" s="117" t="s">
        <v>195</v>
      </c>
      <c r="AP9" s="117" t="s">
        <v>197</v>
      </c>
      <c r="AQ9" s="210" t="s">
        <v>419</v>
      </c>
      <c r="AR9" s="210" t="s">
        <v>63</v>
      </c>
      <c r="AS9" s="120" t="s">
        <v>65</v>
      </c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</row>
    <row r="10" spans="1:67" ht="12.75">
      <c r="A10" s="25"/>
      <c r="B10" s="26"/>
      <c r="C10" s="26"/>
      <c r="D10" s="26"/>
      <c r="E10" s="26" t="s">
        <v>73</v>
      </c>
      <c r="F10" s="27" t="s">
        <v>74</v>
      </c>
      <c r="G10" s="27" t="s">
        <v>75</v>
      </c>
      <c r="H10" s="27" t="s">
        <v>76</v>
      </c>
      <c r="I10" s="27" t="s">
        <v>77</v>
      </c>
      <c r="J10" s="27" t="s">
        <v>78</v>
      </c>
      <c r="K10" s="27" t="s">
        <v>79</v>
      </c>
      <c r="L10" s="27" t="s">
        <v>80</v>
      </c>
      <c r="M10" s="27" t="s">
        <v>81</v>
      </c>
      <c r="N10" s="27" t="s">
        <v>82</v>
      </c>
      <c r="O10" s="27" t="s">
        <v>83</v>
      </c>
      <c r="P10" s="27" t="s">
        <v>84</v>
      </c>
      <c r="Q10" s="27" t="s">
        <v>85</v>
      </c>
      <c r="R10" s="27" t="s">
        <v>86</v>
      </c>
      <c r="S10" s="27" t="s">
        <v>87</v>
      </c>
      <c r="T10" s="27" t="s">
        <v>88</v>
      </c>
      <c r="U10" s="27" t="s">
        <v>89</v>
      </c>
      <c r="V10" s="27" t="s">
        <v>90</v>
      </c>
      <c r="W10" s="27" t="s">
        <v>91</v>
      </c>
      <c r="X10" s="27" t="s">
        <v>92</v>
      </c>
      <c r="Y10" s="28" t="s">
        <v>93</v>
      </c>
      <c r="Z10" s="28" t="s">
        <v>94</v>
      </c>
      <c r="AA10" s="27"/>
      <c r="AB10" s="27" t="s">
        <v>81</v>
      </c>
      <c r="AC10" s="28" t="s">
        <v>95</v>
      </c>
      <c r="AD10" s="28" t="s">
        <v>96</v>
      </c>
      <c r="AE10" s="28" t="s">
        <v>97</v>
      </c>
      <c r="AF10" s="28" t="s">
        <v>98</v>
      </c>
      <c r="AG10" s="27" t="s">
        <v>99</v>
      </c>
      <c r="AH10" s="28" t="s">
        <v>100</v>
      </c>
      <c r="AI10" s="27" t="s">
        <v>101</v>
      </c>
      <c r="AJ10" s="28" t="s">
        <v>102</v>
      </c>
      <c r="AK10" s="28" t="s">
        <v>103</v>
      </c>
      <c r="AL10" s="27" t="s">
        <v>104</v>
      </c>
      <c r="AM10" s="28"/>
      <c r="AN10" s="28"/>
      <c r="AO10" s="28"/>
      <c r="AP10" s="28"/>
      <c r="AQ10" s="28"/>
      <c r="AR10" s="194"/>
      <c r="AS10" s="27" t="s">
        <v>81</v>
      </c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</row>
    <row r="11" spans="1:67" ht="12.75">
      <c r="A11" s="25"/>
      <c r="B11" s="1"/>
      <c r="C11" s="1"/>
      <c r="D11" s="1"/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59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195"/>
      <c r="AS11" s="3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</row>
    <row r="12" spans="1:67" ht="12.75">
      <c r="A12" s="25"/>
      <c r="B12" s="1" t="s">
        <v>105</v>
      </c>
      <c r="C12" s="1"/>
      <c r="D12" s="1"/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59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195"/>
      <c r="AS12" s="3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</row>
    <row r="13" spans="1:67" ht="12.75">
      <c r="A13" s="25">
        <v>1</v>
      </c>
      <c r="B13" s="29"/>
      <c r="C13" s="29" t="s">
        <v>106</v>
      </c>
      <c r="D13" s="29"/>
      <c r="E13" s="29"/>
      <c r="F13" s="30">
        <v>220020</v>
      </c>
      <c r="G13" s="31"/>
      <c r="H13" s="31"/>
      <c r="I13" s="31"/>
      <c r="J13" s="31"/>
      <c r="K13" s="31"/>
      <c r="L13" s="31"/>
      <c r="M13" s="30">
        <f>SUM(F13:L13)</f>
        <v>220020</v>
      </c>
      <c r="N13" s="33">
        <v>1695</v>
      </c>
      <c r="O13" s="30">
        <v>-7839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0">
        <f>SUM(M13:AA13)</f>
        <v>213876</v>
      </c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196">
        <f>SUM(AC13:AP13)</f>
        <v>0</v>
      </c>
      <c r="AS13" s="30">
        <f>+AB13+AR13</f>
        <v>213876</v>
      </c>
      <c r="AT13" s="206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</row>
    <row r="14" spans="1:67" ht="12.75">
      <c r="A14" s="25">
        <v>2</v>
      </c>
      <c r="B14" s="1"/>
      <c r="C14" s="32" t="s">
        <v>107</v>
      </c>
      <c r="D14" s="32"/>
      <c r="E14" s="32"/>
      <c r="F14" s="32">
        <v>3486</v>
      </c>
      <c r="G14" s="33"/>
      <c r="H14" s="33"/>
      <c r="I14" s="33"/>
      <c r="J14" s="33"/>
      <c r="K14" s="33"/>
      <c r="L14" s="33"/>
      <c r="M14" s="32">
        <f>SUM(F14:L14)</f>
        <v>3486</v>
      </c>
      <c r="N14" s="33">
        <v>-1700</v>
      </c>
      <c r="O14" s="33">
        <v>-75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2">
        <f>SUM(M14:AA14)</f>
        <v>1711</v>
      </c>
      <c r="AC14" s="33"/>
      <c r="AD14" s="33"/>
      <c r="AE14" s="31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196">
        <f>SUM(AC14:AP14)</f>
        <v>0</v>
      </c>
      <c r="AS14" s="30">
        <f>+AB14+AR14</f>
        <v>1711</v>
      </c>
      <c r="AT14" s="206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</row>
    <row r="15" spans="1:67" ht="12.75">
      <c r="A15" s="25">
        <v>3</v>
      </c>
      <c r="B15" s="1"/>
      <c r="C15" s="32" t="s">
        <v>108</v>
      </c>
      <c r="D15" s="32"/>
      <c r="E15" s="32"/>
      <c r="F15" s="34">
        <v>135812</v>
      </c>
      <c r="G15" s="35"/>
      <c r="H15" s="35"/>
      <c r="I15" s="35"/>
      <c r="J15" s="35"/>
      <c r="K15" s="35"/>
      <c r="L15" s="35"/>
      <c r="M15" s="34">
        <f>SUM(F15:L15)</f>
        <v>135812</v>
      </c>
      <c r="N15" s="35">
        <v>-131399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4">
        <f>SUM(M15:AA15)</f>
        <v>4413</v>
      </c>
      <c r="AC15" s="35"/>
      <c r="AD15" s="35"/>
      <c r="AE15" s="35">
        <v>-2561</v>
      </c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197">
        <f>SUM(AC15:AP15)</f>
        <v>-2561</v>
      </c>
      <c r="AS15" s="192">
        <f>+AB15+AR15</f>
        <v>1852</v>
      </c>
      <c r="AT15" s="206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</row>
    <row r="16" spans="1:67" ht="12.75">
      <c r="A16" s="25">
        <v>4</v>
      </c>
      <c r="B16" s="1" t="s">
        <v>109</v>
      </c>
      <c r="C16" s="32"/>
      <c r="D16" s="32"/>
      <c r="E16" s="32"/>
      <c r="F16" s="32">
        <f aca="true" t="shared" si="0" ref="F16:T16">SUM(F13:F15)</f>
        <v>359318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  <c r="M16" s="32">
        <f t="shared" si="0"/>
        <v>359318</v>
      </c>
      <c r="N16" s="32">
        <f t="shared" si="0"/>
        <v>-131404</v>
      </c>
      <c r="O16" s="32">
        <f t="shared" si="0"/>
        <v>-7914</v>
      </c>
      <c r="P16" s="32">
        <f t="shared" si="0"/>
        <v>0</v>
      </c>
      <c r="Q16" s="32">
        <f t="shared" si="0"/>
        <v>0</v>
      </c>
      <c r="R16" s="32">
        <f t="shared" si="0"/>
        <v>0</v>
      </c>
      <c r="S16" s="32">
        <f t="shared" si="0"/>
        <v>0</v>
      </c>
      <c r="T16" s="32">
        <f t="shared" si="0"/>
        <v>0</v>
      </c>
      <c r="U16" s="32">
        <f aca="true" t="shared" si="1" ref="U16:Z16">SUM(U13:U15)</f>
        <v>0</v>
      </c>
      <c r="V16" s="32">
        <f t="shared" si="1"/>
        <v>0</v>
      </c>
      <c r="W16" s="32">
        <f t="shared" si="1"/>
        <v>0</v>
      </c>
      <c r="X16" s="32">
        <f t="shared" si="1"/>
        <v>0</v>
      </c>
      <c r="Y16" s="32">
        <f t="shared" si="1"/>
        <v>0</v>
      </c>
      <c r="Z16" s="32">
        <f t="shared" si="1"/>
        <v>0</v>
      </c>
      <c r="AA16" s="32"/>
      <c r="AB16" s="32">
        <f aca="true" t="shared" si="2" ref="AB16:AL16">SUM(AB13:AB15)</f>
        <v>220000</v>
      </c>
      <c r="AC16" s="32">
        <f t="shared" si="2"/>
        <v>0</v>
      </c>
      <c r="AD16" s="32">
        <f t="shared" si="2"/>
        <v>0</v>
      </c>
      <c r="AE16" s="32">
        <f t="shared" si="2"/>
        <v>-2561</v>
      </c>
      <c r="AF16" s="32">
        <f t="shared" si="2"/>
        <v>0</v>
      </c>
      <c r="AG16" s="32">
        <f t="shared" si="2"/>
        <v>0</v>
      </c>
      <c r="AH16" s="32">
        <f t="shared" si="2"/>
        <v>0</v>
      </c>
      <c r="AI16" s="32">
        <f t="shared" si="2"/>
        <v>0</v>
      </c>
      <c r="AJ16" s="32">
        <f t="shared" si="2"/>
        <v>0</v>
      </c>
      <c r="AK16" s="32">
        <f t="shared" si="2"/>
        <v>0</v>
      </c>
      <c r="AL16" s="32">
        <f t="shared" si="2"/>
        <v>0</v>
      </c>
      <c r="AM16" s="32"/>
      <c r="AN16" s="32"/>
      <c r="AO16" s="32"/>
      <c r="AP16" s="32"/>
      <c r="AQ16" s="32"/>
      <c r="AR16" s="195">
        <f>SUM(AR13:AR15)</f>
        <v>-2561</v>
      </c>
      <c r="AS16" s="32">
        <f>SUM(AS13:AS15)</f>
        <v>217439</v>
      </c>
      <c r="AT16" s="206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</row>
    <row r="17" spans="1:67" ht="12.75">
      <c r="A17" s="25"/>
      <c r="B17" s="1"/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2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196"/>
      <c r="AS17" s="32"/>
      <c r="AT17" s="206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</row>
    <row r="18" spans="1:67" ht="12.75">
      <c r="A18" s="25"/>
      <c r="B18" s="1" t="s">
        <v>110</v>
      </c>
      <c r="C18" s="32"/>
      <c r="D18" s="32"/>
      <c r="E18" s="32"/>
      <c r="F18" s="32"/>
      <c r="G18" s="33"/>
      <c r="H18" s="33"/>
      <c r="I18" s="33"/>
      <c r="J18" s="33"/>
      <c r="K18" s="33"/>
      <c r="L18" s="33"/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2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196"/>
      <c r="AS18" s="32"/>
      <c r="AT18" s="206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</row>
    <row r="19" spans="1:67" ht="12.75">
      <c r="A19" s="25">
        <v>5</v>
      </c>
      <c r="B19" s="1"/>
      <c r="C19" s="32" t="s">
        <v>111</v>
      </c>
      <c r="D19" s="32"/>
      <c r="E19" s="32"/>
      <c r="F19" s="32">
        <f>'[1]ResultSumGas'!$F14</f>
        <v>0</v>
      </c>
      <c r="G19" s="33"/>
      <c r="H19" s="33"/>
      <c r="I19" s="33"/>
      <c r="J19" s="33"/>
      <c r="K19" s="33"/>
      <c r="L19" s="33"/>
      <c r="M19" s="32">
        <f>SUM(F19:L19)</f>
        <v>0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2">
        <f>SUM(M19:AA19)</f>
        <v>0</v>
      </c>
      <c r="AC19" s="33"/>
      <c r="AD19" s="33"/>
      <c r="AE19" s="31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196"/>
      <c r="AS19" s="30">
        <f>+AB19+AR19</f>
        <v>0</v>
      </c>
      <c r="AT19" s="206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</row>
    <row r="20" spans="1:67" ht="12.75">
      <c r="A20" s="25"/>
      <c r="B20" s="1"/>
      <c r="C20" s="32" t="s">
        <v>112</v>
      </c>
      <c r="D20" s="32"/>
      <c r="E20" s="32"/>
      <c r="F20" s="32"/>
      <c r="G20" s="33"/>
      <c r="H20" s="33"/>
      <c r="I20" s="33"/>
      <c r="J20" s="33"/>
      <c r="K20" s="33"/>
      <c r="L20" s="33"/>
      <c r="M20" s="32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2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196"/>
      <c r="AS20" s="30">
        <f>+AB20+AR20</f>
        <v>0</v>
      </c>
      <c r="AT20" s="206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</row>
    <row r="21" spans="1:67" ht="12.75">
      <c r="A21" s="25">
        <v>6</v>
      </c>
      <c r="B21" s="1"/>
      <c r="C21" s="32"/>
      <c r="D21" s="32" t="s">
        <v>113</v>
      </c>
      <c r="E21" s="32"/>
      <c r="F21" s="32">
        <v>309146</v>
      </c>
      <c r="G21" s="33"/>
      <c r="H21" s="33"/>
      <c r="I21" s="33"/>
      <c r="J21" s="33"/>
      <c r="K21" s="33"/>
      <c r="L21" s="33"/>
      <c r="M21" s="32">
        <f>SUM(F21:L21)</f>
        <v>309146</v>
      </c>
      <c r="N21" s="33">
        <v>-151865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2">
        <f>SUM(M21:AA21)</f>
        <v>157281</v>
      </c>
      <c r="AC21" s="33"/>
      <c r="AD21" s="33"/>
      <c r="AE21" s="31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196">
        <f>SUM(AC21:AP21)</f>
        <v>0</v>
      </c>
      <c r="AS21" s="30">
        <f>+AB21+AR21</f>
        <v>157281</v>
      </c>
      <c r="AT21" s="206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</row>
    <row r="22" spans="1:67" ht="12.75">
      <c r="A22" s="25">
        <v>7</v>
      </c>
      <c r="B22" s="1"/>
      <c r="C22" s="32"/>
      <c r="D22" s="32" t="s">
        <v>114</v>
      </c>
      <c r="E22" s="32"/>
      <c r="F22" s="32">
        <v>737</v>
      </c>
      <c r="G22" s="33"/>
      <c r="H22" s="33"/>
      <c r="I22" s="33"/>
      <c r="J22" s="33"/>
      <c r="K22" s="33"/>
      <c r="L22" s="33"/>
      <c r="M22" s="32">
        <f>SUM(F22:L22)</f>
        <v>737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2">
        <f>SUM(M22:AA22)</f>
        <v>737</v>
      </c>
      <c r="AC22" s="33">
        <f>'C-1'!E13</f>
        <v>14.463225</v>
      </c>
      <c r="AD22" s="33"/>
      <c r="AE22" s="31"/>
      <c r="AF22" s="33"/>
      <c r="AG22" s="33"/>
      <c r="AH22" s="33"/>
      <c r="AI22" s="33"/>
      <c r="AJ22" s="33"/>
      <c r="AK22" s="33">
        <v>53</v>
      </c>
      <c r="AL22" s="33"/>
      <c r="AM22" s="33"/>
      <c r="AN22" s="33"/>
      <c r="AO22" s="33"/>
      <c r="AP22" s="33"/>
      <c r="AQ22" s="33"/>
      <c r="AR22" s="196">
        <f>SUM(AC22:AP22)</f>
        <v>67.463225</v>
      </c>
      <c r="AS22" s="30">
        <f>+AB22+AR22</f>
        <v>804.463225</v>
      </c>
      <c r="AT22" s="206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</row>
    <row r="23" spans="1:67" ht="12.75">
      <c r="A23" s="25">
        <v>8</v>
      </c>
      <c r="B23" s="1"/>
      <c r="C23" s="32"/>
      <c r="D23" s="32" t="s">
        <v>115</v>
      </c>
      <c r="E23" s="32"/>
      <c r="F23" s="34">
        <v>-18687</v>
      </c>
      <c r="G23" s="35"/>
      <c r="H23" s="35"/>
      <c r="I23" s="35"/>
      <c r="J23" s="35"/>
      <c r="K23" s="35"/>
      <c r="L23" s="35"/>
      <c r="M23" s="34">
        <f>SUM(F23:L23)</f>
        <v>-18687</v>
      </c>
      <c r="N23" s="35">
        <v>18687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4">
        <f>SUM(M23:AA23)</f>
        <v>0</v>
      </c>
      <c r="AC23" s="35"/>
      <c r="AD23" s="35"/>
      <c r="AE23" s="60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197">
        <f>SUM(AC23:AP23)</f>
        <v>0</v>
      </c>
      <c r="AS23" s="192">
        <f>+AB23+AR23</f>
        <v>0</v>
      </c>
      <c r="AT23" s="206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</row>
    <row r="24" spans="1:67" ht="12.75">
      <c r="A24" s="25">
        <v>9</v>
      </c>
      <c r="B24" s="1"/>
      <c r="C24" s="32"/>
      <c r="D24" s="32"/>
      <c r="E24" s="32" t="s">
        <v>116</v>
      </c>
      <c r="F24" s="32">
        <f aca="true" t="shared" si="3" ref="F24:T24">SUM(F20:F23)</f>
        <v>291196</v>
      </c>
      <c r="G24" s="32">
        <f t="shared" si="3"/>
        <v>0</v>
      </c>
      <c r="H24" s="32">
        <f t="shared" si="3"/>
        <v>0</v>
      </c>
      <c r="I24" s="32">
        <f t="shared" si="3"/>
        <v>0</v>
      </c>
      <c r="J24" s="32">
        <f t="shared" si="3"/>
        <v>0</v>
      </c>
      <c r="K24" s="32">
        <f t="shared" si="3"/>
        <v>0</v>
      </c>
      <c r="L24" s="32">
        <f t="shared" si="3"/>
        <v>0</v>
      </c>
      <c r="M24" s="32">
        <f t="shared" si="3"/>
        <v>291196</v>
      </c>
      <c r="N24" s="32">
        <f t="shared" si="3"/>
        <v>-133178</v>
      </c>
      <c r="O24" s="32">
        <f t="shared" si="3"/>
        <v>0</v>
      </c>
      <c r="P24" s="32">
        <f t="shared" si="3"/>
        <v>0</v>
      </c>
      <c r="Q24" s="32">
        <f t="shared" si="3"/>
        <v>0</v>
      </c>
      <c r="R24" s="32">
        <f t="shared" si="3"/>
        <v>0</v>
      </c>
      <c r="S24" s="32">
        <f t="shared" si="3"/>
        <v>0</v>
      </c>
      <c r="T24" s="32">
        <f t="shared" si="3"/>
        <v>0</v>
      </c>
      <c r="U24" s="32">
        <f aca="true" t="shared" si="4" ref="U24:Z24">SUM(U20:U23)</f>
        <v>0</v>
      </c>
      <c r="V24" s="32">
        <f t="shared" si="4"/>
        <v>0</v>
      </c>
      <c r="W24" s="32">
        <f t="shared" si="4"/>
        <v>0</v>
      </c>
      <c r="X24" s="32">
        <f t="shared" si="4"/>
        <v>0</v>
      </c>
      <c r="Y24" s="32">
        <f t="shared" si="4"/>
        <v>0</v>
      </c>
      <c r="Z24" s="32">
        <f t="shared" si="4"/>
        <v>0</v>
      </c>
      <c r="AA24" s="32"/>
      <c r="AB24" s="32">
        <f aca="true" t="shared" si="5" ref="AB24:AL24">SUM(AB20:AB23)</f>
        <v>158018</v>
      </c>
      <c r="AC24" s="32">
        <f t="shared" si="5"/>
        <v>14.463225</v>
      </c>
      <c r="AD24" s="32">
        <f t="shared" si="5"/>
        <v>0</v>
      </c>
      <c r="AE24" s="32">
        <f t="shared" si="5"/>
        <v>0</v>
      </c>
      <c r="AF24" s="32">
        <f t="shared" si="5"/>
        <v>0</v>
      </c>
      <c r="AG24" s="32">
        <f t="shared" si="5"/>
        <v>0</v>
      </c>
      <c r="AH24" s="32">
        <f t="shared" si="5"/>
        <v>0</v>
      </c>
      <c r="AI24" s="32">
        <f t="shared" si="5"/>
        <v>0</v>
      </c>
      <c r="AJ24" s="32">
        <f t="shared" si="5"/>
        <v>0</v>
      </c>
      <c r="AK24" s="32">
        <f t="shared" si="5"/>
        <v>53</v>
      </c>
      <c r="AL24" s="32">
        <f t="shared" si="5"/>
        <v>0</v>
      </c>
      <c r="AM24" s="32">
        <f>SUM(AM20:AM23)</f>
        <v>0</v>
      </c>
      <c r="AN24" s="32">
        <f>SUM(AN20:AN23)</f>
        <v>0</v>
      </c>
      <c r="AO24" s="32">
        <f>SUM(AO20:AO23)</f>
        <v>0</v>
      </c>
      <c r="AP24" s="32">
        <f>SUM(AP20:AP23)</f>
        <v>0</v>
      </c>
      <c r="AQ24" s="32">
        <f>SUM(AQ20:AQ23)</f>
        <v>0</v>
      </c>
      <c r="AR24" s="195">
        <f>SUM(AR21:AR23)</f>
        <v>67.463225</v>
      </c>
      <c r="AS24" s="32">
        <f>SUM(AS20:AS23)</f>
        <v>158085.463225</v>
      </c>
      <c r="AT24" s="206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</row>
    <row r="25" spans="1:67" ht="12.75">
      <c r="A25" s="25"/>
      <c r="B25" s="1"/>
      <c r="C25" s="32" t="s">
        <v>117</v>
      </c>
      <c r="D25" s="32"/>
      <c r="E25" s="32"/>
      <c r="F25" s="32"/>
      <c r="G25" s="33"/>
      <c r="H25" s="33"/>
      <c r="I25" s="33"/>
      <c r="J25" s="33"/>
      <c r="K25" s="33"/>
      <c r="L25" s="33"/>
      <c r="M25" s="32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2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196"/>
      <c r="AS25" s="32"/>
      <c r="AT25" s="206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</row>
    <row r="26" spans="1:67" ht="12.75">
      <c r="A26" s="25">
        <v>10</v>
      </c>
      <c r="B26" s="1"/>
      <c r="C26" s="32"/>
      <c r="D26" s="32" t="s">
        <v>118</v>
      </c>
      <c r="E26" s="32"/>
      <c r="F26" s="32">
        <v>408</v>
      </c>
      <c r="G26" s="33"/>
      <c r="H26" s="33"/>
      <c r="I26" s="33"/>
      <c r="J26" s="33"/>
      <c r="K26" s="33"/>
      <c r="L26" s="33"/>
      <c r="M26" s="32">
        <f>SUM(F26:L26)</f>
        <v>408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2">
        <f>SUM(M26:AA26)</f>
        <v>408</v>
      </c>
      <c r="AC26" s="33">
        <f>'C-1'!E18</f>
        <v>0.27585000000000004</v>
      </c>
      <c r="AD26" s="33"/>
      <c r="AE26" s="31"/>
      <c r="AF26" s="33"/>
      <c r="AG26" s="33"/>
      <c r="AH26" s="33"/>
      <c r="AI26" s="33"/>
      <c r="AJ26" s="33"/>
      <c r="AK26" s="33">
        <v>1</v>
      </c>
      <c r="AL26" s="33"/>
      <c r="AM26" s="33"/>
      <c r="AN26" s="33"/>
      <c r="AO26" s="33"/>
      <c r="AP26" s="33"/>
      <c r="AQ26" s="33"/>
      <c r="AR26" s="196">
        <f>SUM(AC26:AP26)</f>
        <v>1.2758500000000002</v>
      </c>
      <c r="AS26" s="30">
        <f>+AB26+AR26</f>
        <v>409.27585</v>
      </c>
      <c r="AT26" s="206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</row>
    <row r="27" spans="1:67" ht="12.75">
      <c r="A27" s="25">
        <v>11</v>
      </c>
      <c r="B27" s="1"/>
      <c r="C27" s="32"/>
      <c r="D27" s="32" t="s">
        <v>22</v>
      </c>
      <c r="E27" s="32"/>
      <c r="F27" s="32">
        <v>260</v>
      </c>
      <c r="G27" s="33"/>
      <c r="H27" s="33"/>
      <c r="I27" s="33"/>
      <c r="J27" s="33"/>
      <c r="K27" s="33"/>
      <c r="L27" s="33">
        <v>-15</v>
      </c>
      <c r="M27" s="32">
        <f>SUM(F27:L27)</f>
        <v>245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2">
        <f>SUM(M27:AA27)</f>
        <v>245</v>
      </c>
      <c r="AC27" s="33"/>
      <c r="AD27" s="33"/>
      <c r="AE27" s="31">
        <v>155</v>
      </c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196">
        <f>SUM(AC27:AP27)</f>
        <v>155</v>
      </c>
      <c r="AS27" s="30">
        <f>+AB27+AR27</f>
        <v>400</v>
      </c>
      <c r="AT27" s="206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</row>
    <row r="28" spans="1:67" ht="12.75">
      <c r="A28" s="25">
        <v>12</v>
      </c>
      <c r="B28" s="1"/>
      <c r="C28" s="32"/>
      <c r="D28" s="32" t="s">
        <v>56</v>
      </c>
      <c r="E28" s="32"/>
      <c r="F28" s="34">
        <v>113</v>
      </c>
      <c r="G28" s="35"/>
      <c r="H28" s="35"/>
      <c r="I28" s="35"/>
      <c r="J28" s="35"/>
      <c r="K28" s="35"/>
      <c r="L28" s="35"/>
      <c r="M28" s="34">
        <f>SUM(F28:L28)</f>
        <v>113</v>
      </c>
      <c r="N28" s="35"/>
      <c r="O28" s="35"/>
      <c r="P28" s="35">
        <v>-16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4">
        <f>SUM(M28:AA28)</f>
        <v>97</v>
      </c>
      <c r="AC28" s="35"/>
      <c r="AD28" s="35"/>
      <c r="AE28" s="60">
        <v>129</v>
      </c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197">
        <f>SUM(AC28:AP28)</f>
        <v>129</v>
      </c>
      <c r="AS28" s="192">
        <f>+AB28+AR28</f>
        <v>226</v>
      </c>
      <c r="AT28" s="206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</row>
    <row r="29" spans="1:67" ht="12.75">
      <c r="A29" s="25">
        <v>13</v>
      </c>
      <c r="B29" s="1"/>
      <c r="C29" s="32"/>
      <c r="D29" s="32"/>
      <c r="E29" s="32" t="s">
        <v>119</v>
      </c>
      <c r="F29" s="32">
        <f aca="true" t="shared" si="6" ref="F29:T29">SUM(F26:F28)</f>
        <v>781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-15</v>
      </c>
      <c r="M29" s="32">
        <f t="shared" si="6"/>
        <v>766</v>
      </c>
      <c r="N29" s="32">
        <f t="shared" si="6"/>
        <v>0</v>
      </c>
      <c r="O29" s="32">
        <f t="shared" si="6"/>
        <v>0</v>
      </c>
      <c r="P29" s="32">
        <f t="shared" si="6"/>
        <v>-16</v>
      </c>
      <c r="Q29" s="32">
        <f t="shared" si="6"/>
        <v>0</v>
      </c>
      <c r="R29" s="32">
        <f t="shared" si="6"/>
        <v>0</v>
      </c>
      <c r="S29" s="32">
        <f t="shared" si="6"/>
        <v>0</v>
      </c>
      <c r="T29" s="32">
        <f t="shared" si="6"/>
        <v>0</v>
      </c>
      <c r="U29" s="32">
        <f>SUM(U26:U28)</f>
        <v>0</v>
      </c>
      <c r="V29" s="32">
        <f aca="true" t="shared" si="7" ref="V29:AL29">SUM(V26:V28)</f>
        <v>0</v>
      </c>
      <c r="W29" s="32">
        <f t="shared" si="7"/>
        <v>0</v>
      </c>
      <c r="X29" s="32">
        <f t="shared" si="7"/>
        <v>0</v>
      </c>
      <c r="Y29" s="32">
        <f>SUM(Y26:Y28)</f>
        <v>0</v>
      </c>
      <c r="Z29" s="32">
        <f>SUM(Z26:Z28)</f>
        <v>0</v>
      </c>
      <c r="AA29" s="32"/>
      <c r="AB29" s="32">
        <f t="shared" si="7"/>
        <v>750</v>
      </c>
      <c r="AC29" s="32">
        <f>SUM(AC26:AC28)</f>
        <v>0.27585000000000004</v>
      </c>
      <c r="AD29" s="32">
        <f>SUM(AD26:AD28)</f>
        <v>0</v>
      </c>
      <c r="AE29" s="32">
        <f>SUM(AE26:AE28)</f>
        <v>284</v>
      </c>
      <c r="AF29" s="32">
        <f t="shared" si="7"/>
        <v>0</v>
      </c>
      <c r="AG29" s="32">
        <f t="shared" si="7"/>
        <v>0</v>
      </c>
      <c r="AH29" s="32">
        <f>SUM(AH26:AH28)</f>
        <v>0</v>
      </c>
      <c r="AI29" s="32">
        <f t="shared" si="7"/>
        <v>0</v>
      </c>
      <c r="AJ29" s="32">
        <f t="shared" si="7"/>
        <v>0</v>
      </c>
      <c r="AK29" s="32">
        <f t="shared" si="7"/>
        <v>1</v>
      </c>
      <c r="AL29" s="32">
        <f t="shared" si="7"/>
        <v>0</v>
      </c>
      <c r="AM29" s="32">
        <f aca="true" t="shared" si="8" ref="AM29:AS29">SUM(AM26:AM28)</f>
        <v>0</v>
      </c>
      <c r="AN29" s="32">
        <f t="shared" si="8"/>
        <v>0</v>
      </c>
      <c r="AO29" s="32">
        <f t="shared" si="8"/>
        <v>0</v>
      </c>
      <c r="AP29" s="32">
        <f t="shared" si="8"/>
        <v>0</v>
      </c>
      <c r="AQ29" s="32">
        <f t="shared" si="8"/>
        <v>0</v>
      </c>
      <c r="AR29" s="195">
        <f t="shared" si="8"/>
        <v>285.27585</v>
      </c>
      <c r="AS29" s="32">
        <f t="shared" si="8"/>
        <v>1035.27585</v>
      </c>
      <c r="AT29" s="206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</row>
    <row r="30" spans="1:67" ht="12.75">
      <c r="A30" s="25"/>
      <c r="B30" s="1"/>
      <c r="C30" s="32" t="s">
        <v>120</v>
      </c>
      <c r="D30" s="32"/>
      <c r="E30" s="32"/>
      <c r="F30" s="32"/>
      <c r="G30" s="33"/>
      <c r="H30" s="33"/>
      <c r="I30" s="33"/>
      <c r="J30" s="33"/>
      <c r="K30" s="33"/>
      <c r="L30" s="33"/>
      <c r="M30" s="3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2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96"/>
      <c r="AS30" s="32"/>
      <c r="AT30" s="206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</row>
    <row r="31" spans="1:67" ht="12.75">
      <c r="A31" s="25">
        <v>14</v>
      </c>
      <c r="B31" s="1"/>
      <c r="C31" s="32"/>
      <c r="D31" s="32" t="s">
        <v>118</v>
      </c>
      <c r="E31" s="32"/>
      <c r="F31" s="32">
        <v>6260</v>
      </c>
      <c r="G31" s="33"/>
      <c r="H31" s="33"/>
      <c r="I31" s="33"/>
      <c r="J31" s="33"/>
      <c r="K31" s="33"/>
      <c r="L31" s="33"/>
      <c r="M31" s="32">
        <f>SUM(F31:L31)</f>
        <v>6260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2">
        <f>SUM(M31:AA31)</f>
        <v>6260</v>
      </c>
      <c r="AC31" s="33">
        <f>'C-1'!E24</f>
        <v>189.81838499999995</v>
      </c>
      <c r="AD31" s="33"/>
      <c r="AE31" s="31"/>
      <c r="AF31" s="33"/>
      <c r="AG31" s="33"/>
      <c r="AH31" s="33"/>
      <c r="AI31" s="33"/>
      <c r="AJ31" s="33"/>
      <c r="AK31" s="33">
        <v>304</v>
      </c>
      <c r="AL31" s="33"/>
      <c r="AM31" s="33"/>
      <c r="AN31" s="33"/>
      <c r="AO31" s="33"/>
      <c r="AP31" s="33"/>
      <c r="AQ31" s="33"/>
      <c r="AR31" s="196">
        <f>SUM(AC31:AP31)</f>
        <v>493.8183849999999</v>
      </c>
      <c r="AS31" s="30">
        <f>+AB31+AR31</f>
        <v>6753.818385</v>
      </c>
      <c r="AT31" s="206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</row>
    <row r="32" spans="1:67" ht="12.75">
      <c r="A32" s="25">
        <v>15</v>
      </c>
      <c r="B32" s="1"/>
      <c r="C32" s="32"/>
      <c r="D32" s="32" t="s">
        <v>22</v>
      </c>
      <c r="E32" s="32"/>
      <c r="F32" s="32">
        <v>5659</v>
      </c>
      <c r="G32" s="33"/>
      <c r="H32" s="33"/>
      <c r="I32" s="33"/>
      <c r="J32" s="33"/>
      <c r="K32" s="33"/>
      <c r="L32" s="33">
        <v>-53</v>
      </c>
      <c r="M32" s="32">
        <f>SUM(F32:L32)</f>
        <v>5606</v>
      </c>
      <c r="N32" s="33"/>
      <c r="O32" s="33"/>
      <c r="P32" s="33"/>
      <c r="Q32" s="33"/>
      <c r="R32" s="33"/>
      <c r="S32" s="33"/>
      <c r="T32" s="33"/>
      <c r="U32" s="33">
        <v>-13</v>
      </c>
      <c r="V32" s="33"/>
      <c r="W32" s="33"/>
      <c r="X32" s="33"/>
      <c r="Y32" s="33"/>
      <c r="Z32" s="33"/>
      <c r="AA32" s="33"/>
      <c r="AB32" s="32">
        <f>SUM(M32:AA32)</f>
        <v>5593</v>
      </c>
      <c r="AC32" s="33"/>
      <c r="AD32" s="33"/>
      <c r="AE32" s="31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196">
        <f>SUM(AC32:AP32)</f>
        <v>0</v>
      </c>
      <c r="AS32" s="204">
        <f>+AB32+AR32</f>
        <v>5593</v>
      </c>
      <c r="AT32" s="206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</row>
    <row r="33" spans="1:67" ht="12.75">
      <c r="A33" s="25">
        <v>16</v>
      </c>
      <c r="B33" s="1"/>
      <c r="C33" s="32"/>
      <c r="D33" s="32" t="s">
        <v>56</v>
      </c>
      <c r="E33" s="32"/>
      <c r="F33" s="34">
        <v>18282</v>
      </c>
      <c r="G33" s="35"/>
      <c r="H33" s="35"/>
      <c r="I33" s="35"/>
      <c r="J33" s="35"/>
      <c r="K33" s="35"/>
      <c r="L33" s="35"/>
      <c r="M33" s="34">
        <f>SUM(F33:L33)</f>
        <v>18282</v>
      </c>
      <c r="N33" s="35">
        <v>67</v>
      </c>
      <c r="O33" s="35">
        <v>-7908</v>
      </c>
      <c r="P33" s="35">
        <v>-280</v>
      </c>
      <c r="Q33" s="35"/>
      <c r="R33" s="35"/>
      <c r="S33" s="35"/>
      <c r="T33" s="35"/>
      <c r="U33" s="35"/>
      <c r="V33" s="35"/>
      <c r="W33" s="35"/>
      <c r="X33" s="35">
        <v>79</v>
      </c>
      <c r="Y33" s="35"/>
      <c r="Z33" s="35"/>
      <c r="AA33" s="35"/>
      <c r="AB33" s="34">
        <f>SUM(M33:AA33)</f>
        <v>10240</v>
      </c>
      <c r="AC33" s="35"/>
      <c r="AD33" s="35"/>
      <c r="AE33" s="60">
        <v>-98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197">
        <f>SUM(AC33:AP33)</f>
        <v>-98</v>
      </c>
      <c r="AS33" s="192">
        <f>+AB33+AR33</f>
        <v>10142</v>
      </c>
      <c r="AT33" s="206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</row>
    <row r="34" spans="1:67" ht="12.75">
      <c r="A34" s="25">
        <v>17</v>
      </c>
      <c r="B34" s="1"/>
      <c r="C34" s="32"/>
      <c r="D34" s="32"/>
      <c r="E34" s="32" t="s">
        <v>121</v>
      </c>
      <c r="F34" s="32">
        <f aca="true" t="shared" si="9" ref="F34:T34">SUM(F31:F33)</f>
        <v>30201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-53</v>
      </c>
      <c r="M34" s="32">
        <f t="shared" si="9"/>
        <v>30148</v>
      </c>
      <c r="N34" s="32">
        <f t="shared" si="9"/>
        <v>67</v>
      </c>
      <c r="O34" s="32">
        <f t="shared" si="9"/>
        <v>-7908</v>
      </c>
      <c r="P34" s="32">
        <f t="shared" si="9"/>
        <v>-280</v>
      </c>
      <c r="Q34" s="32">
        <f t="shared" si="9"/>
        <v>0</v>
      </c>
      <c r="R34" s="32">
        <f t="shared" si="9"/>
        <v>0</v>
      </c>
      <c r="S34" s="32">
        <f t="shared" si="9"/>
        <v>0</v>
      </c>
      <c r="T34" s="32">
        <f t="shared" si="9"/>
        <v>0</v>
      </c>
      <c r="U34" s="32">
        <f aca="true" t="shared" si="10" ref="U34:Z34">SUM(U31:U33)</f>
        <v>-13</v>
      </c>
      <c r="V34" s="32">
        <f t="shared" si="10"/>
        <v>0</v>
      </c>
      <c r="W34" s="32">
        <f t="shared" si="10"/>
        <v>0</v>
      </c>
      <c r="X34" s="32">
        <f t="shared" si="10"/>
        <v>79</v>
      </c>
      <c r="Y34" s="32">
        <f t="shared" si="10"/>
        <v>0</v>
      </c>
      <c r="Z34" s="32">
        <f t="shared" si="10"/>
        <v>0</v>
      </c>
      <c r="AA34" s="32"/>
      <c r="AB34" s="32">
        <f aca="true" t="shared" si="11" ref="AB34:AL34">SUM(AB31:AB33)</f>
        <v>22093</v>
      </c>
      <c r="AC34" s="32">
        <f>SUM(AC31:AC33)</f>
        <v>189.81838499999995</v>
      </c>
      <c r="AD34" s="32">
        <f t="shared" si="11"/>
        <v>0</v>
      </c>
      <c r="AE34" s="32">
        <f>SUM(AE31:AE33)</f>
        <v>-98</v>
      </c>
      <c r="AF34" s="32">
        <f t="shared" si="11"/>
        <v>0</v>
      </c>
      <c r="AG34" s="32">
        <f t="shared" si="11"/>
        <v>0</v>
      </c>
      <c r="AH34" s="32">
        <f>SUM(AH31:AH33)</f>
        <v>0</v>
      </c>
      <c r="AI34" s="32">
        <f t="shared" si="11"/>
        <v>0</v>
      </c>
      <c r="AJ34" s="32">
        <f t="shared" si="11"/>
        <v>0</v>
      </c>
      <c r="AK34" s="32">
        <f t="shared" si="11"/>
        <v>304</v>
      </c>
      <c r="AL34" s="32">
        <f t="shared" si="11"/>
        <v>0</v>
      </c>
      <c r="AM34" s="32">
        <f aca="true" t="shared" si="12" ref="AM34:AS34">SUM(AM31:AM33)</f>
        <v>0</v>
      </c>
      <c r="AN34" s="32">
        <f t="shared" si="12"/>
        <v>0</v>
      </c>
      <c r="AO34" s="32">
        <f t="shared" si="12"/>
        <v>0</v>
      </c>
      <c r="AP34" s="32">
        <f t="shared" si="12"/>
        <v>0</v>
      </c>
      <c r="AQ34" s="32">
        <f t="shared" si="12"/>
        <v>0</v>
      </c>
      <c r="AR34" s="32">
        <f t="shared" si="12"/>
        <v>395.8183849999999</v>
      </c>
      <c r="AS34" s="32">
        <f t="shared" si="12"/>
        <v>22488.818385</v>
      </c>
      <c r="AT34" s="206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</row>
    <row r="35" spans="1:67" ht="12.75">
      <c r="A35" s="25"/>
      <c r="B35" s="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195"/>
      <c r="AS35" s="32"/>
      <c r="AT35" s="206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</row>
    <row r="36" spans="1:67" ht="12.75">
      <c r="A36" s="25">
        <v>18</v>
      </c>
      <c r="B36" s="1" t="s">
        <v>122</v>
      </c>
      <c r="C36" s="32"/>
      <c r="D36" s="32"/>
      <c r="E36" s="32"/>
      <c r="F36" s="32">
        <v>4884</v>
      </c>
      <c r="G36" s="36"/>
      <c r="H36" s="36"/>
      <c r="I36" s="32"/>
      <c r="J36" s="32"/>
      <c r="K36" s="36"/>
      <c r="L36" s="36"/>
      <c r="M36" s="32">
        <f>SUM(F36:L36)</f>
        <v>4884</v>
      </c>
      <c r="N36" s="32">
        <v>5</v>
      </c>
      <c r="O36" s="32"/>
      <c r="P36" s="32"/>
      <c r="Q36" s="32">
        <v>-143</v>
      </c>
      <c r="R36" s="32"/>
      <c r="S36" s="36"/>
      <c r="T36" s="36"/>
      <c r="U36" s="32"/>
      <c r="V36" s="32">
        <v>-85</v>
      </c>
      <c r="W36" s="32"/>
      <c r="X36" s="32"/>
      <c r="Y36" s="36"/>
      <c r="Z36" s="36"/>
      <c r="AA36" s="32"/>
      <c r="AB36" s="32">
        <f>SUM(M36:AA36)</f>
        <v>4661</v>
      </c>
      <c r="AC36" s="36">
        <f>'C-1'!E29</f>
        <v>99.94973</v>
      </c>
      <c r="AD36" s="36"/>
      <c r="AE36" s="31">
        <v>-7</v>
      </c>
      <c r="AF36" s="36"/>
      <c r="AG36" s="32"/>
      <c r="AH36" s="32"/>
      <c r="AI36" s="32"/>
      <c r="AJ36" s="32"/>
      <c r="AK36" s="32">
        <v>194</v>
      </c>
      <c r="AL36" s="32"/>
      <c r="AM36" s="36"/>
      <c r="AN36" s="36"/>
      <c r="AO36" s="36"/>
      <c r="AP36" s="36"/>
      <c r="AQ36" s="36"/>
      <c r="AR36" s="196">
        <f>SUM(AC36:AP36)</f>
        <v>286.94973</v>
      </c>
      <c r="AS36" s="30">
        <f>+AB36+AR36</f>
        <v>4947.94973</v>
      </c>
      <c r="AT36" s="206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</row>
    <row r="37" spans="1:67" ht="12.75">
      <c r="A37" s="25">
        <v>19</v>
      </c>
      <c r="B37" s="1" t="s">
        <v>123</v>
      </c>
      <c r="C37" s="32"/>
      <c r="D37" s="32"/>
      <c r="E37" s="32"/>
      <c r="F37" s="32">
        <v>5002</v>
      </c>
      <c r="G37" s="33"/>
      <c r="H37" s="33"/>
      <c r="I37" s="33"/>
      <c r="J37" s="33"/>
      <c r="K37" s="33"/>
      <c r="L37" s="33"/>
      <c r="M37" s="32">
        <f>SUM(F37:L37)</f>
        <v>5002</v>
      </c>
      <c r="N37" s="33">
        <v>-4270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2">
        <f>SUM(M37:AA37)</f>
        <v>732</v>
      </c>
      <c r="AC37" s="33">
        <f>'C-1'!E30</f>
        <v>5.26085</v>
      </c>
      <c r="AD37" s="33"/>
      <c r="AE37" s="31"/>
      <c r="AF37" s="33"/>
      <c r="AG37" s="33"/>
      <c r="AH37" s="33"/>
      <c r="AI37" s="33"/>
      <c r="AJ37" s="33"/>
      <c r="AK37" s="33">
        <v>12</v>
      </c>
      <c r="AL37" s="33"/>
      <c r="AM37" s="33"/>
      <c r="AN37" s="33"/>
      <c r="AO37" s="33"/>
      <c r="AP37" s="33"/>
      <c r="AQ37" s="33"/>
      <c r="AR37" s="196">
        <f>SUM(AC37:AP37)</f>
        <v>17.260849999999998</v>
      </c>
      <c r="AS37" s="30">
        <f>+AB37+AR37</f>
        <v>749.26085</v>
      </c>
      <c r="AT37" s="206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</row>
    <row r="38" spans="1:67" ht="12.75">
      <c r="A38" s="25">
        <v>20</v>
      </c>
      <c r="B38" s="1" t="s">
        <v>124</v>
      </c>
      <c r="C38" s="32"/>
      <c r="D38" s="32"/>
      <c r="E38" s="32"/>
      <c r="F38" s="32">
        <v>545</v>
      </c>
      <c r="G38" s="33"/>
      <c r="H38" s="33"/>
      <c r="I38" s="33"/>
      <c r="J38" s="33"/>
      <c r="K38" s="33"/>
      <c r="L38" s="33"/>
      <c r="M38" s="32">
        <f>SUM(F38:L38)</f>
        <v>545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2">
        <f>SUM(M38:AA38)</f>
        <v>545</v>
      </c>
      <c r="AC38" s="33">
        <f>'C-1'!E31</f>
        <v>8.146625</v>
      </c>
      <c r="AD38" s="33"/>
      <c r="AE38" s="31"/>
      <c r="AF38" s="33"/>
      <c r="AG38" s="33"/>
      <c r="AH38" s="33"/>
      <c r="AI38" s="33"/>
      <c r="AJ38" s="33"/>
      <c r="AK38" s="33">
        <v>18</v>
      </c>
      <c r="AL38" s="33"/>
      <c r="AM38" s="33"/>
      <c r="AN38" s="33"/>
      <c r="AO38" s="33"/>
      <c r="AP38" s="33"/>
      <c r="AQ38" s="33"/>
      <c r="AR38" s="196">
        <f>SUM(AC38:AP38)</f>
        <v>26.146625</v>
      </c>
      <c r="AS38" s="30">
        <f>+AB38+AR38</f>
        <v>571.146625</v>
      </c>
      <c r="AT38" s="206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</row>
    <row r="39" spans="1:67" ht="12.75">
      <c r="A39" s="25"/>
      <c r="B39" s="1" t="s">
        <v>125</v>
      </c>
      <c r="C39" s="32"/>
      <c r="D39" s="32"/>
      <c r="E39" s="32"/>
      <c r="F39" s="32"/>
      <c r="G39" s="33"/>
      <c r="H39" s="33"/>
      <c r="I39" s="33"/>
      <c r="J39" s="33"/>
      <c r="K39" s="33"/>
      <c r="L39" s="33"/>
      <c r="M39" s="32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2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196"/>
      <c r="AS39" s="32"/>
      <c r="AT39" s="206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</row>
    <row r="40" spans="1:67" ht="12.75">
      <c r="A40" s="25">
        <v>21</v>
      </c>
      <c r="B40" s="1"/>
      <c r="C40" s="32" t="s">
        <v>118</v>
      </c>
      <c r="D40" s="32"/>
      <c r="E40" s="32"/>
      <c r="F40" s="32">
        <v>9202</v>
      </c>
      <c r="G40" s="33"/>
      <c r="H40" s="33"/>
      <c r="I40" s="33"/>
      <c r="J40" s="33"/>
      <c r="K40" s="33"/>
      <c r="L40" s="33"/>
      <c r="M40" s="32">
        <f>SUM(F40:L40)</f>
        <v>9202</v>
      </c>
      <c r="N40" s="33">
        <v>3</v>
      </c>
      <c r="O40" s="33"/>
      <c r="P40" s="33"/>
      <c r="Q40" s="33"/>
      <c r="R40" s="33">
        <v>14</v>
      </c>
      <c r="S40" s="33">
        <v>-65</v>
      </c>
      <c r="T40" s="33"/>
      <c r="U40" s="33"/>
      <c r="V40" s="33"/>
      <c r="W40" s="33">
        <v>-2</v>
      </c>
      <c r="X40" s="33"/>
      <c r="Y40" s="33">
        <v>-86</v>
      </c>
      <c r="Z40" s="33"/>
      <c r="AA40" s="33"/>
      <c r="AB40" s="32">
        <f>SUM(M40:AA40)</f>
        <v>9066</v>
      </c>
      <c r="AC40" s="33">
        <f>'C-1'!E34</f>
        <v>81.19235499999999</v>
      </c>
      <c r="AD40" s="33">
        <f>'C-2'!E15/1000</f>
        <v>5.877557840000001</v>
      </c>
      <c r="AE40" s="31">
        <v>-5</v>
      </c>
      <c r="AF40" s="33"/>
      <c r="AG40" s="33"/>
      <c r="AH40" s="33"/>
      <c r="AI40" s="33">
        <f>'C-3'!D15/1000</f>
        <v>-4.814</v>
      </c>
      <c r="AJ40" s="33"/>
      <c r="AK40" s="33">
        <v>465</v>
      </c>
      <c r="AL40" s="33">
        <f>'C-4'!E17/1000</f>
        <v>60.398</v>
      </c>
      <c r="AM40" s="33">
        <f>'C-5'!E15/1000</f>
        <v>-108.584</v>
      </c>
      <c r="AN40" s="33">
        <f>'C-6'!E22/1000</f>
        <v>-6.250580044135</v>
      </c>
      <c r="AO40" s="33">
        <f>'C-7'!E23/1000</f>
        <v>-75.22590206131</v>
      </c>
      <c r="AP40" s="33">
        <f>'C-8'!E24/1000</f>
        <v>52.386193600000006</v>
      </c>
      <c r="AQ40" s="33">
        <f>'C-9'!E14/1000</f>
        <v>-21.4310762596352</v>
      </c>
      <c r="AR40" s="196">
        <f>SUM(AC40:AQ40)</f>
        <v>443.54854807491984</v>
      </c>
      <c r="AS40" s="30">
        <f>+AB40+AR40</f>
        <v>9509.54854807492</v>
      </c>
      <c r="AT40" s="206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</row>
    <row r="41" spans="1:67" ht="12.75">
      <c r="A41" s="25">
        <v>22</v>
      </c>
      <c r="B41" s="1"/>
      <c r="C41" s="32" t="s">
        <v>22</v>
      </c>
      <c r="D41" s="32"/>
      <c r="E41" s="32"/>
      <c r="F41" s="32">
        <v>1414</v>
      </c>
      <c r="G41" s="33"/>
      <c r="H41" s="33"/>
      <c r="I41" s="33"/>
      <c r="J41" s="33"/>
      <c r="K41" s="33"/>
      <c r="L41" s="33">
        <v>-15</v>
      </c>
      <c r="M41" s="32">
        <f>SUM(F41:L41)</f>
        <v>1399</v>
      </c>
      <c r="N41" s="33">
        <v>356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2">
        <f>SUM(M41:AA41)</f>
        <v>1755</v>
      </c>
      <c r="AC41" s="33"/>
      <c r="AD41" s="33"/>
      <c r="AE41" s="31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196">
        <f>SUM(AC41:AP41)</f>
        <v>0</v>
      </c>
      <c r="AS41" s="30">
        <f>+AB41+AR41</f>
        <v>1755</v>
      </c>
      <c r="AT41" s="206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</row>
    <row r="42" spans="1:67" ht="12.75">
      <c r="A42" s="25">
        <v>23</v>
      </c>
      <c r="B42" s="1"/>
      <c r="C42" s="32" t="s">
        <v>56</v>
      </c>
      <c r="D42" s="32"/>
      <c r="E42" s="32"/>
      <c r="F42" s="34">
        <v>23</v>
      </c>
      <c r="G42" s="35"/>
      <c r="H42" s="35"/>
      <c r="I42" s="35"/>
      <c r="J42" s="35"/>
      <c r="K42" s="35"/>
      <c r="L42" s="35"/>
      <c r="M42" s="34">
        <f>SUM(F42:L42)</f>
        <v>23</v>
      </c>
      <c r="N42" s="35"/>
      <c r="O42" s="35"/>
      <c r="P42" s="35">
        <v>-1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4">
        <f>SUM(M42:AA42)</f>
        <v>22</v>
      </c>
      <c r="AC42" s="35"/>
      <c r="AD42" s="35"/>
      <c r="AE42" s="60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197">
        <f>SUM(AC42:AP42)</f>
        <v>0</v>
      </c>
      <c r="AS42" s="192">
        <f>+AB42+AR42</f>
        <v>22</v>
      </c>
      <c r="AT42" s="206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</row>
    <row r="43" spans="1:67" ht="12.75">
      <c r="A43" s="25">
        <v>24</v>
      </c>
      <c r="B43" s="1"/>
      <c r="C43" s="32"/>
      <c r="D43" s="32"/>
      <c r="E43" s="32" t="s">
        <v>126</v>
      </c>
      <c r="F43" s="34">
        <f aca="true" t="shared" si="13" ref="F43:T43">SUM(F40:F42)</f>
        <v>10639</v>
      </c>
      <c r="G43" s="34">
        <f t="shared" si="13"/>
        <v>0</v>
      </c>
      <c r="H43" s="34">
        <f t="shared" si="13"/>
        <v>0</v>
      </c>
      <c r="I43" s="34">
        <f t="shared" si="13"/>
        <v>0</v>
      </c>
      <c r="J43" s="34">
        <f t="shared" si="13"/>
        <v>0</v>
      </c>
      <c r="K43" s="34">
        <f t="shared" si="13"/>
        <v>0</v>
      </c>
      <c r="L43" s="34">
        <f t="shared" si="13"/>
        <v>-15</v>
      </c>
      <c r="M43" s="34">
        <f t="shared" si="13"/>
        <v>10624</v>
      </c>
      <c r="N43" s="34">
        <f t="shared" si="13"/>
        <v>359</v>
      </c>
      <c r="O43" s="34">
        <f t="shared" si="13"/>
        <v>0</v>
      </c>
      <c r="P43" s="34">
        <f t="shared" si="13"/>
        <v>-1</v>
      </c>
      <c r="Q43" s="34">
        <f t="shared" si="13"/>
        <v>0</v>
      </c>
      <c r="R43" s="34">
        <f t="shared" si="13"/>
        <v>14</v>
      </c>
      <c r="S43" s="34">
        <f t="shared" si="13"/>
        <v>-65</v>
      </c>
      <c r="T43" s="34">
        <f t="shared" si="13"/>
        <v>0</v>
      </c>
      <c r="U43" s="34">
        <f aca="true" t="shared" si="14" ref="U43:Z43">SUM(U40:U42)</f>
        <v>0</v>
      </c>
      <c r="V43" s="34">
        <f t="shared" si="14"/>
        <v>0</v>
      </c>
      <c r="W43" s="34">
        <f t="shared" si="14"/>
        <v>-2</v>
      </c>
      <c r="X43" s="34">
        <f t="shared" si="14"/>
        <v>0</v>
      </c>
      <c r="Y43" s="34">
        <f t="shared" si="14"/>
        <v>-86</v>
      </c>
      <c r="Z43" s="34">
        <f t="shared" si="14"/>
        <v>0</v>
      </c>
      <c r="AA43" s="34"/>
      <c r="AB43" s="34">
        <f aca="true" t="shared" si="15" ref="AB43:AS43">SUM(AB40:AB42)</f>
        <v>10843</v>
      </c>
      <c r="AC43" s="34">
        <f t="shared" si="15"/>
        <v>81.19235499999999</v>
      </c>
      <c r="AD43" s="34">
        <f t="shared" si="15"/>
        <v>5.877557840000001</v>
      </c>
      <c r="AE43" s="34">
        <f t="shared" si="15"/>
        <v>-5</v>
      </c>
      <c r="AF43" s="34">
        <f t="shared" si="15"/>
        <v>0</v>
      </c>
      <c r="AG43" s="34">
        <f t="shared" si="15"/>
        <v>0</v>
      </c>
      <c r="AH43" s="34">
        <f t="shared" si="15"/>
        <v>0</v>
      </c>
      <c r="AI43" s="34">
        <f t="shared" si="15"/>
        <v>-4.814</v>
      </c>
      <c r="AJ43" s="34">
        <f t="shared" si="15"/>
        <v>0</v>
      </c>
      <c r="AK43" s="34">
        <f t="shared" si="15"/>
        <v>465</v>
      </c>
      <c r="AL43" s="34">
        <f t="shared" si="15"/>
        <v>60.398</v>
      </c>
      <c r="AM43" s="34">
        <f t="shared" si="15"/>
        <v>-108.584</v>
      </c>
      <c r="AN43" s="34">
        <f t="shared" si="15"/>
        <v>-6.250580044135</v>
      </c>
      <c r="AO43" s="34">
        <f t="shared" si="15"/>
        <v>-75.22590206131</v>
      </c>
      <c r="AP43" s="34">
        <f t="shared" si="15"/>
        <v>52.386193600000006</v>
      </c>
      <c r="AQ43" s="34">
        <f t="shared" si="15"/>
        <v>-21.4310762596352</v>
      </c>
      <c r="AR43" s="193">
        <f t="shared" si="15"/>
        <v>443.54854807491984</v>
      </c>
      <c r="AS43" s="34">
        <f t="shared" si="15"/>
        <v>11286.54854807492</v>
      </c>
      <c r="AT43" s="206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</row>
    <row r="44" spans="1:67" ht="12.75">
      <c r="A44" s="25">
        <v>25</v>
      </c>
      <c r="B44" s="1" t="s">
        <v>127</v>
      </c>
      <c r="C44" s="32"/>
      <c r="D44" s="32"/>
      <c r="E44" s="32"/>
      <c r="F44" s="34">
        <f aca="true" t="shared" si="16" ref="F44:T44">F19+F24+F29+F34+F36+F37+F38+F43</f>
        <v>343248</v>
      </c>
      <c r="G44" s="34">
        <f t="shared" si="16"/>
        <v>0</v>
      </c>
      <c r="H44" s="34">
        <f t="shared" si="16"/>
        <v>0</v>
      </c>
      <c r="I44" s="34">
        <f t="shared" si="16"/>
        <v>0</v>
      </c>
      <c r="J44" s="34">
        <f t="shared" si="16"/>
        <v>0</v>
      </c>
      <c r="K44" s="34">
        <f t="shared" si="16"/>
        <v>0</v>
      </c>
      <c r="L44" s="34">
        <f t="shared" si="16"/>
        <v>-83</v>
      </c>
      <c r="M44" s="34">
        <f t="shared" si="16"/>
        <v>343165</v>
      </c>
      <c r="N44" s="34">
        <f t="shared" si="16"/>
        <v>-137017</v>
      </c>
      <c r="O44" s="34">
        <f t="shared" si="16"/>
        <v>-7908</v>
      </c>
      <c r="P44" s="34">
        <f t="shared" si="16"/>
        <v>-297</v>
      </c>
      <c r="Q44" s="34">
        <f t="shared" si="16"/>
        <v>-143</v>
      </c>
      <c r="R44" s="34">
        <f t="shared" si="16"/>
        <v>14</v>
      </c>
      <c r="S44" s="34">
        <f t="shared" si="16"/>
        <v>-65</v>
      </c>
      <c r="T44" s="34">
        <f t="shared" si="16"/>
        <v>0</v>
      </c>
      <c r="U44" s="34">
        <f aca="true" t="shared" si="17" ref="U44:Z44">U19+U24+U29+U34+U36+U37+U38+U43</f>
        <v>-13</v>
      </c>
      <c r="V44" s="34">
        <f t="shared" si="17"/>
        <v>-85</v>
      </c>
      <c r="W44" s="34">
        <f t="shared" si="17"/>
        <v>-2</v>
      </c>
      <c r="X44" s="34">
        <f t="shared" si="17"/>
        <v>79</v>
      </c>
      <c r="Y44" s="34">
        <f t="shared" si="17"/>
        <v>-86</v>
      </c>
      <c r="Z44" s="34">
        <f t="shared" si="17"/>
        <v>0</v>
      </c>
      <c r="AA44" s="34"/>
      <c r="AB44" s="34">
        <f aca="true" t="shared" si="18" ref="AB44:AS44">AB19+AB24+AB29+AB34+AB36+AB37+AB38+AB43</f>
        <v>197642</v>
      </c>
      <c r="AC44" s="34">
        <f t="shared" si="18"/>
        <v>399.1070199999999</v>
      </c>
      <c r="AD44" s="34">
        <f t="shared" si="18"/>
        <v>5.877557840000001</v>
      </c>
      <c r="AE44" s="34">
        <f t="shared" si="18"/>
        <v>174</v>
      </c>
      <c r="AF44" s="34">
        <f t="shared" si="18"/>
        <v>0</v>
      </c>
      <c r="AG44" s="34">
        <f t="shared" si="18"/>
        <v>0</v>
      </c>
      <c r="AH44" s="34">
        <f t="shared" si="18"/>
        <v>0</v>
      </c>
      <c r="AI44" s="34">
        <f t="shared" si="18"/>
        <v>-4.814</v>
      </c>
      <c r="AJ44" s="34">
        <f t="shared" si="18"/>
        <v>0</v>
      </c>
      <c r="AK44" s="34">
        <f t="shared" si="18"/>
        <v>1047</v>
      </c>
      <c r="AL44" s="34">
        <f t="shared" si="18"/>
        <v>60.398</v>
      </c>
      <c r="AM44" s="34">
        <f t="shared" si="18"/>
        <v>-108.584</v>
      </c>
      <c r="AN44" s="34">
        <f t="shared" si="18"/>
        <v>-6.250580044135</v>
      </c>
      <c r="AO44" s="34">
        <f t="shared" si="18"/>
        <v>-75.22590206131</v>
      </c>
      <c r="AP44" s="34">
        <f t="shared" si="18"/>
        <v>52.386193600000006</v>
      </c>
      <c r="AQ44" s="34">
        <f t="shared" si="18"/>
        <v>-21.4310762596352</v>
      </c>
      <c r="AR44" s="193">
        <f t="shared" si="18"/>
        <v>1522.4632130749196</v>
      </c>
      <c r="AS44" s="34">
        <f t="shared" si="18"/>
        <v>199164.4632130749</v>
      </c>
      <c r="AT44" s="206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</row>
    <row r="45" spans="1:67" ht="12.75">
      <c r="A45" s="25"/>
      <c r="B45" s="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195"/>
      <c r="AS45" s="32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</row>
    <row r="46" spans="1:67" ht="12.75">
      <c r="A46" s="25">
        <v>26</v>
      </c>
      <c r="B46" s="1" t="s">
        <v>128</v>
      </c>
      <c r="C46" s="32"/>
      <c r="D46" s="32"/>
      <c r="E46" s="32"/>
      <c r="F46" s="32">
        <f aca="true" t="shared" si="19" ref="F46:AL46">F16-F44</f>
        <v>16070</v>
      </c>
      <c r="G46" s="32">
        <f t="shared" si="19"/>
        <v>0</v>
      </c>
      <c r="H46" s="32">
        <f t="shared" si="19"/>
        <v>0</v>
      </c>
      <c r="I46" s="32">
        <f t="shared" si="19"/>
        <v>0</v>
      </c>
      <c r="J46" s="32">
        <f t="shared" si="19"/>
        <v>0</v>
      </c>
      <c r="K46" s="32">
        <f>K16-K44</f>
        <v>0</v>
      </c>
      <c r="L46" s="32">
        <f t="shared" si="19"/>
        <v>83</v>
      </c>
      <c r="M46" s="32">
        <f t="shared" si="19"/>
        <v>16153</v>
      </c>
      <c r="N46" s="32">
        <f t="shared" si="19"/>
        <v>5613</v>
      </c>
      <c r="O46" s="32">
        <f t="shared" si="19"/>
        <v>-6</v>
      </c>
      <c r="P46" s="32">
        <f t="shared" si="19"/>
        <v>297</v>
      </c>
      <c r="Q46" s="32">
        <f t="shared" si="19"/>
        <v>143</v>
      </c>
      <c r="R46" s="32">
        <f t="shared" si="19"/>
        <v>-14</v>
      </c>
      <c r="S46" s="32">
        <f t="shared" si="19"/>
        <v>65</v>
      </c>
      <c r="T46" s="32">
        <f t="shared" si="19"/>
        <v>0</v>
      </c>
      <c r="U46" s="32">
        <f t="shared" si="19"/>
        <v>13</v>
      </c>
      <c r="V46" s="32">
        <f t="shared" si="19"/>
        <v>85</v>
      </c>
      <c r="W46" s="32">
        <f t="shared" si="19"/>
        <v>2</v>
      </c>
      <c r="X46" s="32">
        <f>X16-X44</f>
        <v>-79</v>
      </c>
      <c r="Y46" s="32">
        <f>Y16-Y44</f>
        <v>86</v>
      </c>
      <c r="Z46" s="32">
        <f>Z16-Z44</f>
        <v>0</v>
      </c>
      <c r="AA46" s="32"/>
      <c r="AB46" s="32">
        <f t="shared" si="19"/>
        <v>22358</v>
      </c>
      <c r="AC46" s="32">
        <f t="shared" si="19"/>
        <v>-399.1070199999999</v>
      </c>
      <c r="AD46" s="32">
        <f t="shared" si="19"/>
        <v>-5.877557840000001</v>
      </c>
      <c r="AE46" s="32">
        <f t="shared" si="19"/>
        <v>-2735</v>
      </c>
      <c r="AF46" s="32">
        <f t="shared" si="19"/>
        <v>0</v>
      </c>
      <c r="AG46" s="32">
        <f t="shared" si="19"/>
        <v>0</v>
      </c>
      <c r="AH46" s="32">
        <f>AH16-AH44</f>
        <v>0</v>
      </c>
      <c r="AI46" s="32">
        <f t="shared" si="19"/>
        <v>4.814</v>
      </c>
      <c r="AJ46" s="32">
        <f>AJ16-AJ44</f>
        <v>0</v>
      </c>
      <c r="AK46" s="32">
        <f t="shared" si="19"/>
        <v>-1047</v>
      </c>
      <c r="AL46" s="32">
        <f t="shared" si="19"/>
        <v>-60.398</v>
      </c>
      <c r="AM46" s="32">
        <f>AM16-AM44</f>
        <v>108.584</v>
      </c>
      <c r="AN46" s="32">
        <f>AN16-AN44</f>
        <v>6.250580044135</v>
      </c>
      <c r="AO46" s="32">
        <f>AO16-AO44</f>
        <v>75.22590206131</v>
      </c>
      <c r="AP46" s="32">
        <f>AP16-AP44</f>
        <v>-52.386193600000006</v>
      </c>
      <c r="AQ46" s="32">
        <f>AQ16-AQ44</f>
        <v>21.4310762596352</v>
      </c>
      <c r="AR46" s="195">
        <f>SUM(AC46:AQ46)</f>
        <v>-4083.4632130749205</v>
      </c>
      <c r="AS46" s="30">
        <f>+AB46+AR46</f>
        <v>18274.53678692508</v>
      </c>
      <c r="AT46" s="206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</row>
    <row r="47" spans="1:67" ht="12.75">
      <c r="A47" s="25"/>
      <c r="B47" s="1" t="s">
        <v>129</v>
      </c>
      <c r="C47" s="32"/>
      <c r="D47" s="32"/>
      <c r="E47" s="32"/>
      <c r="F47" s="32"/>
      <c r="G47" s="33"/>
      <c r="H47" s="33"/>
      <c r="I47" s="33"/>
      <c r="J47" s="33"/>
      <c r="K47" s="33"/>
      <c r="L47" s="33"/>
      <c r="M47" s="32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2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196"/>
      <c r="AS47" s="32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</row>
    <row r="48" spans="1:67" ht="12.75">
      <c r="A48" s="25">
        <v>27</v>
      </c>
      <c r="B48" s="1"/>
      <c r="C48" s="32" t="s">
        <v>130</v>
      </c>
      <c r="D48" s="32"/>
      <c r="E48" s="32"/>
      <c r="F48" s="32">
        <v>5138</v>
      </c>
      <c r="G48" s="33"/>
      <c r="H48" s="33"/>
      <c r="I48" s="33"/>
      <c r="J48" s="33"/>
      <c r="K48" s="33"/>
      <c r="L48" s="33">
        <v>29</v>
      </c>
      <c r="M48" s="32">
        <f>SUM(F48:L48)</f>
        <v>5167</v>
      </c>
      <c r="N48" s="33">
        <f>+N46*0.35</f>
        <v>1964.55</v>
      </c>
      <c r="O48" s="33">
        <f aca="true" t="shared" si="20" ref="O48:Y48">+O46*0.35</f>
        <v>-2.0999999999999996</v>
      </c>
      <c r="P48" s="33">
        <f t="shared" si="20"/>
        <v>103.94999999999999</v>
      </c>
      <c r="Q48" s="33">
        <f t="shared" si="20"/>
        <v>50.05</v>
      </c>
      <c r="R48" s="33">
        <f t="shared" si="20"/>
        <v>-4.8999999999999995</v>
      </c>
      <c r="S48" s="33">
        <f t="shared" si="20"/>
        <v>22.75</v>
      </c>
      <c r="T48" s="33">
        <v>3</v>
      </c>
      <c r="U48" s="33">
        <f t="shared" si="20"/>
        <v>4.55</v>
      </c>
      <c r="V48" s="33">
        <f t="shared" si="20"/>
        <v>29.749999999999996</v>
      </c>
      <c r="W48" s="33">
        <f t="shared" si="20"/>
        <v>0.7</v>
      </c>
      <c r="X48" s="33">
        <f t="shared" si="20"/>
        <v>-27.65</v>
      </c>
      <c r="Y48" s="33">
        <f t="shared" si="20"/>
        <v>30.099999999999998</v>
      </c>
      <c r="Z48" s="33">
        <f>'C-11'!E26</f>
        <v>-112</v>
      </c>
      <c r="AA48" s="33"/>
      <c r="AB48" s="32">
        <f>SUM(M48:AA48)</f>
        <v>7229.750000000001</v>
      </c>
      <c r="AC48" s="33">
        <f aca="true" t="shared" si="21" ref="AC48:AL48">+AC46*0.35</f>
        <v>-139.68745699999997</v>
      </c>
      <c r="AD48" s="33">
        <f t="shared" si="21"/>
        <v>-2.057145244</v>
      </c>
      <c r="AE48" s="33">
        <f t="shared" si="21"/>
        <v>-957.2499999999999</v>
      </c>
      <c r="AF48" s="33">
        <f t="shared" si="21"/>
        <v>0</v>
      </c>
      <c r="AG48" s="33">
        <f t="shared" si="21"/>
        <v>0</v>
      </c>
      <c r="AH48" s="33">
        <f t="shared" si="21"/>
        <v>0</v>
      </c>
      <c r="AI48" s="33">
        <f t="shared" si="21"/>
        <v>1.6848999999999998</v>
      </c>
      <c r="AJ48" s="33">
        <f t="shared" si="21"/>
        <v>0</v>
      </c>
      <c r="AK48" s="33">
        <f t="shared" si="21"/>
        <v>-366.45</v>
      </c>
      <c r="AL48" s="33">
        <f t="shared" si="21"/>
        <v>-21.1393</v>
      </c>
      <c r="AM48" s="33">
        <f aca="true" t="shared" si="22" ref="AM48:AR48">+AM46*0.35</f>
        <v>38.0044</v>
      </c>
      <c r="AN48" s="33">
        <f t="shared" si="22"/>
        <v>2.1877030154472497</v>
      </c>
      <c r="AO48" s="33">
        <f t="shared" si="22"/>
        <v>26.329065721458498</v>
      </c>
      <c r="AP48" s="33">
        <f t="shared" si="22"/>
        <v>-18.33516776</v>
      </c>
      <c r="AQ48" s="33">
        <f>+AQ46*0.35</f>
        <v>7.50087669087232</v>
      </c>
      <c r="AR48" s="196">
        <f t="shared" si="22"/>
        <v>-1429.212124576222</v>
      </c>
      <c r="AS48" s="30">
        <f>+AB48+AR48</f>
        <v>5800.537875423779</v>
      </c>
      <c r="AT48" s="206"/>
      <c r="AU48" s="207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</row>
    <row r="49" spans="1:67" ht="12.75">
      <c r="A49" s="25">
        <v>28</v>
      </c>
      <c r="B49" s="1"/>
      <c r="C49" s="32" t="s">
        <v>131</v>
      </c>
      <c r="D49" s="32"/>
      <c r="E49" s="32"/>
      <c r="F49" s="32">
        <v>-1042</v>
      </c>
      <c r="G49" s="33"/>
      <c r="H49" s="33"/>
      <c r="I49" s="33"/>
      <c r="J49" s="33"/>
      <c r="K49" s="33"/>
      <c r="L49" s="33"/>
      <c r="M49" s="32">
        <f>SUM(F49:L49)</f>
        <v>-1042</v>
      </c>
      <c r="N49" s="33"/>
      <c r="O49" s="33"/>
      <c r="P49" s="33"/>
      <c r="Q49" s="33"/>
      <c r="R49" s="33"/>
      <c r="S49" s="33"/>
      <c r="T49" s="33">
        <v>7</v>
      </c>
      <c r="U49" s="33"/>
      <c r="V49" s="33"/>
      <c r="W49" s="33"/>
      <c r="X49" s="33"/>
      <c r="Y49" s="33"/>
      <c r="Z49" s="33"/>
      <c r="AA49" s="33"/>
      <c r="AB49" s="32">
        <f>SUM(M49:AA49)</f>
        <v>-1035</v>
      </c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196">
        <f>SUM(AC49:AP49)</f>
        <v>0</v>
      </c>
      <c r="AS49" s="30">
        <f>+AB49+AR49</f>
        <v>-1035</v>
      </c>
      <c r="AT49" s="206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</row>
    <row r="50" spans="1:67" ht="12.75">
      <c r="A50" s="25">
        <v>29</v>
      </c>
      <c r="B50" s="1"/>
      <c r="C50" s="32" t="s">
        <v>132</v>
      </c>
      <c r="D50" s="32"/>
      <c r="E50" s="32"/>
      <c r="F50" s="34">
        <v>-30</v>
      </c>
      <c r="G50" s="35"/>
      <c r="H50" s="35"/>
      <c r="I50" s="35"/>
      <c r="J50" s="35"/>
      <c r="K50" s="35"/>
      <c r="L50" s="35"/>
      <c r="M50" s="34">
        <f>SUM(F50:L50)</f>
        <v>-30</v>
      </c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4">
        <f>SUM(M50:AA50)</f>
        <v>-30</v>
      </c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197">
        <f>SUM(AC50:AP50)</f>
        <v>0</v>
      </c>
      <c r="AS50" s="192">
        <f>+AB50+AR50</f>
        <v>-30</v>
      </c>
      <c r="AT50" s="206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</row>
    <row r="51" spans="1:67" ht="12.75">
      <c r="A51" s="25"/>
      <c r="B51" s="1"/>
      <c r="C51" s="1"/>
      <c r="D51" s="1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195"/>
      <c r="AS51" s="3"/>
      <c r="AT51" s="206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</row>
    <row r="52" spans="1:67" ht="13.5" thickBot="1">
      <c r="A52" s="25">
        <v>30</v>
      </c>
      <c r="B52" s="29" t="s">
        <v>133</v>
      </c>
      <c r="C52" s="29"/>
      <c r="D52" s="29"/>
      <c r="E52" s="29"/>
      <c r="F52" s="37">
        <f>F46-SUM(F48:F50)</f>
        <v>12004</v>
      </c>
      <c r="G52" s="37">
        <f aca="true" t="shared" si="23" ref="G52:W52">G46-SUM(G48:G50)</f>
        <v>0</v>
      </c>
      <c r="H52" s="37">
        <f t="shared" si="23"/>
        <v>0</v>
      </c>
      <c r="I52" s="37">
        <f t="shared" si="23"/>
        <v>0</v>
      </c>
      <c r="J52" s="37">
        <f t="shared" si="23"/>
        <v>0</v>
      </c>
      <c r="K52" s="37">
        <f>K46-SUM(K48:K50)</f>
        <v>0</v>
      </c>
      <c r="L52" s="37">
        <f t="shared" si="23"/>
        <v>54</v>
      </c>
      <c r="M52" s="37">
        <f t="shared" si="23"/>
        <v>12058</v>
      </c>
      <c r="N52" s="37">
        <f t="shared" si="23"/>
        <v>3648.45</v>
      </c>
      <c r="O52" s="37">
        <f t="shared" si="23"/>
        <v>-3.9000000000000004</v>
      </c>
      <c r="P52" s="37">
        <f t="shared" si="23"/>
        <v>193.05</v>
      </c>
      <c r="Q52" s="37">
        <f t="shared" si="23"/>
        <v>92.95</v>
      </c>
      <c r="R52" s="37">
        <f t="shared" si="23"/>
        <v>-9.100000000000001</v>
      </c>
      <c r="S52" s="37">
        <f t="shared" si="23"/>
        <v>42.25</v>
      </c>
      <c r="T52" s="37">
        <f t="shared" si="23"/>
        <v>-10</v>
      </c>
      <c r="U52" s="37">
        <f>U46-SUM(U48:U50)</f>
        <v>8.45</v>
      </c>
      <c r="V52" s="37">
        <f t="shared" si="23"/>
        <v>55.25</v>
      </c>
      <c r="W52" s="37">
        <f t="shared" si="23"/>
        <v>1.3</v>
      </c>
      <c r="X52" s="37">
        <f>X46-SUM(X48:X50)</f>
        <v>-51.35</v>
      </c>
      <c r="Y52" s="37">
        <f>Y46-SUM(Y48:Y50)</f>
        <v>55.900000000000006</v>
      </c>
      <c r="Z52" s="37">
        <f>Z46-SUM(Z48:Z50)</f>
        <v>112</v>
      </c>
      <c r="AA52" s="37"/>
      <c r="AB52" s="37">
        <f>AB46-SUM(AB48:AB50)+AB51</f>
        <v>16193.25</v>
      </c>
      <c r="AC52" s="37">
        <f aca="true" t="shared" si="24" ref="AC52:AL52">AC46-SUM(AC48:AC50)</f>
        <v>-259.4195629999999</v>
      </c>
      <c r="AD52" s="37">
        <f t="shared" si="24"/>
        <v>-3.8204125960000006</v>
      </c>
      <c r="AE52" s="37">
        <f t="shared" si="24"/>
        <v>-1777.75</v>
      </c>
      <c r="AF52" s="37">
        <f t="shared" si="24"/>
        <v>0</v>
      </c>
      <c r="AG52" s="37">
        <f t="shared" si="24"/>
        <v>0</v>
      </c>
      <c r="AH52" s="37">
        <f>AH46-SUM(AH48:AH50)</f>
        <v>0</v>
      </c>
      <c r="AI52" s="37">
        <f t="shared" si="24"/>
        <v>3.1291</v>
      </c>
      <c r="AJ52" s="37">
        <f>AJ46-SUM(AJ48:AJ50)</f>
        <v>0</v>
      </c>
      <c r="AK52" s="37">
        <f t="shared" si="24"/>
        <v>-680.55</v>
      </c>
      <c r="AL52" s="37">
        <f t="shared" si="24"/>
        <v>-39.258700000000005</v>
      </c>
      <c r="AM52" s="37">
        <f aca="true" t="shared" si="25" ref="AM52:AR52">AM46-SUM(AM48:AM50)</f>
        <v>70.5796</v>
      </c>
      <c r="AN52" s="37">
        <f t="shared" si="25"/>
        <v>4.06287702868775</v>
      </c>
      <c r="AO52" s="37">
        <f t="shared" si="25"/>
        <v>48.8968363398515</v>
      </c>
      <c r="AP52" s="37">
        <f t="shared" si="25"/>
        <v>-34.05102584000001</v>
      </c>
      <c r="AQ52" s="37">
        <f t="shared" si="25"/>
        <v>13.93019956876288</v>
      </c>
      <c r="AR52" s="198">
        <f t="shared" si="25"/>
        <v>-2654.2510884986987</v>
      </c>
      <c r="AS52" s="203">
        <f>+AB52+AR52</f>
        <v>13538.998911501301</v>
      </c>
      <c r="AT52" s="206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</row>
    <row r="53" spans="1:67" ht="13.5" thickTop="1">
      <c r="A53" s="25"/>
      <c r="B53" s="1"/>
      <c r="C53" s="1"/>
      <c r="D53" s="1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2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195"/>
      <c r="AS53" s="3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</row>
    <row r="54" spans="1:67" ht="12.75">
      <c r="A54" s="25"/>
      <c r="B54" s="1"/>
      <c r="C54" s="1"/>
      <c r="D54" s="1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2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195"/>
      <c r="AS54" s="3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</row>
    <row r="55" spans="1:67" ht="12.75">
      <c r="A55" s="25"/>
      <c r="B55" s="1" t="s">
        <v>134</v>
      </c>
      <c r="C55" s="1"/>
      <c r="D55" s="1"/>
      <c r="E55" s="1"/>
      <c r="F55" s="3"/>
      <c r="G55" s="33"/>
      <c r="H55" s="33"/>
      <c r="I55" s="33"/>
      <c r="J55" s="33"/>
      <c r="K55" s="33"/>
      <c r="L55" s="33"/>
      <c r="M55" s="3"/>
      <c r="N55" s="33"/>
      <c r="O55" s="33"/>
      <c r="P55" s="33"/>
      <c r="Q55" s="33"/>
      <c r="R55" s="33"/>
      <c r="S55" s="33"/>
      <c r="T55" s="33"/>
      <c r="U55" s="61"/>
      <c r="V55" s="33"/>
      <c r="W55" s="33"/>
      <c r="X55" s="33"/>
      <c r="Y55" s="33"/>
      <c r="Z55" s="33"/>
      <c r="AA55" s="33"/>
      <c r="AB55" s="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196"/>
      <c r="AS55" s="3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</row>
    <row r="56" spans="1:67" ht="12.75">
      <c r="A56" s="25">
        <v>31</v>
      </c>
      <c r="B56" s="32"/>
      <c r="C56" s="32" t="s">
        <v>117</v>
      </c>
      <c r="D56" s="32"/>
      <c r="E56" s="32"/>
      <c r="F56" s="32">
        <v>13539</v>
      </c>
      <c r="G56" s="31"/>
      <c r="H56" s="31"/>
      <c r="I56" s="31"/>
      <c r="J56" s="31"/>
      <c r="K56" s="31"/>
      <c r="L56" s="31"/>
      <c r="M56" s="32">
        <f>SUM(F56:L56)</f>
        <v>13539</v>
      </c>
      <c r="N56" s="31"/>
      <c r="O56" s="31"/>
      <c r="P56" s="31"/>
      <c r="Q56" s="31"/>
      <c r="R56" s="31"/>
      <c r="S56" s="31"/>
      <c r="T56" s="31"/>
      <c r="U56" s="62"/>
      <c r="V56" s="31"/>
      <c r="W56" s="31"/>
      <c r="X56" s="31"/>
      <c r="Y56" s="31"/>
      <c r="Z56" s="31"/>
      <c r="AA56" s="31"/>
      <c r="AB56" s="32">
        <f>SUM(M56:AA56)</f>
        <v>13539</v>
      </c>
      <c r="AC56" s="31"/>
      <c r="AD56" s="31"/>
      <c r="AE56" s="31">
        <v>8614</v>
      </c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196">
        <f>SUM(AC56:AP56)</f>
        <v>8614</v>
      </c>
      <c r="AS56" s="30">
        <f>+AB56+AR56</f>
        <v>22153</v>
      </c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</row>
    <row r="57" spans="1:67" ht="12.75">
      <c r="A57" s="25">
        <v>32</v>
      </c>
      <c r="B57" s="32"/>
      <c r="C57" s="32" t="s">
        <v>135</v>
      </c>
      <c r="D57" s="32"/>
      <c r="E57" s="32"/>
      <c r="F57" s="32">
        <v>237485</v>
      </c>
      <c r="G57" s="33"/>
      <c r="H57" s="33"/>
      <c r="I57" s="33"/>
      <c r="J57" s="33"/>
      <c r="K57" s="33">
        <v>-52</v>
      </c>
      <c r="L57" s="33"/>
      <c r="M57" s="32">
        <f>SUM(F57:L57)</f>
        <v>237433</v>
      </c>
      <c r="N57" s="33"/>
      <c r="O57" s="33"/>
      <c r="P57" s="33"/>
      <c r="Q57" s="33"/>
      <c r="R57" s="33"/>
      <c r="S57" s="33"/>
      <c r="T57" s="33"/>
      <c r="U57" s="61"/>
      <c r="V57" s="33"/>
      <c r="W57" s="33"/>
      <c r="X57" s="33"/>
      <c r="Y57" s="33"/>
      <c r="Z57" s="33"/>
      <c r="AA57" s="33"/>
      <c r="AB57" s="32">
        <f>SUM(M57:AA57)</f>
        <v>237433</v>
      </c>
      <c r="AC57" s="33"/>
      <c r="AD57" s="33"/>
      <c r="AE57" s="31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196">
        <f>SUM(AC57:AP57)</f>
        <v>0</v>
      </c>
      <c r="AS57" s="30">
        <f>+AB57+AR57</f>
        <v>237433</v>
      </c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</row>
    <row r="58" spans="1:67" ht="12.75">
      <c r="A58" s="25">
        <v>33</v>
      </c>
      <c r="B58" s="32"/>
      <c r="C58" s="32" t="s">
        <v>136</v>
      </c>
      <c r="D58" s="32"/>
      <c r="E58" s="32"/>
      <c r="F58" s="34">
        <v>23944</v>
      </c>
      <c r="G58" s="35"/>
      <c r="H58" s="35"/>
      <c r="I58" s="35"/>
      <c r="J58" s="35"/>
      <c r="K58" s="35"/>
      <c r="L58" s="35"/>
      <c r="M58" s="34">
        <f>SUM(F58:L58)</f>
        <v>23944</v>
      </c>
      <c r="N58" s="35"/>
      <c r="O58" s="35"/>
      <c r="P58" s="35"/>
      <c r="Q58" s="35"/>
      <c r="R58" s="35"/>
      <c r="S58" s="35"/>
      <c r="T58" s="35"/>
      <c r="U58" s="63"/>
      <c r="V58" s="35"/>
      <c r="W58" s="35"/>
      <c r="X58" s="35"/>
      <c r="Y58" s="35"/>
      <c r="Z58" s="35"/>
      <c r="AA58" s="35"/>
      <c r="AB58" s="34">
        <f>SUM(M58:AA58)</f>
        <v>23944</v>
      </c>
      <c r="AC58" s="35"/>
      <c r="AD58" s="35"/>
      <c r="AE58" s="60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197">
        <f>SUM(AC58:AP58)</f>
        <v>0</v>
      </c>
      <c r="AS58" s="192">
        <f>+AB58+AR58</f>
        <v>23944</v>
      </c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</row>
    <row r="59" spans="1:67" ht="12.75">
      <c r="A59" s="25">
        <v>34</v>
      </c>
      <c r="B59" s="32"/>
      <c r="C59" s="32"/>
      <c r="D59" s="32"/>
      <c r="E59" s="32" t="s">
        <v>137</v>
      </c>
      <c r="F59" s="32">
        <f aca="true" t="shared" si="26" ref="F59:T59">SUM(F56:F58)</f>
        <v>274968</v>
      </c>
      <c r="G59" s="32">
        <f t="shared" si="26"/>
        <v>0</v>
      </c>
      <c r="H59" s="32">
        <f t="shared" si="26"/>
        <v>0</v>
      </c>
      <c r="I59" s="32">
        <f t="shared" si="26"/>
        <v>0</v>
      </c>
      <c r="J59" s="32">
        <f t="shared" si="26"/>
        <v>0</v>
      </c>
      <c r="K59" s="32">
        <f t="shared" si="26"/>
        <v>-52</v>
      </c>
      <c r="L59" s="32">
        <f t="shared" si="26"/>
        <v>0</v>
      </c>
      <c r="M59" s="32">
        <f t="shared" si="26"/>
        <v>274916</v>
      </c>
      <c r="N59" s="32">
        <f t="shared" si="26"/>
        <v>0</v>
      </c>
      <c r="O59" s="32">
        <f t="shared" si="26"/>
        <v>0</v>
      </c>
      <c r="P59" s="32">
        <f t="shared" si="26"/>
        <v>0</v>
      </c>
      <c r="Q59" s="32">
        <f t="shared" si="26"/>
        <v>0</v>
      </c>
      <c r="R59" s="32">
        <f t="shared" si="26"/>
        <v>0</v>
      </c>
      <c r="S59" s="32">
        <f t="shared" si="26"/>
        <v>0</v>
      </c>
      <c r="T59" s="32">
        <f t="shared" si="26"/>
        <v>0</v>
      </c>
      <c r="U59" s="32">
        <f aca="true" t="shared" si="27" ref="U59:Z59">SUM(U56:U58)</f>
        <v>0</v>
      </c>
      <c r="V59" s="32">
        <f t="shared" si="27"/>
        <v>0</v>
      </c>
      <c r="W59" s="32">
        <f t="shared" si="27"/>
        <v>0</v>
      </c>
      <c r="X59" s="32">
        <f t="shared" si="27"/>
        <v>0</v>
      </c>
      <c r="Y59" s="32">
        <f t="shared" si="27"/>
        <v>0</v>
      </c>
      <c r="Z59" s="32">
        <f t="shared" si="27"/>
        <v>0</v>
      </c>
      <c r="AA59" s="32"/>
      <c r="AB59" s="32">
        <f aca="true" t="shared" si="28" ref="AB59:AS59">SUM(AB56:AB58)</f>
        <v>274916</v>
      </c>
      <c r="AC59" s="32">
        <f t="shared" si="28"/>
        <v>0</v>
      </c>
      <c r="AD59" s="32">
        <f t="shared" si="28"/>
        <v>0</v>
      </c>
      <c r="AE59" s="32">
        <f t="shared" si="28"/>
        <v>8614</v>
      </c>
      <c r="AF59" s="32">
        <f t="shared" si="28"/>
        <v>0</v>
      </c>
      <c r="AG59" s="32">
        <f t="shared" si="28"/>
        <v>0</v>
      </c>
      <c r="AH59" s="32">
        <f t="shared" si="28"/>
        <v>0</v>
      </c>
      <c r="AI59" s="32">
        <f t="shared" si="28"/>
        <v>0</v>
      </c>
      <c r="AJ59" s="32">
        <f t="shared" si="28"/>
        <v>0</v>
      </c>
      <c r="AK59" s="32">
        <f t="shared" si="28"/>
        <v>0</v>
      </c>
      <c r="AL59" s="32">
        <f t="shared" si="28"/>
        <v>0</v>
      </c>
      <c r="AM59" s="32">
        <f t="shared" si="28"/>
        <v>0</v>
      </c>
      <c r="AN59" s="32">
        <f t="shared" si="28"/>
        <v>0</v>
      </c>
      <c r="AO59" s="32">
        <f t="shared" si="28"/>
        <v>0</v>
      </c>
      <c r="AP59" s="32">
        <f t="shared" si="28"/>
        <v>0</v>
      </c>
      <c r="AQ59" s="32">
        <f t="shared" si="28"/>
        <v>0</v>
      </c>
      <c r="AR59" s="195">
        <f t="shared" si="28"/>
        <v>8614</v>
      </c>
      <c r="AS59" s="32">
        <f t="shared" si="28"/>
        <v>283530</v>
      </c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</row>
    <row r="60" spans="1:67" ht="12.75">
      <c r="A60" s="25"/>
      <c r="B60" s="32" t="s">
        <v>138</v>
      </c>
      <c r="C60" s="32"/>
      <c r="D60" s="32"/>
      <c r="E60" s="32"/>
      <c r="F60" s="32"/>
      <c r="G60" s="33"/>
      <c r="H60" s="33"/>
      <c r="I60" s="33"/>
      <c r="J60" s="33"/>
      <c r="K60" s="33"/>
      <c r="L60" s="33"/>
      <c r="M60" s="32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2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196"/>
      <c r="AS60" s="32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</row>
    <row r="61" spans="1:67" ht="12.75">
      <c r="A61" s="25">
        <v>35</v>
      </c>
      <c r="B61" s="32"/>
      <c r="C61" s="32" t="s">
        <v>117</v>
      </c>
      <c r="D61" s="32"/>
      <c r="E61" s="32"/>
      <c r="F61" s="32">
        <v>7516</v>
      </c>
      <c r="G61" s="33"/>
      <c r="H61" s="33"/>
      <c r="I61" s="33"/>
      <c r="J61" s="33"/>
      <c r="K61" s="33"/>
      <c r="L61" s="33"/>
      <c r="M61" s="32">
        <f>SUM(F61:L61)</f>
        <v>7516</v>
      </c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2">
        <f>SUM(M61:AA61)</f>
        <v>7516</v>
      </c>
      <c r="AC61" s="33"/>
      <c r="AD61" s="33"/>
      <c r="AE61" s="31">
        <v>266</v>
      </c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196">
        <f>SUM(AC61:AP61)</f>
        <v>266</v>
      </c>
      <c r="AS61" s="30">
        <f>+AB61+AR61</f>
        <v>7782</v>
      </c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</row>
    <row r="62" spans="1:67" ht="12.75">
      <c r="A62" s="25">
        <v>36</v>
      </c>
      <c r="B62" s="32"/>
      <c r="C62" s="32" t="s">
        <v>135</v>
      </c>
      <c r="D62" s="32"/>
      <c r="E62" s="32"/>
      <c r="F62" s="32">
        <v>80580</v>
      </c>
      <c r="G62" s="33"/>
      <c r="H62" s="33"/>
      <c r="I62" s="33"/>
      <c r="J62" s="33"/>
      <c r="K62" s="33"/>
      <c r="L62" s="33"/>
      <c r="M62" s="32">
        <f>SUM(F62:L62)</f>
        <v>80580</v>
      </c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2">
        <f>SUM(M62:AA62)</f>
        <v>80580</v>
      </c>
      <c r="AC62" s="33"/>
      <c r="AD62" s="33"/>
      <c r="AE62" s="31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196">
        <f>SUM(AC62:AP62)</f>
        <v>0</v>
      </c>
      <c r="AS62" s="30">
        <f>+AB62+AR62</f>
        <v>80580</v>
      </c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</row>
    <row r="63" spans="1:67" ht="12.75">
      <c r="A63" s="25">
        <v>37</v>
      </c>
      <c r="B63" s="32"/>
      <c r="C63" s="32" t="s">
        <v>136</v>
      </c>
      <c r="D63" s="32"/>
      <c r="E63" s="32"/>
      <c r="F63" s="32">
        <v>8155</v>
      </c>
      <c r="G63" s="33"/>
      <c r="H63" s="33"/>
      <c r="I63" s="33"/>
      <c r="J63" s="33"/>
      <c r="K63" s="33"/>
      <c r="L63" s="33"/>
      <c r="M63" s="32">
        <f>SUM(F63:L63)</f>
        <v>8155</v>
      </c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2">
        <f>SUM(M63:AA63)</f>
        <v>8155</v>
      </c>
      <c r="AC63" s="33"/>
      <c r="AD63" s="33"/>
      <c r="AE63" s="31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196">
        <f>SUM(AC63:AP63)</f>
        <v>0</v>
      </c>
      <c r="AS63" s="30">
        <f>+AB63+AR63</f>
        <v>8155</v>
      </c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</row>
    <row r="64" spans="1:67" ht="12.75">
      <c r="A64" s="25">
        <v>38</v>
      </c>
      <c r="B64" s="32"/>
      <c r="C64" s="32"/>
      <c r="D64" s="32"/>
      <c r="E64" s="32" t="s">
        <v>139</v>
      </c>
      <c r="F64" s="38">
        <f aca="true" t="shared" si="29" ref="F64:T64">SUM(F61:F63)</f>
        <v>96251</v>
      </c>
      <c r="G64" s="38">
        <f t="shared" si="29"/>
        <v>0</v>
      </c>
      <c r="H64" s="38">
        <f t="shared" si="29"/>
        <v>0</v>
      </c>
      <c r="I64" s="38">
        <f t="shared" si="29"/>
        <v>0</v>
      </c>
      <c r="J64" s="38">
        <f t="shared" si="29"/>
        <v>0</v>
      </c>
      <c r="K64" s="38">
        <f t="shared" si="29"/>
        <v>0</v>
      </c>
      <c r="L64" s="38">
        <f t="shared" si="29"/>
        <v>0</v>
      </c>
      <c r="M64" s="38">
        <f t="shared" si="29"/>
        <v>96251</v>
      </c>
      <c r="N64" s="38">
        <f t="shared" si="29"/>
        <v>0</v>
      </c>
      <c r="O64" s="38">
        <f t="shared" si="29"/>
        <v>0</v>
      </c>
      <c r="P64" s="38">
        <f t="shared" si="29"/>
        <v>0</v>
      </c>
      <c r="Q64" s="38">
        <f t="shared" si="29"/>
        <v>0</v>
      </c>
      <c r="R64" s="38">
        <f t="shared" si="29"/>
        <v>0</v>
      </c>
      <c r="S64" s="38">
        <f t="shared" si="29"/>
        <v>0</v>
      </c>
      <c r="T64" s="38">
        <f t="shared" si="29"/>
        <v>0</v>
      </c>
      <c r="U64" s="38">
        <f aca="true" t="shared" si="30" ref="U64:Z64">SUM(U61:U63)</f>
        <v>0</v>
      </c>
      <c r="V64" s="38">
        <f t="shared" si="30"/>
        <v>0</v>
      </c>
      <c r="W64" s="38">
        <f t="shared" si="30"/>
        <v>0</v>
      </c>
      <c r="X64" s="38">
        <f t="shared" si="30"/>
        <v>0</v>
      </c>
      <c r="Y64" s="38">
        <f t="shared" si="30"/>
        <v>0</v>
      </c>
      <c r="Z64" s="38">
        <f t="shared" si="30"/>
        <v>0</v>
      </c>
      <c r="AA64" s="38"/>
      <c r="AB64" s="38">
        <f aca="true" t="shared" si="31" ref="AB64:AS64">SUM(AB61:AB63)</f>
        <v>96251</v>
      </c>
      <c r="AC64" s="38">
        <f t="shared" si="31"/>
        <v>0</v>
      </c>
      <c r="AD64" s="38">
        <f t="shared" si="31"/>
        <v>0</v>
      </c>
      <c r="AE64" s="38">
        <f t="shared" si="31"/>
        <v>266</v>
      </c>
      <c r="AF64" s="38">
        <f t="shared" si="31"/>
        <v>0</v>
      </c>
      <c r="AG64" s="38">
        <f t="shared" si="31"/>
        <v>0</v>
      </c>
      <c r="AH64" s="38">
        <f t="shared" si="31"/>
        <v>0</v>
      </c>
      <c r="AI64" s="38">
        <f t="shared" si="31"/>
        <v>0</v>
      </c>
      <c r="AJ64" s="38">
        <f t="shared" si="31"/>
        <v>0</v>
      </c>
      <c r="AK64" s="38">
        <f t="shared" si="31"/>
        <v>0</v>
      </c>
      <c r="AL64" s="38">
        <f t="shared" si="31"/>
        <v>0</v>
      </c>
      <c r="AM64" s="38">
        <f t="shared" si="31"/>
        <v>0</v>
      </c>
      <c r="AN64" s="38">
        <f t="shared" si="31"/>
        <v>0</v>
      </c>
      <c r="AO64" s="38">
        <f t="shared" si="31"/>
        <v>0</v>
      </c>
      <c r="AP64" s="38">
        <f t="shared" si="31"/>
        <v>0</v>
      </c>
      <c r="AQ64" s="38">
        <f t="shared" si="31"/>
        <v>0</v>
      </c>
      <c r="AR64" s="199">
        <f t="shared" si="31"/>
        <v>266</v>
      </c>
      <c r="AS64" s="38">
        <f t="shared" si="31"/>
        <v>96517</v>
      </c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</row>
    <row r="65" spans="1:67" ht="12.75">
      <c r="A65" s="39">
        <v>39</v>
      </c>
      <c r="B65" s="40" t="s">
        <v>140</v>
      </c>
      <c r="C65" s="40"/>
      <c r="D65" s="40"/>
      <c r="E65" s="40"/>
      <c r="F65" s="40">
        <v>0</v>
      </c>
      <c r="G65" s="36">
        <v>-27674</v>
      </c>
      <c r="H65" s="36">
        <v>23</v>
      </c>
      <c r="I65" s="36"/>
      <c r="J65" s="36"/>
      <c r="K65" s="36"/>
      <c r="L65" s="36"/>
      <c r="M65" s="40">
        <f>SUM(F65:L65)</f>
        <v>-27651</v>
      </c>
      <c r="N65" s="36"/>
      <c r="O65" s="36"/>
      <c r="P65" s="36"/>
      <c r="Q65" s="36"/>
      <c r="R65" s="36"/>
      <c r="S65" s="36">
        <f>'C-10'!E30/1000</f>
        <v>425.55747499999995</v>
      </c>
      <c r="T65" s="36"/>
      <c r="U65" s="36"/>
      <c r="V65" s="36"/>
      <c r="W65" s="36"/>
      <c r="X65" s="36"/>
      <c r="Y65" s="36"/>
      <c r="Z65" s="36"/>
      <c r="AA65" s="36"/>
      <c r="AB65" s="40">
        <f>SUM(M65:AA65)</f>
        <v>-27225.442525</v>
      </c>
      <c r="AC65" s="36"/>
      <c r="AD65" s="36"/>
      <c r="AE65" s="31">
        <v>-473</v>
      </c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196">
        <f>SUM(AC65:AP65)</f>
        <v>-473</v>
      </c>
      <c r="AS65" s="30">
        <f>+AB65+AR65</f>
        <v>-27698.442525</v>
      </c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</row>
    <row r="66" spans="1:67" ht="12.75">
      <c r="A66" s="25">
        <v>40</v>
      </c>
      <c r="B66" s="32" t="s">
        <v>141</v>
      </c>
      <c r="C66" s="32"/>
      <c r="D66" s="32"/>
      <c r="E66" s="32"/>
      <c r="F66" s="32">
        <v>0</v>
      </c>
      <c r="G66" s="33"/>
      <c r="H66" s="33"/>
      <c r="I66" s="33">
        <v>11064</v>
      </c>
      <c r="J66" s="33"/>
      <c r="K66" s="33"/>
      <c r="L66" s="33"/>
      <c r="M66" s="40">
        <f>SUM(F66:L66)</f>
        <v>11064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40">
        <f>SUM(M66:AA66)</f>
        <v>11064</v>
      </c>
      <c r="AC66" s="33"/>
      <c r="AD66" s="33"/>
      <c r="AE66" s="31">
        <v>1047</v>
      </c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196">
        <f>SUM(AC66:AP66)</f>
        <v>1047</v>
      </c>
      <c r="AS66" s="30">
        <f>+AB66+AR66</f>
        <v>12111</v>
      </c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</row>
    <row r="67" spans="1:67" ht="12.75">
      <c r="A67" s="25">
        <v>41</v>
      </c>
      <c r="B67" s="32" t="s">
        <v>142</v>
      </c>
      <c r="C67" s="32"/>
      <c r="D67" s="32"/>
      <c r="E67" s="32"/>
      <c r="F67" s="40">
        <v>0</v>
      </c>
      <c r="G67" s="36"/>
      <c r="H67" s="36">
        <v>-65</v>
      </c>
      <c r="I67" s="36"/>
      <c r="J67" s="36"/>
      <c r="K67" s="36"/>
      <c r="L67" s="36"/>
      <c r="M67" s="40">
        <f>SUM(F67:L67)</f>
        <v>-65</v>
      </c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40">
        <f>SUM(M67:AA67)</f>
        <v>-65</v>
      </c>
      <c r="AC67" s="36"/>
      <c r="AD67" s="36"/>
      <c r="AE67" s="187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196">
        <f>SUM(AC67:AP67)</f>
        <v>0</v>
      </c>
      <c r="AS67" s="30">
        <f>+AB67+AR67</f>
        <v>-65</v>
      </c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</row>
    <row r="68" spans="1:67" ht="12.75">
      <c r="A68" s="25"/>
      <c r="B68" s="1" t="s">
        <v>354</v>
      </c>
      <c r="C68" s="1"/>
      <c r="D68" s="1"/>
      <c r="E68" s="1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93">
        <f>-'C-10'!E26/1000</f>
        <v>-1215.8785</v>
      </c>
      <c r="T68" s="188"/>
      <c r="U68" s="188"/>
      <c r="V68" s="188"/>
      <c r="W68" s="188"/>
      <c r="X68" s="188"/>
      <c r="Y68" s="188"/>
      <c r="Z68" s="188"/>
      <c r="AA68" s="188"/>
      <c r="AB68" s="34">
        <f>SUM(M68:AA68)</f>
        <v>-1215.8785</v>
      </c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93">
        <f>'C-8'!E17/1000</f>
        <v>-1352.8636992000002</v>
      </c>
      <c r="AQ68" s="193"/>
      <c r="AR68" s="197">
        <f>SUM(AC68:AP68)</f>
        <v>-1352.8636992000002</v>
      </c>
      <c r="AS68" s="192">
        <f>+AB68+AR68</f>
        <v>-2568.7421992</v>
      </c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</row>
    <row r="69" spans="1:67" ht="13.5" thickBot="1">
      <c r="A69" s="25">
        <v>42</v>
      </c>
      <c r="B69" s="29" t="s">
        <v>143</v>
      </c>
      <c r="C69" s="29"/>
      <c r="D69" s="29"/>
      <c r="E69" s="29"/>
      <c r="F69" s="37">
        <f>F59-F64+F65+F66+F67+F68</f>
        <v>178717</v>
      </c>
      <c r="G69" s="37">
        <f aca="true" t="shared" si="32" ref="G69:AS69">G59-G64+G65+G66+G67+G68</f>
        <v>-27674</v>
      </c>
      <c r="H69" s="37">
        <f t="shared" si="32"/>
        <v>-42</v>
      </c>
      <c r="I69" s="37">
        <f t="shared" si="32"/>
        <v>11064</v>
      </c>
      <c r="J69" s="37">
        <f t="shared" si="32"/>
        <v>0</v>
      </c>
      <c r="K69" s="37">
        <f t="shared" si="32"/>
        <v>-52</v>
      </c>
      <c r="L69" s="37">
        <f t="shared" si="32"/>
        <v>0</v>
      </c>
      <c r="M69" s="37">
        <f t="shared" si="32"/>
        <v>162013</v>
      </c>
      <c r="N69" s="37">
        <f t="shared" si="32"/>
        <v>0</v>
      </c>
      <c r="O69" s="37">
        <f t="shared" si="32"/>
        <v>0</v>
      </c>
      <c r="P69" s="37">
        <f t="shared" si="32"/>
        <v>0</v>
      </c>
      <c r="Q69" s="37">
        <f t="shared" si="32"/>
        <v>0</v>
      </c>
      <c r="R69" s="37">
        <f t="shared" si="32"/>
        <v>0</v>
      </c>
      <c r="S69" s="37">
        <f t="shared" si="32"/>
        <v>-790.3210250000001</v>
      </c>
      <c r="T69" s="37">
        <f t="shared" si="32"/>
        <v>0</v>
      </c>
      <c r="U69" s="37">
        <f t="shared" si="32"/>
        <v>0</v>
      </c>
      <c r="V69" s="37">
        <f t="shared" si="32"/>
        <v>0</v>
      </c>
      <c r="W69" s="37">
        <f t="shared" si="32"/>
        <v>0</v>
      </c>
      <c r="X69" s="37">
        <f t="shared" si="32"/>
        <v>0</v>
      </c>
      <c r="Y69" s="37">
        <f t="shared" si="32"/>
        <v>0</v>
      </c>
      <c r="Z69" s="37">
        <f t="shared" si="32"/>
        <v>0</v>
      </c>
      <c r="AA69" s="37">
        <f t="shared" si="32"/>
        <v>0</v>
      </c>
      <c r="AB69" s="37">
        <f t="shared" si="32"/>
        <v>161222.67897500002</v>
      </c>
      <c r="AC69" s="37">
        <f t="shared" si="32"/>
        <v>0</v>
      </c>
      <c r="AD69" s="37">
        <f t="shared" si="32"/>
        <v>0</v>
      </c>
      <c r="AE69" s="37">
        <f t="shared" si="32"/>
        <v>8922</v>
      </c>
      <c r="AF69" s="37">
        <f t="shared" si="32"/>
        <v>0</v>
      </c>
      <c r="AG69" s="37">
        <f t="shared" si="32"/>
        <v>0</v>
      </c>
      <c r="AH69" s="37">
        <f t="shared" si="32"/>
        <v>0</v>
      </c>
      <c r="AI69" s="37">
        <f t="shared" si="32"/>
        <v>0</v>
      </c>
      <c r="AJ69" s="37">
        <f t="shared" si="32"/>
        <v>0</v>
      </c>
      <c r="AK69" s="37">
        <f t="shared" si="32"/>
        <v>0</v>
      </c>
      <c r="AL69" s="37">
        <f t="shared" si="32"/>
        <v>0</v>
      </c>
      <c r="AM69" s="37">
        <f t="shared" si="32"/>
        <v>0</v>
      </c>
      <c r="AN69" s="37">
        <f t="shared" si="32"/>
        <v>0</v>
      </c>
      <c r="AO69" s="37">
        <f t="shared" si="32"/>
        <v>0</v>
      </c>
      <c r="AP69" s="37">
        <f t="shared" si="32"/>
        <v>-1352.8636992000002</v>
      </c>
      <c r="AQ69" s="37">
        <f t="shared" si="32"/>
        <v>0</v>
      </c>
      <c r="AR69" s="198">
        <f t="shared" si="32"/>
        <v>7569.1363008</v>
      </c>
      <c r="AS69" s="37">
        <f t="shared" si="32"/>
        <v>168791.8152758</v>
      </c>
      <c r="AT69" s="205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</row>
    <row r="70" spans="1:67" ht="13.5" thickTop="1">
      <c r="A70" s="25"/>
      <c r="B70" s="1"/>
      <c r="C70" s="1"/>
      <c r="D70" s="1"/>
      <c r="E70" s="1"/>
      <c r="F70" s="1"/>
      <c r="G70" s="3"/>
      <c r="H70" s="3"/>
      <c r="I70" s="3"/>
      <c r="J70" s="3"/>
      <c r="K70" s="3"/>
      <c r="L70" s="3"/>
      <c r="M70" s="41"/>
      <c r="N70" s="3"/>
      <c r="O70" s="3"/>
      <c r="P70" s="3"/>
      <c r="Q70" s="3"/>
      <c r="R70" s="3"/>
      <c r="S70" s="3"/>
      <c r="T70" s="3"/>
      <c r="U70" s="2"/>
      <c r="V70" s="3"/>
      <c r="W70" s="3"/>
      <c r="X70" s="3"/>
      <c r="Y70" s="3"/>
      <c r="Z70" s="3"/>
      <c r="AA70" s="3"/>
      <c r="AB70" s="41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195"/>
      <c r="AS70" s="41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</row>
    <row r="71" spans="1:67" ht="12.75">
      <c r="A71" s="25"/>
      <c r="B71" s="1"/>
      <c r="C71" s="1"/>
      <c r="D71" s="1"/>
      <c r="E71" s="1"/>
      <c r="F71" s="41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195"/>
      <c r="AS71" s="3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</row>
    <row r="72" spans="1:67" ht="12.75">
      <c r="A72" s="25"/>
      <c r="B72" s="1"/>
      <c r="C72" s="1"/>
      <c r="D72" s="1"/>
      <c r="E72" s="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195"/>
      <c r="AS72" s="3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</row>
    <row r="73" spans="1:67" ht="12.75">
      <c r="A73" s="42"/>
      <c r="B73" s="43"/>
      <c r="C73" s="43"/>
      <c r="D73" s="43"/>
      <c r="E73" s="44"/>
      <c r="F73" s="4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6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200"/>
      <c r="AS73" s="4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</row>
    <row r="74" spans="1:67" ht="12.75">
      <c r="A74" s="46"/>
      <c r="B74" s="43"/>
      <c r="C74" s="43"/>
      <c r="D74" s="43"/>
      <c r="E74" s="44"/>
      <c r="F74" s="47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6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200"/>
      <c r="AS74" s="4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</row>
    <row r="75" spans="1:67" ht="12.75">
      <c r="A75" s="46"/>
      <c r="B75" s="43"/>
      <c r="C75" s="43"/>
      <c r="D75" s="43"/>
      <c r="E75" s="44"/>
      <c r="F75" s="48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6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200"/>
      <c r="AS75" s="4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</row>
    <row r="76" spans="1:67" ht="12.75">
      <c r="A76" s="46"/>
      <c r="B76" s="43"/>
      <c r="C76" s="43"/>
      <c r="D76" s="43"/>
      <c r="E76" s="44"/>
      <c r="F76" s="48"/>
      <c r="G76" s="48"/>
      <c r="H76" s="48"/>
      <c r="I76" s="48"/>
      <c r="J76" s="48"/>
      <c r="K76" s="48"/>
      <c r="L76" s="48"/>
      <c r="M76" s="4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"/>
      <c r="AB76" s="4"/>
      <c r="AC76" s="48"/>
      <c r="AD76" s="48"/>
      <c r="AE76" s="48"/>
      <c r="AF76" s="48"/>
      <c r="AG76" s="48"/>
      <c r="AH76" s="4"/>
      <c r="AI76" s="48"/>
      <c r="AJ76" s="4"/>
      <c r="AK76" s="4"/>
      <c r="AL76" s="4"/>
      <c r="AM76" s="4"/>
      <c r="AN76" s="4"/>
      <c r="AO76" s="4"/>
      <c r="AP76" s="4"/>
      <c r="AQ76" s="4"/>
      <c r="AR76" s="200"/>
      <c r="AS76" s="48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</row>
    <row r="77" spans="1:67" ht="12.75">
      <c r="A77" s="46"/>
      <c r="B77" s="43"/>
      <c r="C77" s="43"/>
      <c r="D77" s="43"/>
      <c r="E77" s="44"/>
      <c r="F77" s="48"/>
      <c r="G77" s="48"/>
      <c r="H77" s="48"/>
      <c r="I77" s="48"/>
      <c r="J77" s="48"/>
      <c r="K77" s="48"/>
      <c r="L77" s="48"/>
      <c r="M77" s="4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"/>
      <c r="AB77" s="4"/>
      <c r="AC77" s="48"/>
      <c r="AD77" s="48"/>
      <c r="AE77" s="48"/>
      <c r="AF77" s="48"/>
      <c r="AG77" s="48"/>
      <c r="AH77" s="4"/>
      <c r="AI77" s="48"/>
      <c r="AJ77" s="4"/>
      <c r="AK77" s="4"/>
      <c r="AL77" s="4"/>
      <c r="AM77" s="4"/>
      <c r="AN77" s="4"/>
      <c r="AO77" s="4"/>
      <c r="AP77" s="4"/>
      <c r="AQ77" s="4"/>
      <c r="AR77" s="200"/>
      <c r="AS77" s="48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</row>
    <row r="78" spans="1:67" ht="12.75">
      <c r="A78" s="46"/>
      <c r="B78" s="43"/>
      <c r="C78" s="43"/>
      <c r="D78" s="43"/>
      <c r="E78" s="44"/>
      <c r="F78" s="48"/>
      <c r="G78" s="48"/>
      <c r="H78" s="48"/>
      <c r="I78" s="48"/>
      <c r="J78" s="48"/>
      <c r="K78" s="48"/>
      <c r="L78" s="48"/>
      <c r="M78" s="4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"/>
      <c r="AB78" s="4"/>
      <c r="AC78" s="48"/>
      <c r="AD78" s="48"/>
      <c r="AE78" s="48"/>
      <c r="AF78" s="48"/>
      <c r="AG78" s="48"/>
      <c r="AH78" s="4"/>
      <c r="AI78" s="48"/>
      <c r="AJ78" s="4"/>
      <c r="AK78" s="4"/>
      <c r="AL78" s="4"/>
      <c r="AM78" s="4"/>
      <c r="AN78" s="4"/>
      <c r="AO78" s="4"/>
      <c r="AP78" s="4"/>
      <c r="AQ78" s="4"/>
      <c r="AR78" s="200"/>
      <c r="AS78" s="48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</row>
    <row r="79" spans="1:67" ht="12.75">
      <c r="A79" s="42"/>
      <c r="B79" s="43"/>
      <c r="C79" s="43"/>
      <c r="D79" s="43"/>
      <c r="E79" s="44"/>
      <c r="F79" s="45"/>
      <c r="G79" s="48"/>
      <c r="H79" s="48"/>
      <c r="I79" s="48"/>
      <c r="J79" s="48"/>
      <c r="K79" s="48"/>
      <c r="L79" s="48"/>
      <c r="M79" s="4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"/>
      <c r="AB79" s="4"/>
      <c r="AC79" s="48"/>
      <c r="AD79" s="48"/>
      <c r="AE79" s="48"/>
      <c r="AF79" s="48"/>
      <c r="AG79" s="48"/>
      <c r="AH79" s="4"/>
      <c r="AI79" s="48"/>
      <c r="AJ79" s="4"/>
      <c r="AK79" s="4"/>
      <c r="AL79" s="4"/>
      <c r="AM79" s="4"/>
      <c r="AN79" s="4"/>
      <c r="AO79" s="4"/>
      <c r="AP79" s="4"/>
      <c r="AQ79" s="4"/>
      <c r="AR79" s="200"/>
      <c r="AS79" s="48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</row>
    <row r="80" spans="1:67" ht="12.75">
      <c r="A80" s="46"/>
      <c r="B80" s="43"/>
      <c r="C80" s="43"/>
      <c r="D80" s="43"/>
      <c r="E80" s="43"/>
      <c r="F80" s="48"/>
      <c r="G80" s="48"/>
      <c r="H80" s="48"/>
      <c r="I80" s="48"/>
      <c r="J80" s="48"/>
      <c r="K80" s="48"/>
      <c r="L80" s="48"/>
      <c r="M80" s="4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"/>
      <c r="AB80" s="4"/>
      <c r="AC80" s="48"/>
      <c r="AD80" s="48"/>
      <c r="AE80" s="48"/>
      <c r="AF80" s="48"/>
      <c r="AG80" s="48"/>
      <c r="AH80" s="4"/>
      <c r="AI80" s="48"/>
      <c r="AJ80" s="4"/>
      <c r="AK80" s="4"/>
      <c r="AL80" s="4"/>
      <c r="AM80" s="4"/>
      <c r="AN80" s="4"/>
      <c r="AO80" s="4"/>
      <c r="AP80" s="4"/>
      <c r="AQ80" s="4"/>
      <c r="AR80" s="200"/>
      <c r="AS80" s="48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</row>
    <row r="81" spans="1:67" ht="12.75">
      <c r="A81" s="46"/>
      <c r="B81" s="43"/>
      <c r="C81" s="43"/>
      <c r="D81" s="43"/>
      <c r="E81" s="44"/>
      <c r="F81" s="48"/>
      <c r="G81" s="48"/>
      <c r="H81" s="48"/>
      <c r="I81" s="48"/>
      <c r="J81" s="48"/>
      <c r="K81" s="48"/>
      <c r="L81" s="48"/>
      <c r="M81" s="4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"/>
      <c r="AB81" s="4"/>
      <c r="AC81" s="48"/>
      <c r="AD81" s="48"/>
      <c r="AE81" s="48"/>
      <c r="AF81" s="48"/>
      <c r="AG81" s="48"/>
      <c r="AH81" s="4"/>
      <c r="AI81" s="48"/>
      <c r="AJ81" s="4"/>
      <c r="AK81" s="4"/>
      <c r="AL81" s="4"/>
      <c r="AM81" s="4"/>
      <c r="AN81" s="4"/>
      <c r="AO81" s="4"/>
      <c r="AP81" s="4"/>
      <c r="AQ81" s="4"/>
      <c r="AR81" s="200"/>
      <c r="AS81" s="48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</row>
    <row r="82" spans="1:67" ht="12.75">
      <c r="A82" s="46"/>
      <c r="B82" s="43"/>
      <c r="C82" s="43"/>
      <c r="D82" s="43"/>
      <c r="E82" s="44"/>
      <c r="F82" s="48"/>
      <c r="G82" s="48"/>
      <c r="H82" s="48"/>
      <c r="I82" s="48"/>
      <c r="J82" s="48"/>
      <c r="K82" s="48"/>
      <c r="L82" s="48"/>
      <c r="M82" s="4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"/>
      <c r="AB82" s="4"/>
      <c r="AC82" s="48"/>
      <c r="AD82" s="48"/>
      <c r="AE82" s="48"/>
      <c r="AF82" s="48"/>
      <c r="AG82" s="48"/>
      <c r="AH82" s="4"/>
      <c r="AI82" s="48"/>
      <c r="AJ82" s="4"/>
      <c r="AK82" s="4"/>
      <c r="AL82" s="4"/>
      <c r="AM82" s="4"/>
      <c r="AN82" s="4"/>
      <c r="AO82" s="4"/>
      <c r="AP82" s="4"/>
      <c r="AQ82" s="4"/>
      <c r="AR82" s="200"/>
      <c r="AS82" s="48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</row>
    <row r="83" spans="1:67" ht="12.75">
      <c r="A83" s="46"/>
      <c r="B83" s="43"/>
      <c r="C83" s="43"/>
      <c r="D83" s="43"/>
      <c r="E83" s="49"/>
      <c r="F83" s="48"/>
      <c r="G83" s="48"/>
      <c r="H83" s="48"/>
      <c r="I83" s="48"/>
      <c r="J83" s="48"/>
      <c r="K83" s="48"/>
      <c r="L83" s="48"/>
      <c r="M83" s="4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"/>
      <c r="AB83" s="4"/>
      <c r="AC83" s="48"/>
      <c r="AD83" s="48"/>
      <c r="AE83" s="48"/>
      <c r="AF83" s="48"/>
      <c r="AG83" s="48"/>
      <c r="AH83" s="4"/>
      <c r="AI83" s="48"/>
      <c r="AJ83" s="4"/>
      <c r="AK83" s="4"/>
      <c r="AL83" s="4"/>
      <c r="AM83" s="4"/>
      <c r="AN83" s="4"/>
      <c r="AO83" s="4"/>
      <c r="AP83" s="4"/>
      <c r="AQ83" s="4"/>
      <c r="AR83" s="200"/>
      <c r="AS83" s="48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</row>
    <row r="84" spans="1:67" ht="12.75">
      <c r="A84" s="46"/>
      <c r="B84" s="43"/>
      <c r="C84" s="43"/>
      <c r="D84" s="43"/>
      <c r="E84" s="4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6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200"/>
      <c r="AS84" s="4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</row>
    <row r="85" spans="1:67" ht="12.75">
      <c r="A85" s="46"/>
      <c r="B85" s="43"/>
      <c r="C85" s="43"/>
      <c r="D85" s="43"/>
      <c r="E85" s="4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6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200"/>
      <c r="AS85" s="4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</row>
    <row r="86" spans="1:67" ht="12.75">
      <c r="A86" s="25"/>
      <c r="B86" s="1"/>
      <c r="C86" s="1"/>
      <c r="D86" s="1"/>
      <c r="E86" s="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2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195"/>
      <c r="AS86" s="3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</row>
    <row r="87" spans="1:67" ht="12.75">
      <c r="A87" s="25"/>
      <c r="B87" s="1"/>
      <c r="C87" s="1"/>
      <c r="D87" s="1"/>
      <c r="E87" s="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2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195"/>
      <c r="AS87" s="3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</row>
    <row r="88" spans="1:67" ht="12.75">
      <c r="A88" s="25"/>
      <c r="B88" s="1"/>
      <c r="C88" s="1"/>
      <c r="D88" s="1"/>
      <c r="E88" s="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2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195"/>
      <c r="AS88" s="3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</row>
    <row r="89" spans="1:67" ht="12.75">
      <c r="A89" s="25"/>
      <c r="B89" s="1"/>
      <c r="C89" s="1"/>
      <c r="D89" s="1"/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2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195"/>
      <c r="AS89" s="3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</row>
    <row r="90" spans="1:67" ht="12.75">
      <c r="A90" s="25"/>
      <c r="B90" s="1"/>
      <c r="C90" s="1"/>
      <c r="D90" s="1"/>
      <c r="E90" s="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2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195"/>
      <c r="AS90" s="3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</row>
    <row r="91" spans="1:67" ht="12.75">
      <c r="A91" s="25"/>
      <c r="B91" s="1"/>
      <c r="C91" s="1"/>
      <c r="D91" s="1"/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2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195"/>
      <c r="AS91" s="3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</row>
    <row r="92" spans="1:67" ht="12.75">
      <c r="A92" s="25"/>
      <c r="B92" s="1"/>
      <c r="C92" s="1"/>
      <c r="D92" s="1"/>
      <c r="E92" s="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2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195"/>
      <c r="AS92" s="3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</row>
    <row r="93" spans="1:67" ht="12.75">
      <c r="A93" s="25"/>
      <c r="B93" s="1"/>
      <c r="C93" s="1"/>
      <c r="D93" s="1"/>
      <c r="E93" s="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2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195"/>
      <c r="AS93" s="3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</row>
    <row r="94" spans="1:67" ht="12.75">
      <c r="A94" s="25"/>
      <c r="B94" s="1"/>
      <c r="C94" s="1"/>
      <c r="D94" s="1"/>
      <c r="E94" s="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2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195"/>
      <c r="AS94" s="3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</row>
    <row r="95" spans="1:67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201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</row>
    <row r="96" spans="1:67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201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</row>
    <row r="97" spans="1:67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201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</row>
    <row r="98" spans="1:67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201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</row>
    <row r="99" ht="12.75">
      <c r="AR99" s="202"/>
    </row>
    <row r="100" ht="12.75">
      <c r="AR100" s="202"/>
    </row>
    <row r="101" ht="12.75">
      <c r="AR101" s="202"/>
    </row>
    <row r="102" ht="12.75">
      <c r="AR102" s="202"/>
    </row>
    <row r="103" ht="12.75">
      <c r="AR103" s="202"/>
    </row>
    <row r="104" ht="12.75">
      <c r="AR104" s="202"/>
    </row>
    <row r="105" ht="12.75">
      <c r="AR105" s="202"/>
    </row>
    <row r="106" ht="12.75">
      <c r="AR106" s="202"/>
    </row>
    <row r="107" ht="12.75">
      <c r="AR107" s="202"/>
    </row>
    <row r="108" ht="12.75">
      <c r="AR108" s="202"/>
    </row>
    <row r="109" ht="12.75">
      <c r="AR109" s="202"/>
    </row>
    <row r="110" ht="12.75">
      <c r="AR110" s="202"/>
    </row>
    <row r="111" ht="12.75">
      <c r="AR111" s="202"/>
    </row>
    <row r="112" ht="12.75">
      <c r="AR112" s="202"/>
    </row>
    <row r="113" ht="12.75">
      <c r="AR113" s="202"/>
    </row>
    <row r="114" ht="12.75">
      <c r="AR114" s="202"/>
    </row>
    <row r="115" ht="12.75">
      <c r="AR115" s="202"/>
    </row>
    <row r="116" ht="12.75">
      <c r="AR116" s="202"/>
    </row>
    <row r="117" ht="12.75">
      <c r="AR117" s="202"/>
    </row>
    <row r="118" ht="12.75">
      <c r="AR118" s="202"/>
    </row>
    <row r="119" ht="12.75">
      <c r="AR119" s="202"/>
    </row>
  </sheetData>
  <sheetProtection/>
  <printOptions/>
  <pageMargins left="0.75" right="0.75" top="1" bottom="1" header="0.5" footer="0.5"/>
  <pageSetup horizontalDpi="600" verticalDpi="600" orientation="landscape" scale="50" r:id="rId1"/>
  <headerFooter alignWithMargins="0">
    <oddHeader>&amp;R&amp;"Times New Roman,Regular"Docket Nos. UE-090134 and UG-090135, UG-060518
Exhibit No. __(HL-4)
Schedule A-1 (Gas)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view="pageLayout" workbookViewId="0" topLeftCell="B1">
      <selection activeCell="G36" sqref="G36"/>
    </sheetView>
  </sheetViews>
  <sheetFormatPr defaultColWidth="9.140625" defaultRowHeight="12.75"/>
  <cols>
    <col min="1" max="1" width="7.57421875" style="0" customWidth="1"/>
    <col min="2" max="2" width="1.8515625" style="0" customWidth="1"/>
    <col min="3" max="3" width="38.140625" style="0" customWidth="1"/>
    <col min="4" max="4" width="1.57421875" style="0" customWidth="1"/>
    <col min="5" max="5" width="14.57421875" style="0" customWidth="1"/>
    <col min="6" max="6" width="6.421875" style="0" customWidth="1"/>
    <col min="7" max="7" width="12.7109375" style="0" customWidth="1"/>
    <col min="8" max="8" width="4.140625" style="0" customWidth="1"/>
  </cols>
  <sheetData>
    <row r="1" spans="1:7" ht="15.75">
      <c r="A1" s="265" t="str">
        <f>A!A1</f>
        <v>AVISTA UTILITIES</v>
      </c>
      <c r="B1" s="267"/>
      <c r="C1" s="267"/>
      <c r="D1" s="267"/>
      <c r="E1" s="267"/>
      <c r="F1" s="267"/>
      <c r="G1" s="267"/>
    </row>
    <row r="2" spans="1:7" ht="15.75">
      <c r="A2" s="265" t="str">
        <f>A!A2</f>
        <v>Washington Gas System</v>
      </c>
      <c r="B2" s="267"/>
      <c r="C2" s="267"/>
      <c r="D2" s="267"/>
      <c r="E2" s="267"/>
      <c r="F2" s="267"/>
      <c r="G2" s="267"/>
    </row>
    <row r="3" spans="1:7" ht="15.75">
      <c r="A3" s="265" t="str">
        <f>A!A3</f>
        <v>Test Year Twelve Months Ended September 30, 2008</v>
      </c>
      <c r="B3" s="267"/>
      <c r="C3" s="267"/>
      <c r="D3" s="267"/>
      <c r="E3" s="267"/>
      <c r="F3" s="267"/>
      <c r="G3" s="267"/>
    </row>
    <row r="4" spans="1:7" ht="15.75">
      <c r="A4" s="265" t="str">
        <f>A!A4</f>
        <v>($000's of Dollars)</v>
      </c>
      <c r="B4" s="267"/>
      <c r="C4" s="267"/>
      <c r="D4" s="267"/>
      <c r="E4" s="267"/>
      <c r="F4" s="267"/>
      <c r="G4" s="267"/>
    </row>
    <row r="6" spans="1:8" ht="15.75">
      <c r="A6" s="66" t="s">
        <v>356</v>
      </c>
      <c r="B6" s="66"/>
      <c r="C6" s="66"/>
      <c r="D6" s="66"/>
      <c r="E6" s="66"/>
      <c r="F6" s="66"/>
      <c r="G6" s="65"/>
      <c r="H6" s="66"/>
    </row>
    <row r="7" spans="1:8" ht="15.75">
      <c r="A7" s="66"/>
      <c r="B7" s="66"/>
      <c r="C7" s="66"/>
      <c r="D7" s="66"/>
      <c r="E7" s="66"/>
      <c r="F7" s="66"/>
      <c r="G7" s="66"/>
      <c r="H7" s="66"/>
    </row>
    <row r="8" spans="1:8" ht="15.75">
      <c r="A8" s="66"/>
      <c r="B8" s="66"/>
      <c r="C8" s="66"/>
      <c r="D8" s="66"/>
      <c r="E8" s="66"/>
      <c r="F8" s="66"/>
      <c r="G8" s="66"/>
      <c r="H8" s="66"/>
    </row>
    <row r="9" spans="1:8" ht="15.75">
      <c r="A9" s="68" t="s">
        <v>15</v>
      </c>
      <c r="B9" s="66"/>
      <c r="C9" s="66"/>
      <c r="D9" s="66"/>
      <c r="E9" s="71"/>
      <c r="F9" s="68"/>
      <c r="G9" s="71"/>
      <c r="H9" s="66"/>
    </row>
    <row r="10" spans="1:8" ht="15.75">
      <c r="A10" s="69" t="s">
        <v>45</v>
      </c>
      <c r="B10" s="65"/>
      <c r="C10" s="70" t="s">
        <v>148</v>
      </c>
      <c r="D10" s="66"/>
      <c r="E10" s="69" t="s">
        <v>146</v>
      </c>
      <c r="F10" s="68"/>
      <c r="G10" s="69" t="s">
        <v>147</v>
      </c>
      <c r="H10" s="66"/>
    </row>
    <row r="11" spans="1:8" ht="15.75">
      <c r="A11" s="66"/>
      <c r="B11" s="66"/>
      <c r="C11" s="66"/>
      <c r="D11" s="66"/>
      <c r="E11" s="66"/>
      <c r="F11" s="66"/>
      <c r="G11" s="66"/>
      <c r="H11" s="66"/>
    </row>
    <row r="12" spans="1:8" ht="15.75">
      <c r="A12" s="95">
        <v>1</v>
      </c>
      <c r="B12" s="95"/>
      <c r="C12" s="65" t="s">
        <v>169</v>
      </c>
      <c r="D12" s="65"/>
      <c r="E12" s="96">
        <v>1</v>
      </c>
      <c r="F12" s="97"/>
      <c r="G12" s="96">
        <v>1</v>
      </c>
      <c r="H12" s="98"/>
    </row>
    <row r="13" spans="1:8" ht="15.75">
      <c r="A13" s="95"/>
      <c r="B13" s="95"/>
      <c r="C13" s="65"/>
      <c r="D13" s="65"/>
      <c r="E13" s="97"/>
      <c r="F13" s="97"/>
      <c r="G13" s="97"/>
      <c r="H13" s="98"/>
    </row>
    <row r="14" spans="1:8" ht="15.75">
      <c r="A14" s="95"/>
      <c r="B14" s="95"/>
      <c r="C14" s="65" t="s">
        <v>170</v>
      </c>
      <c r="D14" s="65"/>
      <c r="E14" s="97"/>
      <c r="F14" s="97"/>
      <c r="G14" s="97"/>
      <c r="H14" s="98"/>
    </row>
    <row r="15" spans="1:8" ht="15.75">
      <c r="A15" s="95">
        <v>2</v>
      </c>
      <c r="B15" s="95"/>
      <c r="C15" s="65" t="s">
        <v>430</v>
      </c>
      <c r="D15" s="65"/>
      <c r="E15" s="99">
        <v>0.002599</v>
      </c>
      <c r="F15" s="97" t="s">
        <v>171</v>
      </c>
      <c r="G15" s="104">
        <v>0.0025177</v>
      </c>
      <c r="H15" s="98" t="s">
        <v>172</v>
      </c>
    </row>
    <row r="16" spans="1:8" ht="15.75">
      <c r="A16" s="95"/>
      <c r="B16" s="95"/>
      <c r="C16" s="65"/>
      <c r="D16" s="65"/>
      <c r="E16" s="99"/>
      <c r="F16" s="97"/>
      <c r="G16" s="104"/>
      <c r="H16" s="98"/>
    </row>
    <row r="17" spans="1:8" ht="15.75">
      <c r="A17" s="95">
        <v>3</v>
      </c>
      <c r="B17" s="95"/>
      <c r="C17" s="92" t="s">
        <v>173</v>
      </c>
      <c r="D17" s="65"/>
      <c r="E17" s="99">
        <v>0.002</v>
      </c>
      <c r="F17" s="97"/>
      <c r="G17" s="104">
        <v>0.002</v>
      </c>
      <c r="H17" s="98"/>
    </row>
    <row r="18" spans="1:8" ht="15.75">
      <c r="A18" s="95"/>
      <c r="B18" s="95"/>
      <c r="C18" s="65"/>
      <c r="D18" s="65"/>
      <c r="E18" s="99"/>
      <c r="F18" s="97"/>
      <c r="G18" s="104"/>
      <c r="H18" s="98"/>
    </row>
    <row r="19" spans="1:8" ht="15.75">
      <c r="A19" s="95">
        <v>4</v>
      </c>
      <c r="B19" s="95"/>
      <c r="C19" s="92" t="s">
        <v>174</v>
      </c>
      <c r="D19" s="65"/>
      <c r="E19" s="99">
        <v>0.03842</v>
      </c>
      <c r="F19" s="97" t="s">
        <v>171</v>
      </c>
      <c r="G19" s="104">
        <v>0.038423</v>
      </c>
      <c r="H19" s="98" t="s">
        <v>172</v>
      </c>
    </row>
    <row r="20" spans="1:8" ht="15.75">
      <c r="A20" s="95"/>
      <c r="B20" s="95"/>
      <c r="C20" s="65"/>
      <c r="D20" s="65"/>
      <c r="E20" s="97"/>
      <c r="F20" s="97"/>
      <c r="G20" s="104"/>
      <c r="H20" s="98"/>
    </row>
    <row r="21" spans="1:8" ht="15.75">
      <c r="A21" s="95">
        <v>5</v>
      </c>
      <c r="B21" s="95"/>
      <c r="C21" s="65" t="s">
        <v>175</v>
      </c>
      <c r="D21" s="65"/>
      <c r="E21" s="97">
        <v>0</v>
      </c>
      <c r="F21" s="97"/>
      <c r="G21" s="97">
        <v>0</v>
      </c>
      <c r="H21" s="98"/>
    </row>
    <row r="22" spans="1:8" ht="15.75">
      <c r="A22" s="95"/>
      <c r="B22" s="95"/>
      <c r="C22" s="65"/>
      <c r="D22" s="65"/>
      <c r="E22" s="97"/>
      <c r="F22" s="97"/>
      <c r="G22" s="97"/>
      <c r="H22" s="98"/>
    </row>
    <row r="23" spans="1:8" ht="15.75">
      <c r="A23" s="95">
        <v>6</v>
      </c>
      <c r="B23" s="95"/>
      <c r="C23" s="65" t="s">
        <v>176</v>
      </c>
      <c r="D23" s="65"/>
      <c r="E23" s="100">
        <f>SUM(E15:E20)</f>
        <v>0.043019</v>
      </c>
      <c r="F23" s="97"/>
      <c r="G23" s="100">
        <f>SUM(G15:G20)</f>
        <v>0.0429407</v>
      </c>
      <c r="H23" s="98"/>
    </row>
    <row r="24" spans="1:8" ht="15.75">
      <c r="A24" s="95"/>
      <c r="B24" s="95"/>
      <c r="C24" s="65"/>
      <c r="D24" s="65"/>
      <c r="E24" s="97"/>
      <c r="F24" s="97"/>
      <c r="G24" s="97"/>
      <c r="H24" s="98"/>
    </row>
    <row r="25" spans="1:8" ht="15.75">
      <c r="A25" s="95">
        <v>7</v>
      </c>
      <c r="B25" s="95"/>
      <c r="C25" s="65" t="s">
        <v>177</v>
      </c>
      <c r="D25" s="65"/>
      <c r="E25" s="97">
        <f>+E12-E23</f>
        <v>0.956981</v>
      </c>
      <c r="F25" s="97"/>
      <c r="G25" s="97">
        <f>+G12-G23</f>
        <v>0.9570593000000001</v>
      </c>
      <c r="H25" s="98"/>
    </row>
    <row r="26" spans="1:8" ht="15.75">
      <c r="A26" s="95"/>
      <c r="B26" s="95"/>
      <c r="C26" s="65"/>
      <c r="D26" s="65"/>
      <c r="E26" s="97"/>
      <c r="F26" s="97"/>
      <c r="G26" s="97"/>
      <c r="H26" s="98"/>
    </row>
    <row r="27" spans="1:8" ht="15.75">
      <c r="A27" s="95">
        <v>8</v>
      </c>
      <c r="B27" s="95"/>
      <c r="C27" s="65" t="s">
        <v>178</v>
      </c>
      <c r="D27" s="65"/>
      <c r="E27" s="96">
        <f>ROUND(E25*0.35,8)</f>
        <v>0.33494335</v>
      </c>
      <c r="F27" s="97"/>
      <c r="G27" s="96">
        <f>ROUND(G25*0.35,8)</f>
        <v>0.33497076</v>
      </c>
      <c r="H27" s="98" t="s">
        <v>364</v>
      </c>
    </row>
    <row r="28" spans="1:8" ht="15.75">
      <c r="A28" s="95"/>
      <c r="B28" s="95"/>
      <c r="C28" s="65"/>
      <c r="D28" s="65"/>
      <c r="E28" s="97"/>
      <c r="F28" s="97"/>
      <c r="G28" s="97"/>
      <c r="H28" s="98"/>
    </row>
    <row r="29" spans="1:8" ht="16.5" thickBot="1">
      <c r="A29" s="95">
        <v>9</v>
      </c>
      <c r="B29" s="95"/>
      <c r="C29" s="65" t="s">
        <v>356</v>
      </c>
      <c r="D29" s="65"/>
      <c r="E29" s="101">
        <f>+E25-E27</f>
        <v>0.62203765</v>
      </c>
      <c r="F29" s="97"/>
      <c r="G29" s="101">
        <f>+G25-G27</f>
        <v>0.62208854</v>
      </c>
      <c r="H29" s="98" t="s">
        <v>365</v>
      </c>
    </row>
    <row r="30" spans="1:8" ht="16.5" thickTop="1">
      <c r="A30" s="95"/>
      <c r="B30" s="95"/>
      <c r="C30" s="65"/>
      <c r="D30" s="65"/>
      <c r="E30" s="97"/>
      <c r="F30" s="97"/>
      <c r="G30" s="97"/>
      <c r="H30" s="98"/>
    </row>
    <row r="31" spans="1:8" ht="15.75">
      <c r="A31" s="95"/>
      <c r="B31" s="95"/>
      <c r="C31" s="65"/>
      <c r="D31" s="65"/>
      <c r="E31" s="97"/>
      <c r="F31" s="97"/>
      <c r="G31" s="97"/>
      <c r="H31" s="98"/>
    </row>
    <row r="32" spans="1:3" ht="15.75">
      <c r="A32" s="70" t="s">
        <v>179</v>
      </c>
      <c r="B32" s="102"/>
      <c r="C32" s="102"/>
    </row>
    <row r="34" spans="1:4" ht="15.75">
      <c r="A34" s="66" t="s">
        <v>171</v>
      </c>
      <c r="B34" s="66"/>
      <c r="C34" s="66" t="s">
        <v>181</v>
      </c>
      <c r="D34" s="66"/>
    </row>
    <row r="35" spans="1:4" ht="15.75">
      <c r="A35" s="66"/>
      <c r="B35" s="66"/>
      <c r="C35" s="66"/>
      <c r="D35" s="66"/>
    </row>
    <row r="36" spans="1:4" ht="15.75">
      <c r="A36" s="66" t="s">
        <v>172</v>
      </c>
      <c r="B36" s="66"/>
      <c r="C36" s="66" t="s">
        <v>180</v>
      </c>
      <c r="D36" s="66"/>
    </row>
    <row r="37" spans="1:4" ht="15.75">
      <c r="A37" s="66"/>
      <c r="B37" s="66"/>
      <c r="C37" s="66"/>
      <c r="D37" s="66"/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Header>&amp;R&amp;"Times New Roman,Regular"Docket Nos. UE-090134 and UG-090135, UG-060518
Exhibit No. __(HL-4)
Schedule A-2 (Gas)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Layout" workbookViewId="0" topLeftCell="C1">
      <selection activeCell="G12" sqref="G12"/>
    </sheetView>
  </sheetViews>
  <sheetFormatPr defaultColWidth="9.140625" defaultRowHeight="12.75"/>
  <cols>
    <col min="1" max="1" width="5.7109375" style="0" customWidth="1"/>
    <col min="2" max="4" width="1.7109375" style="0" customWidth="1"/>
    <col min="5" max="5" width="33.7109375" style="0" customWidth="1"/>
    <col min="6" max="8" width="12.7109375" style="0" customWidth="1"/>
  </cols>
  <sheetData>
    <row r="1" spans="1:9" ht="15.75">
      <c r="A1" s="237" t="str">
        <f>'[1]Inputs'!$D$6</f>
        <v>AVISTA UTILITIES</v>
      </c>
      <c r="B1" s="238"/>
      <c r="C1" s="238"/>
      <c r="D1" s="238"/>
      <c r="E1" s="238"/>
      <c r="F1" s="239"/>
      <c r="G1" s="225"/>
      <c r="H1" s="225"/>
      <c r="I1" s="225"/>
    </row>
    <row r="2" spans="1:9" ht="15.75">
      <c r="A2" s="237" t="s">
        <v>0</v>
      </c>
      <c r="B2" s="238"/>
      <c r="C2" s="238"/>
      <c r="D2" s="238"/>
      <c r="E2" s="238"/>
      <c r="F2" s="239"/>
      <c r="G2" s="225"/>
      <c r="H2" s="225"/>
      <c r="I2" s="225"/>
    </row>
    <row r="3" spans="1:9" ht="15.75">
      <c r="A3" s="237" t="s">
        <v>1</v>
      </c>
      <c r="B3" s="238"/>
      <c r="C3" s="238"/>
      <c r="D3" s="238"/>
      <c r="E3" s="238"/>
      <c r="F3" s="240"/>
      <c r="G3" s="225"/>
      <c r="H3" s="225"/>
      <c r="I3" s="225"/>
    </row>
    <row r="4" spans="1:9" ht="15.75">
      <c r="A4" s="237" t="str">
        <f>'[1]Inputs'!$D$2</f>
        <v>TWELVE MONTHS ENDED SEPTEMBER 30, 2008</v>
      </c>
      <c r="B4" s="238"/>
      <c r="C4" s="238"/>
      <c r="D4" s="238"/>
      <c r="E4" s="238"/>
      <c r="F4" s="240"/>
      <c r="G4" s="225"/>
      <c r="H4" s="225"/>
      <c r="I4" s="225"/>
    </row>
    <row r="5" spans="1:9" ht="15.75">
      <c r="A5" s="237" t="s">
        <v>2</v>
      </c>
      <c r="B5" s="238"/>
      <c r="C5" s="238"/>
      <c r="D5" s="238"/>
      <c r="E5" s="238"/>
      <c r="F5" s="240"/>
      <c r="G5" s="225"/>
      <c r="H5" s="225"/>
      <c r="I5" s="225"/>
    </row>
    <row r="6" spans="1:9" ht="15.75">
      <c r="A6" s="241"/>
      <c r="B6" s="242"/>
      <c r="C6" s="242"/>
      <c r="D6" s="242"/>
      <c r="E6" s="242"/>
      <c r="F6" s="243"/>
      <c r="G6" s="225"/>
      <c r="H6" s="225"/>
      <c r="I6" s="225"/>
    </row>
    <row r="7" spans="1:9" ht="15.75">
      <c r="A7" s="258"/>
      <c r="B7" s="244"/>
      <c r="C7" s="244"/>
      <c r="D7" s="244"/>
      <c r="E7" s="259"/>
      <c r="F7" s="260" t="s">
        <v>3</v>
      </c>
      <c r="G7" s="93"/>
      <c r="H7" s="93"/>
      <c r="I7" s="225"/>
    </row>
    <row r="8" spans="1:9" ht="15.75">
      <c r="A8" s="258" t="s">
        <v>15</v>
      </c>
      <c r="B8" s="244"/>
      <c r="C8" s="244"/>
      <c r="D8" s="244"/>
      <c r="E8" s="259"/>
      <c r="F8" s="260" t="s">
        <v>16</v>
      </c>
      <c r="G8" s="93" t="s">
        <v>422</v>
      </c>
      <c r="H8" s="93" t="s">
        <v>182</v>
      </c>
      <c r="I8" s="225"/>
    </row>
    <row r="9" spans="1:9" ht="15.75">
      <c r="A9" s="261" t="s">
        <v>45</v>
      </c>
      <c r="B9" s="245"/>
      <c r="C9" s="245"/>
      <c r="D9" s="245"/>
      <c r="E9" s="245" t="s">
        <v>46</v>
      </c>
      <c r="F9" s="262" t="s">
        <v>47</v>
      </c>
      <c r="G9" s="263" t="s">
        <v>149</v>
      </c>
      <c r="H9" s="263" t="s">
        <v>149</v>
      </c>
      <c r="I9" s="225"/>
    </row>
    <row r="10" spans="1:9" ht="15">
      <c r="A10" s="225"/>
      <c r="B10" s="225"/>
      <c r="C10" s="225"/>
      <c r="D10" s="225"/>
      <c r="E10" s="225"/>
      <c r="F10" s="225"/>
      <c r="G10" s="225"/>
      <c r="H10" s="225"/>
      <c r="I10" s="225"/>
    </row>
    <row r="11" spans="1:9" ht="15.75">
      <c r="A11" s="246"/>
      <c r="B11" s="238" t="s">
        <v>134</v>
      </c>
      <c r="C11" s="238"/>
      <c r="D11" s="238"/>
      <c r="E11" s="238"/>
      <c r="F11" s="240"/>
      <c r="G11" s="225"/>
      <c r="H11" s="225"/>
      <c r="I11" s="225"/>
    </row>
    <row r="12" spans="1:9" ht="15.75">
      <c r="A12" s="246">
        <v>1</v>
      </c>
      <c r="B12" s="247"/>
      <c r="C12" s="247" t="s">
        <v>117</v>
      </c>
      <c r="D12" s="247"/>
      <c r="E12" s="247"/>
      <c r="F12" s="247">
        <v>13539</v>
      </c>
      <c r="G12" s="74">
        <v>22826</v>
      </c>
      <c r="H12" s="74">
        <f>'A-1'!AS56</f>
        <v>22153</v>
      </c>
      <c r="I12" s="225"/>
    </row>
    <row r="13" spans="1:9" ht="15.75">
      <c r="A13" s="246">
        <v>2</v>
      </c>
      <c r="B13" s="247"/>
      <c r="C13" s="247" t="s">
        <v>135</v>
      </c>
      <c r="D13" s="247"/>
      <c r="E13" s="247"/>
      <c r="F13" s="247">
        <v>237485</v>
      </c>
      <c r="G13" s="74">
        <v>253003</v>
      </c>
      <c r="H13" s="74">
        <f>'A-1'!AS57</f>
        <v>237433</v>
      </c>
      <c r="I13" s="225"/>
    </row>
    <row r="14" spans="1:9" ht="15.75">
      <c r="A14" s="246">
        <v>3</v>
      </c>
      <c r="B14" s="247"/>
      <c r="C14" s="247" t="s">
        <v>136</v>
      </c>
      <c r="D14" s="247"/>
      <c r="E14" s="247"/>
      <c r="F14" s="248">
        <v>23944</v>
      </c>
      <c r="G14" s="107">
        <v>30580</v>
      </c>
      <c r="H14" s="107">
        <f>'A-1'!AS58</f>
        <v>23944</v>
      </c>
      <c r="I14" s="225"/>
    </row>
    <row r="15" spans="1:9" ht="15.75">
      <c r="A15" s="246">
        <v>4</v>
      </c>
      <c r="B15" s="247"/>
      <c r="C15" s="247"/>
      <c r="D15" s="247"/>
      <c r="E15" s="247" t="s">
        <v>137</v>
      </c>
      <c r="F15" s="247">
        <f>SUM(F12:F14)</f>
        <v>274968</v>
      </c>
      <c r="G15" s="247">
        <f>SUM(G12:G14)</f>
        <v>306409</v>
      </c>
      <c r="H15" s="247">
        <f>SUM(H12:H14)</f>
        <v>283530</v>
      </c>
      <c r="I15" s="225"/>
    </row>
    <row r="16" spans="1:9" ht="15.75">
      <c r="A16" s="246">
        <v>5</v>
      </c>
      <c r="B16" s="247" t="s">
        <v>424</v>
      </c>
      <c r="C16" s="247"/>
      <c r="D16" s="247"/>
      <c r="E16" s="247"/>
      <c r="F16" s="247"/>
      <c r="G16" s="74"/>
      <c r="H16" s="74">
        <f>'A-1'!AS60</f>
        <v>0</v>
      </c>
      <c r="I16" s="225"/>
    </row>
    <row r="17" spans="1:9" ht="15.75">
      <c r="A17" s="246">
        <v>6</v>
      </c>
      <c r="B17" s="247"/>
      <c r="C17" s="247" t="s">
        <v>117</v>
      </c>
      <c r="D17" s="247"/>
      <c r="E17" s="247"/>
      <c r="F17" s="247">
        <v>7516</v>
      </c>
      <c r="G17" s="74">
        <v>8167</v>
      </c>
      <c r="H17" s="74">
        <f>'A-1'!AS61</f>
        <v>7782</v>
      </c>
      <c r="I17" s="225"/>
    </row>
    <row r="18" spans="1:9" ht="15.75">
      <c r="A18" s="246">
        <v>7</v>
      </c>
      <c r="B18" s="247"/>
      <c r="C18" s="247" t="s">
        <v>135</v>
      </c>
      <c r="D18" s="247"/>
      <c r="E18" s="247"/>
      <c r="F18" s="247">
        <v>80580</v>
      </c>
      <c r="G18" s="74">
        <v>89619</v>
      </c>
      <c r="H18" s="74">
        <f>'A-1'!AS62</f>
        <v>80580</v>
      </c>
      <c r="I18" s="225"/>
    </row>
    <row r="19" spans="1:9" ht="15.75">
      <c r="A19" s="246">
        <v>8</v>
      </c>
      <c r="B19" s="247"/>
      <c r="C19" s="247" t="s">
        <v>136</v>
      </c>
      <c r="D19" s="247"/>
      <c r="E19" s="247"/>
      <c r="F19" s="247">
        <v>8155</v>
      </c>
      <c r="G19" s="107">
        <v>11597</v>
      </c>
      <c r="H19" s="107">
        <f>'A-1'!AS63</f>
        <v>8155</v>
      </c>
      <c r="I19" s="225"/>
    </row>
    <row r="20" spans="1:9" ht="15.75">
      <c r="A20" s="246">
        <v>9</v>
      </c>
      <c r="B20" s="247"/>
      <c r="C20" s="247"/>
      <c r="D20" s="247"/>
      <c r="E20" s="247" t="s">
        <v>139</v>
      </c>
      <c r="F20" s="249">
        <f>SUM(F17:F19)</f>
        <v>96251</v>
      </c>
      <c r="G20" s="249">
        <f>SUM(G17:G19)</f>
        <v>109383</v>
      </c>
      <c r="H20" s="249">
        <f>SUM(H17:H19)</f>
        <v>96517</v>
      </c>
      <c r="I20" s="225"/>
    </row>
    <row r="21" spans="1:9" ht="15.75">
      <c r="A21" s="250">
        <v>10</v>
      </c>
      <c r="B21" s="251" t="s">
        <v>131</v>
      </c>
      <c r="C21" s="251"/>
      <c r="D21" s="251"/>
      <c r="E21" s="251"/>
      <c r="F21" s="251">
        <v>0</v>
      </c>
      <c r="G21" s="74">
        <v>-30809</v>
      </c>
      <c r="H21" s="74">
        <f>'A-1'!AS65</f>
        <v>-27698.442525</v>
      </c>
      <c r="I21" s="225"/>
    </row>
    <row r="22" spans="1:9" ht="15.75">
      <c r="A22" s="246">
        <v>11</v>
      </c>
      <c r="B22" s="247" t="s">
        <v>425</v>
      </c>
      <c r="C22" s="247"/>
      <c r="D22" s="247"/>
      <c r="E22" s="247"/>
      <c r="F22" s="247">
        <v>0</v>
      </c>
      <c r="G22" s="74">
        <v>12111</v>
      </c>
      <c r="H22" s="74">
        <f>'A-1'!AS66</f>
        <v>12111</v>
      </c>
      <c r="I22" s="225"/>
    </row>
    <row r="23" spans="1:9" ht="15.75">
      <c r="A23" s="246">
        <v>12</v>
      </c>
      <c r="B23" s="247" t="s">
        <v>426</v>
      </c>
      <c r="C23" s="247"/>
      <c r="D23" s="247"/>
      <c r="E23" s="247"/>
      <c r="F23" s="251">
        <v>0</v>
      </c>
      <c r="G23" s="74">
        <v>-65</v>
      </c>
      <c r="H23" s="74">
        <f>'A-1'!AS67</f>
        <v>-65</v>
      </c>
      <c r="I23" s="225"/>
    </row>
    <row r="24" spans="1:9" ht="15.75">
      <c r="A24" s="246">
        <v>13</v>
      </c>
      <c r="B24" s="238" t="s">
        <v>427</v>
      </c>
      <c r="C24" s="238"/>
      <c r="D24" s="238"/>
      <c r="E24" s="238"/>
      <c r="F24" s="252"/>
      <c r="G24" s="107"/>
      <c r="H24" s="107">
        <f>'A-1'!AS68</f>
        <v>-2568.7421992</v>
      </c>
      <c r="I24" s="225"/>
    </row>
    <row r="25" spans="1:9" ht="16.5" thickBot="1">
      <c r="A25" s="246">
        <v>14</v>
      </c>
      <c r="B25" s="253" t="s">
        <v>143</v>
      </c>
      <c r="C25" s="253"/>
      <c r="D25" s="253"/>
      <c r="E25" s="253"/>
      <c r="F25" s="254">
        <f>F15-F20+F21+F22+F23+F24</f>
        <v>178717</v>
      </c>
      <c r="G25" s="254">
        <f>G15-G20+G21+G22+G23+G24</f>
        <v>178263</v>
      </c>
      <c r="H25" s="254">
        <f>H15-H20+H21+H22+H23+H24</f>
        <v>168791.8152758</v>
      </c>
      <c r="I25" s="225"/>
    </row>
    <row r="26" spans="1:9" ht="16.5" thickTop="1">
      <c r="A26" s="246"/>
      <c r="B26" s="238"/>
      <c r="C26" s="238"/>
      <c r="D26" s="238"/>
      <c r="E26" s="238"/>
      <c r="F26" s="238"/>
      <c r="G26" s="74"/>
      <c r="H26" s="74"/>
      <c r="I26" s="225"/>
    </row>
    <row r="27" spans="1:9" ht="15.75">
      <c r="A27" s="225"/>
      <c r="B27" s="225"/>
      <c r="C27" s="225"/>
      <c r="D27" s="225"/>
      <c r="E27" s="225"/>
      <c r="F27" s="225"/>
      <c r="G27" s="74"/>
      <c r="H27" s="74"/>
      <c r="I27" s="225"/>
    </row>
    <row r="28" spans="1:9" ht="15.75">
      <c r="A28" s="225"/>
      <c r="B28" s="225"/>
      <c r="C28" s="225"/>
      <c r="D28" s="225"/>
      <c r="E28" s="225"/>
      <c r="F28" s="225"/>
      <c r="G28" s="74"/>
      <c r="H28" s="74"/>
      <c r="I28" s="225"/>
    </row>
    <row r="29" spans="1:9" ht="15">
      <c r="A29" s="225"/>
      <c r="B29" s="225"/>
      <c r="C29" s="225"/>
      <c r="D29" s="225"/>
      <c r="E29" s="225"/>
      <c r="F29" s="225"/>
      <c r="G29" s="225"/>
      <c r="H29" s="225"/>
      <c r="I29" s="225"/>
    </row>
    <row r="30" spans="1:9" ht="15">
      <c r="A30" s="225"/>
      <c r="B30" s="225"/>
      <c r="C30" s="225"/>
      <c r="D30" s="225"/>
      <c r="E30" s="225"/>
      <c r="F30" s="225"/>
      <c r="G30" s="225"/>
      <c r="H30" s="225"/>
      <c r="I30" s="225"/>
    </row>
    <row r="31" spans="1:9" ht="15">
      <c r="A31" s="225"/>
      <c r="B31" s="225"/>
      <c r="C31" s="225"/>
      <c r="D31" s="225"/>
      <c r="E31" s="225"/>
      <c r="F31" s="225"/>
      <c r="G31" s="225"/>
      <c r="H31" s="225"/>
      <c r="I31" s="225"/>
    </row>
    <row r="32" spans="1:9" ht="15">
      <c r="A32" s="225"/>
      <c r="B32" s="225"/>
      <c r="C32" s="225"/>
      <c r="D32" s="225"/>
      <c r="E32" s="225"/>
      <c r="F32" s="225"/>
      <c r="G32" s="225"/>
      <c r="H32" s="225"/>
      <c r="I32" s="225"/>
    </row>
    <row r="33" spans="1:9" ht="15">
      <c r="A33" s="225"/>
      <c r="B33" s="225"/>
      <c r="C33" s="225"/>
      <c r="D33" s="225"/>
      <c r="E33" s="225"/>
      <c r="F33" s="225"/>
      <c r="G33" s="225"/>
      <c r="H33" s="225"/>
      <c r="I33" s="225"/>
    </row>
    <row r="34" spans="1:9" ht="15">
      <c r="A34" s="225"/>
      <c r="B34" s="225"/>
      <c r="C34" s="225"/>
      <c r="D34" s="225"/>
      <c r="E34" s="225"/>
      <c r="F34" s="225"/>
      <c r="G34" s="225"/>
      <c r="H34" s="225"/>
      <c r="I34" s="225"/>
    </row>
    <row r="35" spans="1:9" ht="15">
      <c r="A35" s="225"/>
      <c r="B35" s="225"/>
      <c r="C35" s="225"/>
      <c r="D35" s="225"/>
      <c r="E35" s="225"/>
      <c r="F35" s="225"/>
      <c r="G35" s="225"/>
      <c r="H35" s="225"/>
      <c r="I35" s="225"/>
    </row>
    <row r="36" spans="1:9" ht="15">
      <c r="A36" s="225"/>
      <c r="B36" s="225"/>
      <c r="C36" s="225"/>
      <c r="D36" s="225"/>
      <c r="E36" s="225"/>
      <c r="F36" s="225"/>
      <c r="G36" s="225"/>
      <c r="H36" s="225"/>
      <c r="I36" s="225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Nos. UE-090134 and UG-090135, UG-060518
Exhibit No. __(HL-4)
Schedule B (Gas)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view="pageLayout" workbookViewId="0" topLeftCell="C1">
      <selection activeCell="G2" sqref="G2"/>
    </sheetView>
  </sheetViews>
  <sheetFormatPr defaultColWidth="9.140625" defaultRowHeight="12.75"/>
  <cols>
    <col min="1" max="1" width="5.7109375" style="0" customWidth="1"/>
    <col min="2" max="4" width="1.7109375" style="0" customWidth="1"/>
    <col min="5" max="5" width="32.421875" style="0" customWidth="1"/>
    <col min="6" max="8" width="12.7109375" style="0" customWidth="1"/>
  </cols>
  <sheetData>
    <row r="1" spans="1:9" ht="15.75">
      <c r="A1" s="237" t="str">
        <f>'[1]Inputs'!$D$6</f>
        <v>AVISTA UTILITIES</v>
      </c>
      <c r="B1" s="238"/>
      <c r="C1" s="238"/>
      <c r="D1" s="238"/>
      <c r="E1" s="238"/>
      <c r="F1" s="225"/>
      <c r="G1" s="225"/>
      <c r="H1" s="225"/>
      <c r="I1" s="225"/>
    </row>
    <row r="2" spans="1:9" ht="15.75">
      <c r="A2" s="237" t="s">
        <v>0</v>
      </c>
      <c r="B2" s="238"/>
      <c r="C2" s="238"/>
      <c r="D2" s="238"/>
      <c r="E2" s="238"/>
      <c r="F2" s="225"/>
      <c r="G2" s="225"/>
      <c r="H2" s="225"/>
      <c r="I2" s="225"/>
    </row>
    <row r="3" spans="1:9" ht="15.75">
      <c r="A3" s="237" t="s">
        <v>1</v>
      </c>
      <c r="B3" s="238"/>
      <c r="C3" s="238"/>
      <c r="D3" s="238"/>
      <c r="E3" s="238"/>
      <c r="F3" s="225"/>
      <c r="G3" s="225"/>
      <c r="H3" s="225"/>
      <c r="I3" s="225"/>
    </row>
    <row r="4" spans="1:9" ht="15.75">
      <c r="A4" s="237" t="str">
        <f>'[1]Inputs'!$D$2</f>
        <v>TWELVE MONTHS ENDED SEPTEMBER 30, 2008</v>
      </c>
      <c r="B4" s="238"/>
      <c r="C4" s="238"/>
      <c r="D4" s="238"/>
      <c r="E4" s="238"/>
      <c r="F4" s="225"/>
      <c r="G4" s="225"/>
      <c r="H4" s="225"/>
      <c r="I4" s="225"/>
    </row>
    <row r="5" spans="1:9" ht="15.75">
      <c r="A5" s="237" t="s">
        <v>2</v>
      </c>
      <c r="B5" s="238"/>
      <c r="C5" s="238"/>
      <c r="D5" s="238"/>
      <c r="E5" s="238"/>
      <c r="F5" s="225"/>
      <c r="G5" s="225"/>
      <c r="H5" s="225"/>
      <c r="I5" s="225"/>
    </row>
    <row r="6" spans="1:9" ht="15.75">
      <c r="A6" s="241"/>
      <c r="B6" s="242"/>
      <c r="C6" s="242"/>
      <c r="D6" s="242"/>
      <c r="E6" s="242"/>
      <c r="F6" s="225"/>
      <c r="G6" s="225"/>
      <c r="H6" s="225"/>
      <c r="I6" s="225"/>
    </row>
    <row r="7" spans="1:9" ht="15.75">
      <c r="A7" s="258"/>
      <c r="B7" s="244"/>
      <c r="C7" s="244"/>
      <c r="D7" s="244"/>
      <c r="E7" s="259"/>
      <c r="F7" s="260" t="s">
        <v>3</v>
      </c>
      <c r="G7" s="93"/>
      <c r="H7" s="93"/>
      <c r="I7" s="225"/>
    </row>
    <row r="8" spans="1:9" ht="15.75">
      <c r="A8" s="258" t="s">
        <v>15</v>
      </c>
      <c r="B8" s="244"/>
      <c r="C8" s="244"/>
      <c r="D8" s="244"/>
      <c r="E8" s="259"/>
      <c r="F8" s="260" t="s">
        <v>16</v>
      </c>
      <c r="G8" s="93" t="s">
        <v>422</v>
      </c>
      <c r="H8" s="93" t="s">
        <v>182</v>
      </c>
      <c r="I8" s="225"/>
    </row>
    <row r="9" spans="1:9" ht="15.75">
      <c r="A9" s="261" t="s">
        <v>45</v>
      </c>
      <c r="B9" s="245"/>
      <c r="C9" s="245"/>
      <c r="D9" s="245"/>
      <c r="E9" s="245" t="s">
        <v>46</v>
      </c>
      <c r="F9" s="262" t="s">
        <v>47</v>
      </c>
      <c r="G9" s="263" t="s">
        <v>149</v>
      </c>
      <c r="H9" s="263" t="s">
        <v>149</v>
      </c>
      <c r="I9" s="225"/>
    </row>
    <row r="10" spans="1:9" ht="15.75">
      <c r="A10" s="246"/>
      <c r="B10" s="255"/>
      <c r="C10" s="255"/>
      <c r="D10" s="255"/>
      <c r="E10" s="255"/>
      <c r="F10" s="225"/>
      <c r="G10" s="225"/>
      <c r="H10" s="225"/>
      <c r="I10" s="225"/>
    </row>
    <row r="11" spans="1:9" ht="15.75">
      <c r="A11" s="246"/>
      <c r="B11" s="238"/>
      <c r="C11" s="238"/>
      <c r="D11" s="238"/>
      <c r="E11" s="238"/>
      <c r="F11" s="225"/>
      <c r="G11" s="225"/>
      <c r="H11" s="225"/>
      <c r="I11" s="225"/>
    </row>
    <row r="12" spans="1:9" ht="15.75">
      <c r="A12" s="246"/>
      <c r="B12" s="238" t="s">
        <v>105</v>
      </c>
      <c r="C12" s="238"/>
      <c r="D12" s="238"/>
      <c r="E12" s="238"/>
      <c r="F12" s="225"/>
      <c r="G12" s="225"/>
      <c r="H12" s="225"/>
      <c r="I12" s="225"/>
    </row>
    <row r="13" spans="1:9" ht="15.75">
      <c r="A13" s="246">
        <v>1</v>
      </c>
      <c r="B13" s="253"/>
      <c r="C13" s="253" t="s">
        <v>106</v>
      </c>
      <c r="D13" s="253"/>
      <c r="E13" s="253"/>
      <c r="F13" s="74">
        <f>'A-1'!F13</f>
        <v>220020</v>
      </c>
      <c r="G13" s="74">
        <v>213876</v>
      </c>
      <c r="H13" s="74">
        <f>'A-1'!AS13</f>
        <v>213876</v>
      </c>
      <c r="I13" s="225"/>
    </row>
    <row r="14" spans="1:9" ht="15.75">
      <c r="A14" s="246">
        <v>2</v>
      </c>
      <c r="B14" s="238"/>
      <c r="C14" s="247" t="s">
        <v>107</v>
      </c>
      <c r="D14" s="247"/>
      <c r="E14" s="247"/>
      <c r="F14" s="74">
        <f>'A-1'!F14</f>
        <v>3486</v>
      </c>
      <c r="G14" s="74">
        <v>1711</v>
      </c>
      <c r="H14" s="74">
        <f>'A-1'!AS14</f>
        <v>1711</v>
      </c>
      <c r="I14" s="225"/>
    </row>
    <row r="15" spans="1:9" ht="15.75">
      <c r="A15" s="246">
        <v>3</v>
      </c>
      <c r="B15" s="238"/>
      <c r="C15" s="247" t="s">
        <v>108</v>
      </c>
      <c r="D15" s="247"/>
      <c r="E15" s="247"/>
      <c r="F15" s="107">
        <f>'A-1'!F15</f>
        <v>135812</v>
      </c>
      <c r="G15" s="107">
        <v>1852</v>
      </c>
      <c r="H15" s="107">
        <f>'A-1'!AS15</f>
        <v>1852</v>
      </c>
      <c r="I15" s="225"/>
    </row>
    <row r="16" spans="1:9" ht="15.75">
      <c r="A16" s="246">
        <v>4</v>
      </c>
      <c r="B16" s="225"/>
      <c r="D16" s="238" t="s">
        <v>109</v>
      </c>
      <c r="E16" s="247"/>
      <c r="F16" s="74">
        <f>SUM(F13:F15)</f>
        <v>359318</v>
      </c>
      <c r="G16" s="74">
        <f>SUM(G13:G15)</f>
        <v>217439</v>
      </c>
      <c r="H16" s="74">
        <f>SUM(H13:H15)</f>
        <v>217439</v>
      </c>
      <c r="I16" s="225"/>
    </row>
    <row r="17" spans="1:9" ht="15.75">
      <c r="A17" s="246"/>
      <c r="B17" s="238"/>
      <c r="C17" s="247"/>
      <c r="D17" s="247"/>
      <c r="E17" s="247"/>
      <c r="F17" s="74"/>
      <c r="G17" s="74"/>
      <c r="H17" s="74"/>
      <c r="I17" s="225"/>
    </row>
    <row r="18" spans="1:9" ht="15.75">
      <c r="A18" s="246"/>
      <c r="B18" s="238" t="s">
        <v>110</v>
      </c>
      <c r="C18" s="247"/>
      <c r="D18" s="247"/>
      <c r="E18" s="247"/>
      <c r="F18" s="74"/>
      <c r="G18" s="74"/>
      <c r="H18" s="74"/>
      <c r="I18" s="225"/>
    </row>
    <row r="19" spans="1:9" ht="15.75">
      <c r="A19" s="246">
        <v>5</v>
      </c>
      <c r="B19" s="238"/>
      <c r="C19" s="247" t="s">
        <v>111</v>
      </c>
      <c r="D19" s="247"/>
      <c r="E19" s="247"/>
      <c r="F19" s="74">
        <f>'A-1'!F19</f>
        <v>0</v>
      </c>
      <c r="G19" s="74">
        <v>0</v>
      </c>
      <c r="H19" s="74">
        <f>'A-1'!AS19</f>
        <v>0</v>
      </c>
      <c r="I19" s="225"/>
    </row>
    <row r="20" spans="1:9" ht="15.75">
      <c r="A20" s="246">
        <v>6</v>
      </c>
      <c r="B20" s="238"/>
      <c r="C20" s="247" t="s">
        <v>112</v>
      </c>
      <c r="D20" s="247"/>
      <c r="E20" s="247"/>
      <c r="F20" s="74">
        <f>'A-1'!F24</f>
        <v>291196</v>
      </c>
      <c r="G20" s="74">
        <v>158107</v>
      </c>
      <c r="H20" s="74">
        <f>'A-1'!AS24</f>
        <v>158085.463225</v>
      </c>
      <c r="I20" s="225"/>
    </row>
    <row r="21" spans="1:9" ht="15.75">
      <c r="A21" s="246">
        <v>7</v>
      </c>
      <c r="B21" s="238"/>
      <c r="C21" s="247" t="s">
        <v>117</v>
      </c>
      <c r="D21" s="247"/>
      <c r="E21" s="247"/>
      <c r="F21" s="74">
        <f>'A-1'!F29</f>
        <v>781</v>
      </c>
      <c r="G21" s="74">
        <v>937</v>
      </c>
      <c r="H21" s="74">
        <f>'A-1'!AS29</f>
        <v>1035.27585</v>
      </c>
      <c r="I21" s="225"/>
    </row>
    <row r="22" spans="1:9" ht="15.75">
      <c r="A22" s="246">
        <v>8</v>
      </c>
      <c r="B22" s="238"/>
      <c r="C22" s="247" t="s">
        <v>120</v>
      </c>
      <c r="D22" s="247"/>
      <c r="E22" s="247"/>
      <c r="F22" s="74">
        <f>'A-1'!F34</f>
        <v>30201</v>
      </c>
      <c r="G22" s="74">
        <v>22531</v>
      </c>
      <c r="H22" s="74">
        <f>'A-1'!AS34</f>
        <v>22488.818385</v>
      </c>
      <c r="I22" s="225"/>
    </row>
    <row r="23" spans="1:9" ht="15.75">
      <c r="A23" s="246">
        <v>9</v>
      </c>
      <c r="B23" s="238" t="s">
        <v>122</v>
      </c>
      <c r="C23" s="247"/>
      <c r="D23" s="247"/>
      <c r="E23" s="247"/>
      <c r="F23" s="74">
        <f>'A-1'!F36</f>
        <v>4884</v>
      </c>
      <c r="G23" s="74">
        <v>5053</v>
      </c>
      <c r="H23" s="74">
        <f>'A-1'!AS36</f>
        <v>4947.94973</v>
      </c>
      <c r="I23" s="225"/>
    </row>
    <row r="24" spans="1:9" ht="15.75">
      <c r="A24" s="246">
        <v>10</v>
      </c>
      <c r="B24" s="238" t="s">
        <v>123</v>
      </c>
      <c r="C24" s="247"/>
      <c r="D24" s="247"/>
      <c r="E24" s="247"/>
      <c r="F24" s="74">
        <f>'A-1'!F37</f>
        <v>5002</v>
      </c>
      <c r="G24" s="74">
        <v>756</v>
      </c>
      <c r="H24" s="74">
        <f>'A-1'!AS37</f>
        <v>749.26085</v>
      </c>
      <c r="I24" s="225"/>
    </row>
    <row r="25" spans="1:9" ht="15.75">
      <c r="A25" s="246">
        <v>11</v>
      </c>
      <c r="B25" s="238" t="s">
        <v>124</v>
      </c>
      <c r="C25" s="247"/>
      <c r="D25" s="247"/>
      <c r="E25" s="247"/>
      <c r="F25" s="74">
        <f>'A-1'!F38</f>
        <v>545</v>
      </c>
      <c r="G25" s="74">
        <v>582</v>
      </c>
      <c r="H25" s="74">
        <f>'A-1'!AS38</f>
        <v>571.146625</v>
      </c>
      <c r="I25" s="225"/>
    </row>
    <row r="26" spans="1:9" ht="15.75">
      <c r="A26" s="246">
        <v>12</v>
      </c>
      <c r="B26" s="238" t="s">
        <v>125</v>
      </c>
      <c r="C26" s="247"/>
      <c r="D26" s="247"/>
      <c r="E26" s="247"/>
      <c r="F26" s="107">
        <f>'A-1'!F43</f>
        <v>10639</v>
      </c>
      <c r="G26" s="107">
        <v>12982</v>
      </c>
      <c r="H26" s="107">
        <f>'A-1'!AS43</f>
        <v>11286.54854807492</v>
      </c>
      <c r="I26" s="225"/>
    </row>
    <row r="27" spans="1:9" ht="15.75">
      <c r="A27" s="246">
        <v>13</v>
      </c>
      <c r="B27" s="225"/>
      <c r="D27" s="238" t="s">
        <v>127</v>
      </c>
      <c r="E27" s="247"/>
      <c r="F27" s="74">
        <f>SUM(F19:F26)</f>
        <v>343248</v>
      </c>
      <c r="G27" s="74">
        <f>SUM(G19:G26)</f>
        <v>200948</v>
      </c>
      <c r="H27" s="74">
        <f>SUM(H19:H26)</f>
        <v>199164.4632130749</v>
      </c>
      <c r="I27" s="225"/>
    </row>
    <row r="28" spans="1:9" ht="15.75">
      <c r="A28" s="246"/>
      <c r="B28" s="238"/>
      <c r="C28" s="247"/>
      <c r="D28" s="247"/>
      <c r="E28" s="247"/>
      <c r="F28" s="74"/>
      <c r="G28" s="74"/>
      <c r="H28" s="74"/>
      <c r="I28" s="225"/>
    </row>
    <row r="29" spans="1:9" ht="15.75">
      <c r="A29" s="246">
        <v>14</v>
      </c>
      <c r="B29" s="238" t="s">
        <v>128</v>
      </c>
      <c r="C29" s="247"/>
      <c r="D29" s="247"/>
      <c r="E29" s="247"/>
      <c r="F29" s="74">
        <f>+F16-F27</f>
        <v>16070</v>
      </c>
      <c r="G29" s="74">
        <f>+G16-G27</f>
        <v>16491</v>
      </c>
      <c r="H29" s="74">
        <f>+H16-H27</f>
        <v>18274.536786925106</v>
      </c>
      <c r="I29" s="225"/>
    </row>
    <row r="30" spans="1:9" ht="15.75">
      <c r="A30" s="246"/>
      <c r="B30" s="238"/>
      <c r="C30" s="247"/>
      <c r="D30" s="247"/>
      <c r="E30" s="247"/>
      <c r="F30" s="74"/>
      <c r="G30" s="74"/>
      <c r="H30" s="74"/>
      <c r="I30" s="225"/>
    </row>
    <row r="31" spans="1:9" ht="15.75">
      <c r="A31" s="246"/>
      <c r="B31" s="238" t="s">
        <v>129</v>
      </c>
      <c r="C31" s="247"/>
      <c r="D31" s="247"/>
      <c r="E31" s="247"/>
      <c r="F31" s="74"/>
      <c r="G31" s="74"/>
      <c r="H31" s="74"/>
      <c r="I31" s="225"/>
    </row>
    <row r="32" spans="1:9" ht="15.75">
      <c r="A32" s="246">
        <v>15</v>
      </c>
      <c r="B32" s="238"/>
      <c r="C32" s="247" t="s">
        <v>130</v>
      </c>
      <c r="D32" s="247"/>
      <c r="E32" s="247"/>
      <c r="F32" s="74">
        <f>'A-1'!F48</f>
        <v>5138</v>
      </c>
      <c r="G32" s="74">
        <v>5142</v>
      </c>
      <c r="H32" s="74">
        <f>'A-1'!AS48</f>
        <v>5800.537875423779</v>
      </c>
      <c r="I32" s="225"/>
    </row>
    <row r="33" spans="1:9" ht="15.75">
      <c r="A33" s="246">
        <v>16</v>
      </c>
      <c r="B33" s="238"/>
      <c r="C33" s="247" t="s">
        <v>131</v>
      </c>
      <c r="D33" s="247"/>
      <c r="E33" s="247"/>
      <c r="F33" s="74">
        <f>'A-1'!F49</f>
        <v>-1042</v>
      </c>
      <c r="G33" s="74">
        <v>-1035</v>
      </c>
      <c r="H33" s="74">
        <f>'A-1'!AS49</f>
        <v>-1035</v>
      </c>
      <c r="I33" s="225"/>
    </row>
    <row r="34" spans="1:9" ht="15.75">
      <c r="A34" s="246">
        <v>17</v>
      </c>
      <c r="B34" s="238"/>
      <c r="C34" s="247" t="s">
        <v>132</v>
      </c>
      <c r="D34" s="247"/>
      <c r="E34" s="247"/>
      <c r="F34" s="107">
        <f>'A-1'!F50</f>
        <v>-30</v>
      </c>
      <c r="G34" s="107">
        <v>-30</v>
      </c>
      <c r="H34" s="107">
        <f>'A-1'!AS50</f>
        <v>-30</v>
      </c>
      <c r="I34" s="225"/>
    </row>
    <row r="35" spans="1:9" ht="15.75">
      <c r="A35" s="246"/>
      <c r="B35" s="238"/>
      <c r="C35" s="238"/>
      <c r="D35" s="238"/>
      <c r="E35" s="238"/>
      <c r="F35" s="74"/>
      <c r="G35" s="74"/>
      <c r="H35" s="74"/>
      <c r="I35" s="225"/>
    </row>
    <row r="36" spans="1:9" ht="16.5" thickBot="1">
      <c r="A36" s="246">
        <v>18</v>
      </c>
      <c r="B36" s="253" t="s">
        <v>133</v>
      </c>
      <c r="C36" s="253"/>
      <c r="D36" s="253"/>
      <c r="E36" s="253"/>
      <c r="F36" s="88">
        <f>+F29-F32-F33-F34</f>
        <v>12004</v>
      </c>
      <c r="G36" s="88">
        <f>+G29-G32-G33-G34</f>
        <v>12414</v>
      </c>
      <c r="H36" s="88">
        <f>+H29-H32-H33-H34</f>
        <v>13538.998911501327</v>
      </c>
      <c r="I36" s="225"/>
    </row>
    <row r="37" spans="1:9" ht="16.5" thickTop="1">
      <c r="A37" s="246"/>
      <c r="B37" s="238"/>
      <c r="C37" s="238"/>
      <c r="D37" s="238"/>
      <c r="E37" s="238"/>
      <c r="F37" s="74"/>
      <c r="G37" s="74"/>
      <c r="H37" s="74"/>
      <c r="I37" s="225"/>
    </row>
    <row r="38" spans="1:9" ht="15.75">
      <c r="A38" s="225"/>
      <c r="B38" s="225"/>
      <c r="C38" s="225"/>
      <c r="D38" s="225"/>
      <c r="E38" s="225"/>
      <c r="F38" s="74"/>
      <c r="G38" s="74"/>
      <c r="H38" s="74"/>
      <c r="I38" s="225"/>
    </row>
    <row r="39" spans="1:9" ht="15.75">
      <c r="A39" s="225"/>
      <c r="B39" s="225"/>
      <c r="C39" s="225"/>
      <c r="D39" s="225"/>
      <c r="E39" s="225"/>
      <c r="F39" s="74"/>
      <c r="G39" s="74"/>
      <c r="H39" s="74"/>
      <c r="I39" s="225"/>
    </row>
    <row r="40" spans="1:9" ht="15.75">
      <c r="A40" s="225"/>
      <c r="B40" s="225"/>
      <c r="C40" s="225"/>
      <c r="D40" s="225"/>
      <c r="E40" s="225"/>
      <c r="F40" s="74"/>
      <c r="G40" s="74"/>
      <c r="H40" s="74"/>
      <c r="I40" s="225"/>
    </row>
    <row r="41" spans="1:9" ht="15.75">
      <c r="A41" s="225"/>
      <c r="B41" s="225"/>
      <c r="C41" s="225"/>
      <c r="D41" s="225"/>
      <c r="E41" s="225"/>
      <c r="F41" s="74"/>
      <c r="G41" s="74"/>
      <c r="H41" s="74"/>
      <c r="I41" s="225"/>
    </row>
    <row r="42" spans="1:9" ht="15.75">
      <c r="A42" s="225"/>
      <c r="B42" s="225"/>
      <c r="C42" s="225"/>
      <c r="D42" s="225"/>
      <c r="E42" s="225"/>
      <c r="F42" s="74"/>
      <c r="G42" s="74"/>
      <c r="H42" s="74"/>
      <c r="I42" s="225"/>
    </row>
    <row r="43" spans="1:9" ht="15.75">
      <c r="A43" s="225"/>
      <c r="B43" s="225"/>
      <c r="C43" s="225"/>
      <c r="D43" s="225"/>
      <c r="E43" s="225"/>
      <c r="F43" s="74"/>
      <c r="G43" s="74"/>
      <c r="H43" s="74"/>
      <c r="I43" s="225"/>
    </row>
    <row r="44" spans="1:9" ht="15.75">
      <c r="A44" s="225"/>
      <c r="B44" s="225"/>
      <c r="C44" s="225"/>
      <c r="D44" s="225"/>
      <c r="E44" s="225"/>
      <c r="F44" s="74"/>
      <c r="G44" s="74"/>
      <c r="H44" s="74"/>
      <c r="I44" s="225"/>
    </row>
    <row r="45" spans="1:9" ht="15.75">
      <c r="A45" s="225"/>
      <c r="B45" s="225"/>
      <c r="C45" s="225"/>
      <c r="D45" s="225"/>
      <c r="E45" s="225"/>
      <c r="F45" s="74"/>
      <c r="G45" s="74"/>
      <c r="H45" s="74"/>
      <c r="I45" s="225"/>
    </row>
    <row r="46" spans="1:9" ht="15.75">
      <c r="A46" s="225"/>
      <c r="B46" s="225"/>
      <c r="C46" s="225"/>
      <c r="D46" s="225"/>
      <c r="E46" s="225"/>
      <c r="F46" s="74"/>
      <c r="G46" s="74"/>
      <c r="H46" s="74"/>
      <c r="I46" s="225"/>
    </row>
    <row r="47" spans="1:9" ht="15.75">
      <c r="A47" s="225"/>
      <c r="B47" s="225"/>
      <c r="C47" s="225"/>
      <c r="D47" s="225"/>
      <c r="E47" s="225"/>
      <c r="F47" s="74"/>
      <c r="G47" s="74"/>
      <c r="H47" s="74"/>
      <c r="I47" s="225"/>
    </row>
    <row r="48" spans="1:9" ht="15.75">
      <c r="A48" s="225"/>
      <c r="B48" s="225"/>
      <c r="C48" s="225"/>
      <c r="D48" s="225"/>
      <c r="E48" s="225"/>
      <c r="F48" s="74"/>
      <c r="G48" s="74"/>
      <c r="H48" s="74"/>
      <c r="I48" s="225"/>
    </row>
    <row r="49" spans="1:9" ht="15.75">
      <c r="A49" s="225"/>
      <c r="B49" s="225"/>
      <c r="C49" s="225"/>
      <c r="D49" s="225"/>
      <c r="E49" s="225"/>
      <c r="F49" s="74"/>
      <c r="G49" s="74"/>
      <c r="H49" s="74"/>
      <c r="I49" s="225"/>
    </row>
    <row r="50" spans="1:9" ht="15.75">
      <c r="A50" s="225"/>
      <c r="B50" s="225"/>
      <c r="C50" s="225"/>
      <c r="D50" s="225"/>
      <c r="E50" s="225"/>
      <c r="F50" s="74"/>
      <c r="G50" s="74"/>
      <c r="H50" s="74"/>
      <c r="I50" s="225"/>
    </row>
    <row r="51" spans="1:9" ht="15.75">
      <c r="A51" s="225"/>
      <c r="B51" s="225"/>
      <c r="C51" s="225"/>
      <c r="D51" s="225"/>
      <c r="E51" s="225"/>
      <c r="F51" s="74"/>
      <c r="G51" s="74"/>
      <c r="H51" s="74"/>
      <c r="I51" s="225"/>
    </row>
    <row r="52" spans="1:9" ht="15.75">
      <c r="A52" s="225"/>
      <c r="B52" s="225"/>
      <c r="C52" s="225"/>
      <c r="D52" s="225"/>
      <c r="E52" s="225"/>
      <c r="F52" s="74"/>
      <c r="G52" s="74"/>
      <c r="H52" s="74"/>
      <c r="I52" s="225"/>
    </row>
    <row r="53" spans="1:9" ht="15.75">
      <c r="A53" s="225"/>
      <c r="B53" s="225"/>
      <c r="C53" s="225"/>
      <c r="D53" s="225"/>
      <c r="E53" s="225"/>
      <c r="F53" s="74"/>
      <c r="G53" s="74"/>
      <c r="H53" s="74"/>
      <c r="I53" s="225"/>
    </row>
    <row r="54" spans="1:9" ht="15.75">
      <c r="A54" s="225"/>
      <c r="B54" s="225"/>
      <c r="C54" s="225"/>
      <c r="D54" s="225"/>
      <c r="E54" s="225"/>
      <c r="F54" s="74"/>
      <c r="G54" s="74"/>
      <c r="H54" s="74"/>
      <c r="I54" s="225"/>
    </row>
    <row r="55" spans="6:8" ht="12.75">
      <c r="F55" s="256"/>
      <c r="G55" s="256"/>
      <c r="H55" s="256"/>
    </row>
    <row r="56" spans="6:8" ht="12.75">
      <c r="F56" s="256"/>
      <c r="G56" s="256"/>
      <c r="H56" s="256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Nos. UE-090134 and UG-090135, UG-060518
Exhibit No. __(HL-4)
Schedule C (Gas)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view="pageLayout" workbookViewId="0" topLeftCell="C1">
      <selection activeCell="A4" sqref="A4:H4"/>
    </sheetView>
  </sheetViews>
  <sheetFormatPr defaultColWidth="9.140625" defaultRowHeight="12.75"/>
  <cols>
    <col min="2" max="2" width="0.9921875" style="0" customWidth="1"/>
    <col min="3" max="3" width="38.57421875" style="0" customWidth="1"/>
    <col min="4" max="4" width="1.1484375" style="0" customWidth="1"/>
    <col min="5" max="5" width="13.57421875" style="0" customWidth="1"/>
    <col min="6" max="6" width="0.9921875" style="0" customWidth="1"/>
    <col min="7" max="7" width="10.57421875" style="0" bestFit="1" customWidth="1"/>
  </cols>
  <sheetData>
    <row r="1" spans="1:8" ht="15.75">
      <c r="A1" s="265" t="str">
        <f>A!A1</f>
        <v>AVISTA UTILITIES</v>
      </c>
      <c r="B1" s="265"/>
      <c r="C1" s="265"/>
      <c r="D1" s="265"/>
      <c r="E1" s="265"/>
      <c r="F1" s="265"/>
      <c r="G1" s="265"/>
      <c r="H1" s="265"/>
    </row>
    <row r="2" spans="1:8" ht="15.75">
      <c r="A2" s="265" t="str">
        <f>A!A2</f>
        <v>Washington Gas System</v>
      </c>
      <c r="B2" s="265"/>
      <c r="C2" s="265"/>
      <c r="D2" s="265"/>
      <c r="E2" s="265"/>
      <c r="F2" s="265"/>
      <c r="G2" s="265"/>
      <c r="H2" s="265"/>
    </row>
    <row r="3" spans="1:8" ht="15.75">
      <c r="A3" s="265" t="str">
        <f>A!A3</f>
        <v>Test Year Twelve Months Ended September 30, 2008</v>
      </c>
      <c r="B3" s="265"/>
      <c r="C3" s="265"/>
      <c r="D3" s="265"/>
      <c r="E3" s="265"/>
      <c r="F3" s="265"/>
      <c r="G3" s="265"/>
      <c r="H3" s="265"/>
    </row>
    <row r="4" spans="1:8" ht="15.75">
      <c r="A4" s="265" t="str">
        <f>A!A4</f>
        <v>($000's of Dollars)</v>
      </c>
      <c r="B4" s="265"/>
      <c r="C4" s="265"/>
      <c r="D4" s="265"/>
      <c r="E4" s="265"/>
      <c r="F4" s="265"/>
      <c r="G4" s="265"/>
      <c r="H4" s="265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6"/>
      <c r="B6" s="66"/>
      <c r="C6" s="66"/>
      <c r="D6" s="66"/>
      <c r="E6" s="66"/>
      <c r="F6" s="66"/>
      <c r="G6" s="66"/>
      <c r="H6" s="66"/>
    </row>
    <row r="7" spans="1:8" ht="15.75">
      <c r="A7" s="66" t="s">
        <v>428</v>
      </c>
      <c r="B7" s="66"/>
      <c r="C7" s="66"/>
      <c r="D7" s="66"/>
      <c r="E7" s="66"/>
      <c r="F7" s="66"/>
      <c r="G7" s="65"/>
      <c r="H7" s="66"/>
    </row>
    <row r="8" spans="1:8" ht="15.75">
      <c r="A8" s="66"/>
      <c r="B8" s="66"/>
      <c r="C8" s="66"/>
      <c r="D8" s="66"/>
      <c r="E8" s="66"/>
      <c r="F8" s="66"/>
      <c r="G8" s="65"/>
      <c r="H8" s="66"/>
    </row>
    <row r="9" spans="1:8" ht="15.75">
      <c r="A9" s="69" t="s">
        <v>183</v>
      </c>
      <c r="B9" s="66"/>
      <c r="C9" s="70" t="s">
        <v>148</v>
      </c>
      <c r="D9" s="65"/>
      <c r="E9" s="70" t="s">
        <v>184</v>
      </c>
      <c r="F9" s="66"/>
      <c r="G9" s="65"/>
      <c r="H9" s="66"/>
    </row>
    <row r="10" spans="1:8" ht="15.75">
      <c r="A10" s="68"/>
      <c r="B10" s="66"/>
      <c r="C10" s="66"/>
      <c r="D10" s="66"/>
      <c r="E10" s="66"/>
      <c r="F10" s="66"/>
      <c r="G10" s="65"/>
      <c r="H10" s="66"/>
    </row>
    <row r="11" spans="1:8" ht="15.75">
      <c r="A11" s="66"/>
      <c r="B11" s="105" t="s">
        <v>284</v>
      </c>
      <c r="C11" s="105"/>
      <c r="D11" s="105"/>
      <c r="E11" s="74"/>
      <c r="F11" s="66"/>
      <c r="G11" s="78"/>
      <c r="H11" s="66"/>
    </row>
    <row r="12" spans="1:8" ht="15.75">
      <c r="A12" s="106">
        <v>1</v>
      </c>
      <c r="B12" s="105"/>
      <c r="C12" s="105" t="s">
        <v>113</v>
      </c>
      <c r="D12" s="105"/>
      <c r="E12" s="74"/>
      <c r="F12" s="66"/>
      <c r="H12" s="66"/>
    </row>
    <row r="13" spans="1:8" ht="15.75">
      <c r="A13" s="106">
        <v>2</v>
      </c>
      <c r="B13" s="105"/>
      <c r="C13" s="105" t="s">
        <v>114</v>
      </c>
      <c r="D13" s="105"/>
      <c r="E13" s="74">
        <f>'C-1.1'!K16/1000</f>
        <v>14.463225</v>
      </c>
      <c r="F13" s="66"/>
      <c r="G13" s="133" t="s">
        <v>366</v>
      </c>
      <c r="H13" s="66"/>
    </row>
    <row r="14" spans="1:8" ht="15.75">
      <c r="A14" s="106">
        <v>3</v>
      </c>
      <c r="B14" s="105"/>
      <c r="C14" s="105" t="s">
        <v>115</v>
      </c>
      <c r="D14" s="105"/>
      <c r="E14" s="107"/>
      <c r="F14" s="66"/>
      <c r="G14" s="79"/>
      <c r="H14" s="66"/>
    </row>
    <row r="15" spans="1:8" ht="15.75">
      <c r="A15" s="106">
        <v>4</v>
      </c>
      <c r="B15" s="105"/>
      <c r="C15" s="105" t="s">
        <v>116</v>
      </c>
      <c r="D15" s="66"/>
      <c r="E15" s="74">
        <f>SUM(E12:E14)</f>
        <v>14.463225</v>
      </c>
      <c r="F15" s="66"/>
      <c r="G15" s="78"/>
      <c r="H15" s="66"/>
    </row>
    <row r="16" spans="1:8" ht="15.75">
      <c r="A16" s="106"/>
      <c r="B16" s="105"/>
      <c r="C16" s="105"/>
      <c r="D16" s="66"/>
      <c r="E16" s="74"/>
      <c r="F16" s="66"/>
      <c r="G16" s="78"/>
      <c r="H16" s="66"/>
    </row>
    <row r="17" spans="1:8" ht="15.75">
      <c r="A17" s="106"/>
      <c r="B17" s="105"/>
      <c r="C17" s="169" t="s">
        <v>117</v>
      </c>
      <c r="D17" s="66"/>
      <c r="E17" s="74"/>
      <c r="F17" s="66"/>
      <c r="G17" s="78"/>
      <c r="H17" s="66"/>
    </row>
    <row r="18" spans="1:8" ht="15.75">
      <c r="A18" s="106">
        <v>5</v>
      </c>
      <c r="B18" s="105"/>
      <c r="C18" s="169" t="s">
        <v>285</v>
      </c>
      <c r="D18" s="66"/>
      <c r="E18" s="74">
        <f>'C-1.1'!K21/1000</f>
        <v>0.27585000000000004</v>
      </c>
      <c r="F18" s="66"/>
      <c r="G18" s="133" t="s">
        <v>367</v>
      </c>
      <c r="H18" s="66"/>
    </row>
    <row r="19" spans="1:8" ht="15.75">
      <c r="A19" s="106">
        <v>6</v>
      </c>
      <c r="B19" s="105"/>
      <c r="C19" s="170" t="s">
        <v>286</v>
      </c>
      <c r="D19" s="66"/>
      <c r="E19" s="74"/>
      <c r="F19" s="66"/>
      <c r="G19" s="78"/>
      <c r="H19" s="66"/>
    </row>
    <row r="20" spans="1:8" ht="15.75">
      <c r="A20" s="106">
        <v>7</v>
      </c>
      <c r="B20" s="105"/>
      <c r="C20" s="169" t="s">
        <v>287</v>
      </c>
      <c r="D20" s="66"/>
      <c r="E20" s="107"/>
      <c r="F20" s="66"/>
      <c r="G20" s="78"/>
      <c r="H20" s="66"/>
    </row>
    <row r="21" spans="1:8" ht="15.75">
      <c r="A21" s="106">
        <v>8</v>
      </c>
      <c r="B21" s="105"/>
      <c r="C21" s="171" t="s">
        <v>288</v>
      </c>
      <c r="D21" s="105"/>
      <c r="E21" s="74">
        <f>SUM(E18:E20)</f>
        <v>0.27585000000000004</v>
      </c>
      <c r="F21" s="66"/>
      <c r="G21" s="78"/>
      <c r="H21" s="66"/>
    </row>
    <row r="22" spans="1:8" ht="15.75">
      <c r="A22" s="106"/>
      <c r="B22" s="105"/>
      <c r="C22" s="171"/>
      <c r="D22" s="105"/>
      <c r="E22" s="74"/>
      <c r="F22" s="66"/>
      <c r="G22" s="78"/>
      <c r="H22" s="66"/>
    </row>
    <row r="23" spans="1:8" ht="15.75">
      <c r="A23" s="106"/>
      <c r="B23" s="105" t="s">
        <v>120</v>
      </c>
      <c r="C23" s="105"/>
      <c r="D23" s="105"/>
      <c r="E23" s="74"/>
      <c r="F23" s="66"/>
      <c r="G23" s="78"/>
      <c r="H23" s="66"/>
    </row>
    <row r="24" spans="1:8" ht="15.75">
      <c r="A24" s="106">
        <v>9</v>
      </c>
      <c r="B24" s="105"/>
      <c r="C24" s="105" t="s">
        <v>118</v>
      </c>
      <c r="D24" s="105"/>
      <c r="E24" s="74">
        <f>'C-1.1'!K42/1000</f>
        <v>189.81838499999995</v>
      </c>
      <c r="F24" s="66"/>
      <c r="G24" s="79" t="s">
        <v>368</v>
      </c>
      <c r="H24" s="66"/>
    </row>
    <row r="25" spans="1:8" ht="15.75">
      <c r="A25" s="106">
        <v>10</v>
      </c>
      <c r="B25" s="105"/>
      <c r="C25" s="105" t="s">
        <v>22</v>
      </c>
      <c r="D25" s="105"/>
      <c r="E25" s="74"/>
      <c r="F25" s="66"/>
      <c r="G25" s="78"/>
      <c r="H25" s="66"/>
    </row>
    <row r="26" spans="1:8" ht="15.75">
      <c r="A26" s="106">
        <v>11</v>
      </c>
      <c r="B26" s="105"/>
      <c r="C26" s="105" t="s">
        <v>56</v>
      </c>
      <c r="D26" s="105"/>
      <c r="E26" s="107"/>
      <c r="F26" s="66"/>
      <c r="G26" s="78"/>
      <c r="H26" s="66"/>
    </row>
    <row r="27" spans="1:8" ht="15.75">
      <c r="A27" s="106">
        <v>12</v>
      </c>
      <c r="B27" s="105"/>
      <c r="C27" s="105" t="s">
        <v>121</v>
      </c>
      <c r="D27" s="66"/>
      <c r="E27" s="74">
        <f>SUM(E24:E26)</f>
        <v>189.81838499999995</v>
      </c>
      <c r="F27" s="66"/>
      <c r="G27" s="78"/>
      <c r="H27" s="66"/>
    </row>
    <row r="28" spans="1:8" ht="15.75">
      <c r="A28" s="106"/>
      <c r="B28" s="105"/>
      <c r="C28" s="105"/>
      <c r="D28" s="105"/>
      <c r="E28" s="74"/>
      <c r="F28" s="66"/>
      <c r="G28" s="78"/>
      <c r="H28" s="66"/>
    </row>
    <row r="29" spans="1:8" ht="15.75">
      <c r="A29" s="106">
        <v>13</v>
      </c>
      <c r="B29" s="105" t="s">
        <v>122</v>
      </c>
      <c r="C29" s="105"/>
      <c r="D29" s="105"/>
      <c r="E29" s="74">
        <f>'C-1.1'!K49/1000</f>
        <v>99.94973</v>
      </c>
      <c r="F29" s="66"/>
      <c r="G29" s="133" t="s">
        <v>369</v>
      </c>
      <c r="H29" s="66"/>
    </row>
    <row r="30" spans="1:8" ht="15.75">
      <c r="A30" s="106">
        <v>14</v>
      </c>
      <c r="B30" s="105" t="s">
        <v>123</v>
      </c>
      <c r="C30" s="105"/>
      <c r="D30" s="105"/>
      <c r="E30" s="74">
        <f>'C-1.1'!K55/1000</f>
        <v>5.26085</v>
      </c>
      <c r="F30" s="66"/>
      <c r="G30" s="133" t="s">
        <v>370</v>
      </c>
      <c r="H30" s="66"/>
    </row>
    <row r="31" spans="1:8" ht="15.75">
      <c r="A31" s="106">
        <v>15</v>
      </c>
      <c r="B31" s="105" t="s">
        <v>124</v>
      </c>
      <c r="C31" s="105"/>
      <c r="D31" s="105"/>
      <c r="E31" s="74">
        <f>'C-1.1'!K62/1000</f>
        <v>8.146625</v>
      </c>
      <c r="F31" s="66"/>
      <c r="G31" s="133" t="s">
        <v>371</v>
      </c>
      <c r="H31" s="66"/>
    </row>
    <row r="32" spans="1:8" ht="15.75">
      <c r="A32" s="106"/>
      <c r="B32" s="105"/>
      <c r="C32" s="105"/>
      <c r="D32" s="105"/>
      <c r="E32" s="74"/>
      <c r="F32" s="66"/>
      <c r="G32" s="78"/>
      <c r="H32" s="66"/>
    </row>
    <row r="33" spans="1:8" ht="15.75">
      <c r="A33" s="106"/>
      <c r="B33" s="105" t="s">
        <v>125</v>
      </c>
      <c r="C33" s="105"/>
      <c r="D33" s="105"/>
      <c r="E33" s="74"/>
      <c r="F33" s="66"/>
      <c r="G33" s="78"/>
      <c r="H33" s="66"/>
    </row>
    <row r="34" spans="1:8" ht="15.75">
      <c r="A34" s="106">
        <v>16</v>
      </c>
      <c r="B34" s="105"/>
      <c r="C34" s="105" t="s">
        <v>118</v>
      </c>
      <c r="D34" s="105"/>
      <c r="E34" s="74">
        <f>'C-1.1'!K73/1000</f>
        <v>81.19235499999999</v>
      </c>
      <c r="F34" s="66"/>
      <c r="G34" s="79" t="s">
        <v>372</v>
      </c>
      <c r="H34" s="66"/>
    </row>
    <row r="35" spans="1:8" ht="15.75">
      <c r="A35" s="106">
        <v>17</v>
      </c>
      <c r="B35" s="105"/>
      <c r="C35" s="105" t="s">
        <v>22</v>
      </c>
      <c r="D35" s="105"/>
      <c r="E35" s="74"/>
      <c r="F35" s="66"/>
      <c r="G35" s="78"/>
      <c r="H35" s="66"/>
    </row>
    <row r="36" spans="1:8" ht="15.75">
      <c r="A36" s="106">
        <v>18</v>
      </c>
      <c r="B36" s="105"/>
      <c r="C36" s="105" t="s">
        <v>56</v>
      </c>
      <c r="D36" s="105"/>
      <c r="E36" s="107"/>
      <c r="F36" s="66"/>
      <c r="G36" s="78"/>
      <c r="H36" s="66"/>
    </row>
    <row r="37" spans="1:8" ht="15.75">
      <c r="A37" s="106">
        <v>19</v>
      </c>
      <c r="B37" s="105"/>
      <c r="C37" s="105" t="s">
        <v>126</v>
      </c>
      <c r="D37" s="105"/>
      <c r="E37" s="108">
        <f>SUM(E34:E36)</f>
        <v>81.19235499999999</v>
      </c>
      <c r="F37" s="66"/>
      <c r="G37" s="78"/>
      <c r="H37" s="66"/>
    </row>
    <row r="38" spans="1:8" ht="15.75">
      <c r="A38" s="106">
        <v>20</v>
      </c>
      <c r="B38" s="105" t="s">
        <v>289</v>
      </c>
      <c r="C38" s="105"/>
      <c r="D38" s="105"/>
      <c r="E38" s="74">
        <f>+E15+E27+E29+E30+E31+E37</f>
        <v>398.83116999999993</v>
      </c>
      <c r="F38" s="66"/>
      <c r="G38" s="78"/>
      <c r="H38" s="66"/>
    </row>
    <row r="39" spans="1:8" ht="15.75">
      <c r="A39" s="106"/>
      <c r="B39" s="105"/>
      <c r="C39" s="105"/>
      <c r="D39" s="105"/>
      <c r="E39" s="66"/>
      <c r="F39" s="66"/>
      <c r="G39" s="78"/>
      <c r="H39" s="66"/>
    </row>
    <row r="40" spans="1:8" ht="15.75">
      <c r="A40" s="109">
        <v>21</v>
      </c>
      <c r="B40" s="92"/>
      <c r="C40" s="110" t="s">
        <v>185</v>
      </c>
      <c r="D40" s="92"/>
      <c r="E40" s="111">
        <v>0.35</v>
      </c>
      <c r="F40" s="66"/>
      <c r="G40" s="78"/>
      <c r="H40" s="66"/>
    </row>
    <row r="41" spans="1:8" ht="15.75">
      <c r="A41" s="109"/>
      <c r="B41" s="92"/>
      <c r="C41" s="112"/>
      <c r="D41" s="92"/>
      <c r="E41" s="113"/>
      <c r="F41" s="66"/>
      <c r="G41" s="78"/>
      <c r="H41" s="66"/>
    </row>
    <row r="42" spans="1:8" ht="15.75">
      <c r="A42" s="109">
        <v>22</v>
      </c>
      <c r="B42" s="92"/>
      <c r="C42" s="110" t="s">
        <v>362</v>
      </c>
      <c r="D42" s="92"/>
      <c r="E42" s="84">
        <f>-E38*E40</f>
        <v>-139.59090949999995</v>
      </c>
      <c r="F42" s="66"/>
      <c r="G42" s="78"/>
      <c r="H42" s="66"/>
    </row>
    <row r="43" spans="1:8" ht="15.75">
      <c r="A43" s="109"/>
      <c r="B43" s="92"/>
      <c r="C43" s="112"/>
      <c r="D43" s="92"/>
      <c r="E43" s="113"/>
      <c r="F43" s="66"/>
      <c r="G43" s="78"/>
      <c r="H43" s="66"/>
    </row>
    <row r="44" spans="1:8" ht="16.5" thickBot="1">
      <c r="A44" s="109">
        <v>23</v>
      </c>
      <c r="B44" s="92"/>
      <c r="C44" s="110" t="s">
        <v>357</v>
      </c>
      <c r="D44" s="92"/>
      <c r="E44" s="114">
        <f>-E38-E42</f>
        <v>-259.2402605</v>
      </c>
      <c r="F44" s="66"/>
      <c r="G44" s="78"/>
      <c r="H44" s="66"/>
    </row>
    <row r="45" spans="1:8" ht="16.5" thickTop="1">
      <c r="A45" s="66"/>
      <c r="B45" s="66"/>
      <c r="C45" s="66"/>
      <c r="D45" s="66"/>
      <c r="E45" s="66"/>
      <c r="F45" s="66"/>
      <c r="G45" s="78"/>
      <c r="H45" s="66"/>
    </row>
    <row r="46" spans="1:8" ht="15.75">
      <c r="A46" s="70" t="s">
        <v>179</v>
      </c>
      <c r="B46" s="70"/>
      <c r="C46" s="70"/>
      <c r="D46" s="66"/>
      <c r="E46" s="66"/>
      <c r="F46" s="66"/>
      <c r="G46" s="78"/>
      <c r="H46" s="66"/>
    </row>
    <row r="47" spans="1:8" ht="15.75">
      <c r="A47" s="66" t="s">
        <v>188</v>
      </c>
      <c r="B47" s="66"/>
      <c r="C47" s="66"/>
      <c r="D47" s="66"/>
      <c r="E47" s="66"/>
      <c r="F47" s="66"/>
      <c r="G47" s="78"/>
      <c r="H47" s="66"/>
    </row>
    <row r="48" spans="1:8" ht="15.75">
      <c r="A48" s="66"/>
      <c r="B48" s="66"/>
      <c r="C48" s="66"/>
      <c r="D48" s="66"/>
      <c r="E48" s="66"/>
      <c r="F48" s="66"/>
      <c r="G48" s="66"/>
      <c r="H48" s="66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&amp;R&amp;"Times New Roman,Regular"Docket Nos. UE-090134 and UG-090135, UG-060518
Exhibit No. __ (HL-4)
Schedule C-1 (Gas)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21"/>
  <sheetViews>
    <sheetView view="pageLayout" workbookViewId="0" topLeftCell="L1">
      <selection activeCell="B21" sqref="B21"/>
    </sheetView>
  </sheetViews>
  <sheetFormatPr defaultColWidth="9.140625" defaultRowHeight="12.75"/>
  <cols>
    <col min="1" max="1" width="2.57421875" style="0" customWidth="1"/>
    <col min="2" max="2" width="7.00390625" style="0" customWidth="1"/>
    <col min="3" max="3" width="5.7109375" style="0" customWidth="1"/>
    <col min="4" max="4" width="32.00390625" style="0" customWidth="1"/>
    <col min="5" max="11" width="14.421875" style="0" customWidth="1"/>
    <col min="12" max="13" width="13.140625" style="0" customWidth="1"/>
  </cols>
  <sheetData>
    <row r="1" spans="1:13" ht="15.75">
      <c r="A1" s="94"/>
      <c r="B1" s="94"/>
      <c r="C1" s="265" t="str">
        <f>A!A1</f>
        <v>AVISTA UTILITIES</v>
      </c>
      <c r="D1" s="265"/>
      <c r="E1" s="265"/>
      <c r="F1" s="265"/>
      <c r="G1" s="265"/>
      <c r="H1" s="265"/>
      <c r="I1" s="265"/>
      <c r="J1" s="265"/>
      <c r="K1" s="265"/>
      <c r="L1" s="94"/>
      <c r="M1" s="66"/>
    </row>
    <row r="2" spans="1:13" ht="15.75">
      <c r="A2" s="94"/>
      <c r="B2" s="94"/>
      <c r="C2" s="265" t="str">
        <f>A!A2</f>
        <v>Washington Gas System</v>
      </c>
      <c r="D2" s="265"/>
      <c r="E2" s="265"/>
      <c r="F2" s="265"/>
      <c r="G2" s="265"/>
      <c r="H2" s="265"/>
      <c r="I2" s="265"/>
      <c r="J2" s="265"/>
      <c r="K2" s="265"/>
      <c r="L2" s="94"/>
      <c r="M2" s="66"/>
    </row>
    <row r="3" spans="1:13" ht="15.75">
      <c r="A3" s="94"/>
      <c r="B3" s="94"/>
      <c r="C3" s="265" t="str">
        <f>A!A3</f>
        <v>Test Year Twelve Months Ended September 30, 2008</v>
      </c>
      <c r="D3" s="265"/>
      <c r="E3" s="265"/>
      <c r="F3" s="265"/>
      <c r="G3" s="265"/>
      <c r="H3" s="265"/>
      <c r="I3" s="265"/>
      <c r="J3" s="265"/>
      <c r="K3" s="265"/>
      <c r="L3" s="94"/>
      <c r="M3" s="66"/>
    </row>
    <row r="4" spans="1:13" ht="15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66"/>
    </row>
    <row r="5" spans="1:13" ht="15.75">
      <c r="A5" s="94"/>
      <c r="B5" s="94"/>
      <c r="C5" s="94"/>
      <c r="D5" s="94"/>
      <c r="E5" s="94"/>
      <c r="F5" s="94"/>
      <c r="G5" s="122"/>
      <c r="H5" s="94"/>
      <c r="I5" s="94"/>
      <c r="J5" s="94"/>
      <c r="K5" s="94"/>
      <c r="L5" s="94"/>
      <c r="M5" s="66"/>
    </row>
    <row r="6" spans="1:13" ht="15.75">
      <c r="A6" s="66"/>
      <c r="B6" s="66"/>
      <c r="C6" s="66"/>
      <c r="D6" s="66"/>
      <c r="E6" s="68" t="s">
        <v>152</v>
      </c>
      <c r="F6" s="68" t="s">
        <v>153</v>
      </c>
      <c r="G6" s="95" t="s">
        <v>154</v>
      </c>
      <c r="H6" s="68" t="s">
        <v>155</v>
      </c>
      <c r="I6" s="68" t="s">
        <v>255</v>
      </c>
      <c r="J6" s="68" t="s">
        <v>256</v>
      </c>
      <c r="K6" s="68" t="s">
        <v>257</v>
      </c>
      <c r="L6" s="68" t="s">
        <v>258</v>
      </c>
      <c r="M6" s="68" t="s">
        <v>360</v>
      </c>
    </row>
    <row r="7" spans="1:13" ht="15.75">
      <c r="A7" s="92"/>
      <c r="B7" s="92"/>
      <c r="C7" s="92"/>
      <c r="D7" s="92"/>
      <c r="E7" s="92"/>
      <c r="F7" s="92"/>
      <c r="G7" s="92"/>
      <c r="H7" s="92"/>
      <c r="I7" s="92"/>
      <c r="J7" s="124" t="s">
        <v>252</v>
      </c>
      <c r="K7" s="124"/>
      <c r="L7" s="92"/>
      <c r="M7" s="66"/>
    </row>
    <row r="8" spans="1:13" ht="15.75">
      <c r="A8" s="92"/>
      <c r="B8" s="92"/>
      <c r="C8" s="92"/>
      <c r="D8" s="92"/>
      <c r="E8" s="124"/>
      <c r="F8" s="124"/>
      <c r="G8" s="124"/>
      <c r="H8" s="124" t="s">
        <v>198</v>
      </c>
      <c r="I8" s="124"/>
      <c r="J8" s="124" t="s">
        <v>199</v>
      </c>
      <c r="K8" s="124"/>
      <c r="L8" s="124"/>
      <c r="M8" s="68"/>
    </row>
    <row r="9" spans="1:13" ht="15.75">
      <c r="A9" s="92"/>
      <c r="B9" s="92"/>
      <c r="C9" s="92"/>
      <c r="D9" s="92"/>
      <c r="E9" s="124"/>
      <c r="F9" s="124" t="s">
        <v>200</v>
      </c>
      <c r="G9" s="124" t="s">
        <v>149</v>
      </c>
      <c r="H9" s="125">
        <v>0.01519</v>
      </c>
      <c r="I9" s="124" t="s">
        <v>201</v>
      </c>
      <c r="J9" s="125">
        <v>0.025</v>
      </c>
      <c r="K9" s="125" t="s">
        <v>253</v>
      </c>
      <c r="L9" s="124" t="s">
        <v>358</v>
      </c>
      <c r="M9" s="68"/>
    </row>
    <row r="10" spans="1:13" ht="15.75">
      <c r="A10" s="92"/>
      <c r="B10" s="124" t="s">
        <v>15</v>
      </c>
      <c r="C10" s="92"/>
      <c r="D10" s="92"/>
      <c r="E10" s="126" t="s">
        <v>202</v>
      </c>
      <c r="F10" s="126" t="s">
        <v>359</v>
      </c>
      <c r="G10" s="126" t="s">
        <v>202</v>
      </c>
      <c r="H10" s="127">
        <v>0.01698</v>
      </c>
      <c r="I10" s="126" t="s">
        <v>198</v>
      </c>
      <c r="J10" s="127">
        <v>0.04</v>
      </c>
      <c r="K10" s="127" t="s">
        <v>254</v>
      </c>
      <c r="L10" s="126" t="s">
        <v>359</v>
      </c>
      <c r="M10" s="127" t="s">
        <v>65</v>
      </c>
    </row>
    <row r="11" spans="1:14" ht="15.75">
      <c r="A11" s="92"/>
      <c r="B11" s="126" t="s">
        <v>45</v>
      </c>
      <c r="C11" s="92"/>
      <c r="D11" s="92"/>
      <c r="E11" s="92"/>
      <c r="F11" s="92"/>
      <c r="G11" s="123" t="s">
        <v>373</v>
      </c>
      <c r="H11" s="132"/>
      <c r="I11" s="123" t="s">
        <v>374</v>
      </c>
      <c r="J11" s="132"/>
      <c r="K11" s="123" t="s">
        <v>375</v>
      </c>
      <c r="L11" s="123"/>
      <c r="M11" s="214" t="s">
        <v>376</v>
      </c>
      <c r="N11" s="211"/>
    </row>
    <row r="12" spans="1:15" ht="15.75">
      <c r="A12" s="130"/>
      <c r="B12" s="124"/>
      <c r="C12" s="92" t="s">
        <v>112</v>
      </c>
      <c r="D12" s="92"/>
      <c r="E12" s="113"/>
      <c r="F12" s="113"/>
      <c r="G12" s="113"/>
      <c r="H12" s="113"/>
      <c r="I12" s="113"/>
      <c r="J12" s="113"/>
      <c r="K12" s="113"/>
      <c r="L12" s="113"/>
      <c r="M12" s="74"/>
      <c r="N12" s="129"/>
      <c r="O12" s="129"/>
    </row>
    <row r="13" spans="1:15" ht="15.75">
      <c r="A13" s="130" t="s">
        <v>73</v>
      </c>
      <c r="B13" s="124">
        <v>1</v>
      </c>
      <c r="C13" s="92" t="s">
        <v>203</v>
      </c>
      <c r="D13" s="92"/>
      <c r="E13" s="113">
        <v>0</v>
      </c>
      <c r="F13" s="113"/>
      <c r="G13" s="113">
        <v>0</v>
      </c>
      <c r="H13" s="113">
        <v>0</v>
      </c>
      <c r="I13" s="113">
        <v>0</v>
      </c>
      <c r="J13" s="113">
        <f>+I13*J9</f>
        <v>0</v>
      </c>
      <c r="K13" s="113">
        <f>+H13+J13</f>
        <v>0</v>
      </c>
      <c r="L13" s="113"/>
      <c r="M13" s="74">
        <f>+G13+K13+L13</f>
        <v>0</v>
      </c>
      <c r="N13" s="129"/>
      <c r="O13" s="129"/>
    </row>
    <row r="14" spans="1:15" ht="15.75">
      <c r="A14" s="130" t="s">
        <v>73</v>
      </c>
      <c r="B14" s="124">
        <v>2</v>
      </c>
      <c r="C14" s="92" t="s">
        <v>204</v>
      </c>
      <c r="D14" s="92"/>
      <c r="E14" s="113">
        <v>0</v>
      </c>
      <c r="F14" s="113"/>
      <c r="G14" s="113">
        <v>0</v>
      </c>
      <c r="H14" s="113">
        <v>0</v>
      </c>
      <c r="I14" s="113">
        <v>0</v>
      </c>
      <c r="J14" s="113">
        <f>+I14*J9</f>
        <v>0</v>
      </c>
      <c r="K14" s="113">
        <f>+H14+J14</f>
        <v>0</v>
      </c>
      <c r="L14" s="113"/>
      <c r="M14" s="74">
        <f>+G14+K14+L14</f>
        <v>0</v>
      </c>
      <c r="N14" s="129"/>
      <c r="O14" s="129"/>
    </row>
    <row r="15" spans="1:15" ht="15.75">
      <c r="A15" s="130" t="s">
        <v>73</v>
      </c>
      <c r="B15" s="124">
        <v>3</v>
      </c>
      <c r="C15" s="92" t="s">
        <v>205</v>
      </c>
      <c r="D15" s="92"/>
      <c r="E15" s="84">
        <v>383809</v>
      </c>
      <c r="F15" s="84">
        <v>-27295</v>
      </c>
      <c r="G15" s="84">
        <v>356514</v>
      </c>
      <c r="H15" s="84">
        <v>5415</v>
      </c>
      <c r="I15" s="84">
        <v>361929</v>
      </c>
      <c r="J15" s="84">
        <f>+I15*J9</f>
        <v>9048.225</v>
      </c>
      <c r="K15" s="84">
        <f>+H15+J15</f>
        <v>14463.225</v>
      </c>
      <c r="L15" s="84">
        <f>415+27295</f>
        <v>27710</v>
      </c>
      <c r="M15" s="107">
        <f>+G15+K15+L15</f>
        <v>398687.225</v>
      </c>
      <c r="N15" s="129"/>
      <c r="O15" s="129"/>
    </row>
    <row r="16" spans="1:15" ht="15.75">
      <c r="A16" s="130"/>
      <c r="B16" s="124">
        <v>4</v>
      </c>
      <c r="C16" s="92" t="s">
        <v>116</v>
      </c>
      <c r="D16" s="92"/>
      <c r="E16" s="113">
        <v>383809</v>
      </c>
      <c r="F16" s="113">
        <v>-27295</v>
      </c>
      <c r="G16" s="113">
        <v>356514</v>
      </c>
      <c r="H16" s="113">
        <v>5415</v>
      </c>
      <c r="I16" s="113">
        <v>361929</v>
      </c>
      <c r="J16" s="113">
        <f>SUM(J13:J15)</f>
        <v>9048.225</v>
      </c>
      <c r="K16" s="113">
        <f>SUM(K13:K15)</f>
        <v>14463.225</v>
      </c>
      <c r="L16" s="113">
        <f>SUM(L13:L15)</f>
        <v>27710</v>
      </c>
      <c r="M16" s="113">
        <f>SUM(M13:M15)</f>
        <v>398687.225</v>
      </c>
      <c r="N16" s="129"/>
      <c r="O16" s="129"/>
    </row>
    <row r="17" spans="1:15" ht="15.75">
      <c r="A17" s="130"/>
      <c r="B17" s="124"/>
      <c r="C17" s="92"/>
      <c r="D17" s="92"/>
      <c r="E17" s="113"/>
      <c r="F17" s="113"/>
      <c r="G17" s="113"/>
      <c r="H17" s="113"/>
      <c r="I17" s="113"/>
      <c r="J17" s="113"/>
      <c r="K17" s="113"/>
      <c r="L17" s="113"/>
      <c r="M17" s="74"/>
      <c r="N17" s="129"/>
      <c r="O17" s="129"/>
    </row>
    <row r="18" spans="1:15" ht="15.75">
      <c r="A18" s="130"/>
      <c r="B18" s="124"/>
      <c r="C18" s="92" t="s">
        <v>117</v>
      </c>
      <c r="D18" s="92"/>
      <c r="E18" s="113"/>
      <c r="F18" s="113"/>
      <c r="G18" s="113"/>
      <c r="H18" s="113"/>
      <c r="I18" s="113"/>
      <c r="J18" s="113"/>
      <c r="K18" s="113"/>
      <c r="L18" s="113"/>
      <c r="M18" s="74"/>
      <c r="N18" s="129"/>
      <c r="O18" s="129"/>
    </row>
    <row r="19" spans="1:15" ht="15.75">
      <c r="A19" s="130" t="s">
        <v>73</v>
      </c>
      <c r="B19" s="124">
        <v>5</v>
      </c>
      <c r="C19" s="92" t="s">
        <v>206</v>
      </c>
      <c r="D19" s="92"/>
      <c r="E19" s="113">
        <v>6811</v>
      </c>
      <c r="F19" s="113"/>
      <c r="G19" s="113">
        <v>6811</v>
      </c>
      <c r="H19" s="113">
        <v>103</v>
      </c>
      <c r="I19" s="113">
        <v>6914</v>
      </c>
      <c r="J19" s="113">
        <f>+I19*J9</f>
        <v>172.85000000000002</v>
      </c>
      <c r="K19" s="113">
        <f>+H19+J19</f>
        <v>275.85</v>
      </c>
      <c r="L19" s="113"/>
      <c r="M19" s="74">
        <f>+G19+K19+L19</f>
        <v>7086.85</v>
      </c>
      <c r="N19" s="129"/>
      <c r="O19" s="129"/>
    </row>
    <row r="20" spans="1:15" ht="15.75">
      <c r="A20" s="130"/>
      <c r="B20" s="124">
        <v>6</v>
      </c>
      <c r="C20" s="92" t="s">
        <v>207</v>
      </c>
      <c r="D20" s="92"/>
      <c r="E20" s="84">
        <v>0</v>
      </c>
      <c r="F20" s="84"/>
      <c r="G20" s="84">
        <v>0</v>
      </c>
      <c r="H20" s="84">
        <v>0</v>
      </c>
      <c r="I20" s="84">
        <v>0</v>
      </c>
      <c r="J20" s="84">
        <f>+I20*J10</f>
        <v>0</v>
      </c>
      <c r="K20" s="84">
        <f>+H20+J20</f>
        <v>0</v>
      </c>
      <c r="L20" s="84"/>
      <c r="M20" s="107">
        <f>+G20+K20+L20</f>
        <v>0</v>
      </c>
      <c r="N20" s="129"/>
      <c r="O20" s="129"/>
    </row>
    <row r="21" spans="1:15" ht="15.75">
      <c r="A21" s="130"/>
      <c r="B21" s="124">
        <v>7</v>
      </c>
      <c r="C21" s="92" t="s">
        <v>119</v>
      </c>
      <c r="D21" s="92"/>
      <c r="E21" s="113">
        <v>6811</v>
      </c>
      <c r="F21" s="113">
        <v>0</v>
      </c>
      <c r="G21" s="113">
        <v>6811</v>
      </c>
      <c r="H21" s="113">
        <v>103</v>
      </c>
      <c r="I21" s="113">
        <v>6914</v>
      </c>
      <c r="J21" s="113">
        <f>SUM(J19:J20)</f>
        <v>172.85000000000002</v>
      </c>
      <c r="K21" s="113">
        <f>SUM(K19:K20)</f>
        <v>275.85</v>
      </c>
      <c r="L21" s="113">
        <f>SUM(L19:L20)</f>
        <v>0</v>
      </c>
      <c r="M21" s="113">
        <f>SUM(M19:M20)</f>
        <v>7086.85</v>
      </c>
      <c r="N21" s="129"/>
      <c r="O21" s="129"/>
    </row>
    <row r="22" spans="1:15" ht="15.75">
      <c r="A22" s="130"/>
      <c r="B22" s="124"/>
      <c r="C22" s="92"/>
      <c r="D22" s="92"/>
      <c r="E22" s="113"/>
      <c r="F22" s="113"/>
      <c r="G22" s="113"/>
      <c r="H22" s="113"/>
      <c r="I22" s="113"/>
      <c r="J22" s="113"/>
      <c r="K22" s="113"/>
      <c r="L22" s="113"/>
      <c r="M22" s="74"/>
      <c r="N22" s="129"/>
      <c r="O22" s="129"/>
    </row>
    <row r="23" spans="1:15" ht="15.75">
      <c r="A23" s="130"/>
      <c r="B23" s="124"/>
      <c r="C23" s="92" t="s">
        <v>120</v>
      </c>
      <c r="D23" s="92"/>
      <c r="E23" s="113"/>
      <c r="F23" s="113"/>
      <c r="G23" s="113"/>
      <c r="H23" s="113"/>
      <c r="I23" s="113"/>
      <c r="J23" s="113"/>
      <c r="K23" s="113"/>
      <c r="L23" s="113"/>
      <c r="M23" s="74"/>
      <c r="N23" s="129"/>
      <c r="O23" s="129"/>
    </row>
    <row r="24" spans="1:15" ht="15.75">
      <c r="A24" s="130" t="s">
        <v>73</v>
      </c>
      <c r="B24" s="124">
        <v>8</v>
      </c>
      <c r="C24" s="92" t="s">
        <v>208</v>
      </c>
      <c r="D24" s="92"/>
      <c r="E24" s="113">
        <v>270437</v>
      </c>
      <c r="F24" s="113"/>
      <c r="G24" s="113">
        <v>270437</v>
      </c>
      <c r="H24" s="113">
        <v>4108</v>
      </c>
      <c r="I24" s="113">
        <v>274545</v>
      </c>
      <c r="J24" s="113">
        <f>+I24*J9</f>
        <v>6863.625</v>
      </c>
      <c r="K24" s="113">
        <f aca="true" t="shared" si="0" ref="K24:K41">+H24+J24</f>
        <v>10971.625</v>
      </c>
      <c r="L24" s="113"/>
      <c r="M24" s="74">
        <f aca="true" t="shared" si="1" ref="M24:M41">+G24+K24+L24</f>
        <v>281408.625</v>
      </c>
      <c r="N24" s="129"/>
      <c r="O24" s="129"/>
    </row>
    <row r="25" spans="1:15" ht="15.75">
      <c r="A25" s="130"/>
      <c r="B25" s="124">
        <v>9</v>
      </c>
      <c r="C25" s="92" t="s">
        <v>209</v>
      </c>
      <c r="D25" s="92"/>
      <c r="E25" s="113">
        <v>0</v>
      </c>
      <c r="F25" s="113"/>
      <c r="G25" s="113">
        <v>0</v>
      </c>
      <c r="H25" s="113">
        <v>0</v>
      </c>
      <c r="I25" s="113">
        <v>0</v>
      </c>
      <c r="J25" s="113">
        <f>+I25*J10</f>
        <v>0</v>
      </c>
      <c r="K25" s="113">
        <f t="shared" si="0"/>
        <v>0</v>
      </c>
      <c r="L25" s="113"/>
      <c r="M25" s="74">
        <f t="shared" si="1"/>
        <v>0</v>
      </c>
      <c r="N25" s="129"/>
      <c r="O25" s="129"/>
    </row>
    <row r="26" spans="1:15" ht="15.75">
      <c r="A26" s="130"/>
      <c r="B26" s="124">
        <v>10</v>
      </c>
      <c r="C26" s="92" t="s">
        <v>210</v>
      </c>
      <c r="D26" s="92"/>
      <c r="E26" s="113">
        <v>563374</v>
      </c>
      <c r="F26" s="113"/>
      <c r="G26" s="113">
        <v>563374</v>
      </c>
      <c r="H26" s="113">
        <v>9566</v>
      </c>
      <c r="I26" s="113">
        <v>572940</v>
      </c>
      <c r="J26" s="113">
        <f>+I26*J10</f>
        <v>22917.600000000002</v>
      </c>
      <c r="K26" s="113">
        <f t="shared" si="0"/>
        <v>32483.600000000002</v>
      </c>
      <c r="L26" s="113"/>
      <c r="M26" s="74">
        <f t="shared" si="1"/>
        <v>595857.6</v>
      </c>
      <c r="N26" s="129"/>
      <c r="O26" s="129"/>
    </row>
    <row r="27" spans="1:15" ht="15.75">
      <c r="A27" s="130"/>
      <c r="B27" s="124">
        <v>11</v>
      </c>
      <c r="C27" s="92" t="s">
        <v>211</v>
      </c>
      <c r="D27" s="92"/>
      <c r="E27" s="113">
        <v>32650</v>
      </c>
      <c r="F27" s="113"/>
      <c r="G27" s="113">
        <v>32650</v>
      </c>
      <c r="H27" s="113">
        <v>554</v>
      </c>
      <c r="I27" s="113">
        <v>33204</v>
      </c>
      <c r="J27" s="113">
        <f>+I27*J10</f>
        <v>1328.16</v>
      </c>
      <c r="K27" s="113">
        <f t="shared" si="0"/>
        <v>1882.16</v>
      </c>
      <c r="L27" s="113"/>
      <c r="M27" s="74">
        <f t="shared" si="1"/>
        <v>34532.16</v>
      </c>
      <c r="N27" s="129"/>
      <c r="O27" s="129"/>
    </row>
    <row r="28" spans="1:15" ht="15.75">
      <c r="A28" s="130"/>
      <c r="B28" s="124">
        <v>12</v>
      </c>
      <c r="C28" s="92" t="s">
        <v>212</v>
      </c>
      <c r="D28" s="92"/>
      <c r="E28" s="113">
        <v>3253</v>
      </c>
      <c r="F28" s="113"/>
      <c r="G28" s="113">
        <v>3253</v>
      </c>
      <c r="H28" s="113">
        <v>55</v>
      </c>
      <c r="I28" s="113">
        <v>3308</v>
      </c>
      <c r="J28" s="113">
        <f>+I28*J10</f>
        <v>132.32</v>
      </c>
      <c r="K28" s="113">
        <f t="shared" si="0"/>
        <v>187.32</v>
      </c>
      <c r="L28" s="113"/>
      <c r="M28" s="74">
        <f t="shared" si="1"/>
        <v>3440.32</v>
      </c>
      <c r="N28" s="129"/>
      <c r="O28" s="129"/>
    </row>
    <row r="29" spans="1:15" ht="15.75">
      <c r="A29" s="130"/>
      <c r="B29" s="124">
        <v>13</v>
      </c>
      <c r="C29" s="92" t="s">
        <v>213</v>
      </c>
      <c r="D29" s="92"/>
      <c r="E29" s="113">
        <v>33186</v>
      </c>
      <c r="F29" s="113"/>
      <c r="G29" s="113">
        <v>33186</v>
      </c>
      <c r="H29" s="113">
        <v>563</v>
      </c>
      <c r="I29" s="113">
        <v>33749</v>
      </c>
      <c r="J29" s="113">
        <f>+I29*J10</f>
        <v>1349.96</v>
      </c>
      <c r="K29" s="113">
        <f t="shared" si="0"/>
        <v>1912.96</v>
      </c>
      <c r="L29" s="113"/>
      <c r="M29" s="74">
        <f t="shared" si="1"/>
        <v>35098.96</v>
      </c>
      <c r="N29" s="129"/>
      <c r="O29" s="129"/>
    </row>
    <row r="30" spans="1:15" ht="15.75">
      <c r="A30" s="130"/>
      <c r="B30" s="124">
        <v>14</v>
      </c>
      <c r="C30" s="92" t="s">
        <v>214</v>
      </c>
      <c r="D30" s="92"/>
      <c r="E30" s="113">
        <v>331556</v>
      </c>
      <c r="F30" s="113"/>
      <c r="G30" s="113">
        <v>331556</v>
      </c>
      <c r="H30" s="113">
        <v>5630</v>
      </c>
      <c r="I30" s="113">
        <v>337186</v>
      </c>
      <c r="J30" s="113">
        <f>+I30*J10</f>
        <v>13487.44</v>
      </c>
      <c r="K30" s="113">
        <f t="shared" si="0"/>
        <v>19117.440000000002</v>
      </c>
      <c r="L30" s="113"/>
      <c r="M30" s="74">
        <f t="shared" si="1"/>
        <v>350673.44</v>
      </c>
      <c r="N30" s="129"/>
      <c r="O30" s="129"/>
    </row>
    <row r="31" spans="1:15" ht="15.75">
      <c r="A31" s="130"/>
      <c r="B31" s="124">
        <v>15</v>
      </c>
      <c r="C31" s="92" t="s">
        <v>215</v>
      </c>
      <c r="D31" s="92"/>
      <c r="E31" s="113">
        <v>416487</v>
      </c>
      <c r="F31" s="113"/>
      <c r="G31" s="113">
        <v>416487</v>
      </c>
      <c r="H31" s="113">
        <v>7072</v>
      </c>
      <c r="I31" s="113">
        <v>423559</v>
      </c>
      <c r="J31" s="113">
        <f>+I31*J10</f>
        <v>16942.36</v>
      </c>
      <c r="K31" s="113">
        <f t="shared" si="0"/>
        <v>24014.36</v>
      </c>
      <c r="L31" s="113"/>
      <c r="M31" s="74">
        <f t="shared" si="1"/>
        <v>440501.36</v>
      </c>
      <c r="N31" s="129"/>
      <c r="O31" s="129"/>
    </row>
    <row r="32" spans="1:15" ht="15.75">
      <c r="A32" s="130"/>
      <c r="B32" s="124">
        <v>16</v>
      </c>
      <c r="C32" s="92" t="s">
        <v>216</v>
      </c>
      <c r="D32" s="92"/>
      <c r="E32" s="113">
        <v>568799</v>
      </c>
      <c r="F32" s="113"/>
      <c r="G32" s="113">
        <v>568799</v>
      </c>
      <c r="H32" s="113">
        <v>9658</v>
      </c>
      <c r="I32" s="113">
        <v>578457</v>
      </c>
      <c r="J32" s="113">
        <f>+I32*J10</f>
        <v>23138.28</v>
      </c>
      <c r="K32" s="113">
        <f t="shared" si="0"/>
        <v>32796.28</v>
      </c>
      <c r="L32" s="113"/>
      <c r="M32" s="74">
        <f t="shared" si="1"/>
        <v>601595.28</v>
      </c>
      <c r="N32" s="129"/>
      <c r="O32" s="129"/>
    </row>
    <row r="33" spans="1:15" ht="15.75">
      <c r="A33" s="130"/>
      <c r="B33" s="124">
        <v>17</v>
      </c>
      <c r="C33" s="92" t="s">
        <v>217</v>
      </c>
      <c r="D33" s="92"/>
      <c r="E33" s="113">
        <v>60094</v>
      </c>
      <c r="F33" s="113"/>
      <c r="G33" s="113">
        <v>60094</v>
      </c>
      <c r="H33" s="113">
        <v>1020</v>
      </c>
      <c r="I33" s="113">
        <v>61114</v>
      </c>
      <c r="J33" s="113">
        <f>+I33*J10</f>
        <v>2444.56</v>
      </c>
      <c r="K33" s="113">
        <f t="shared" si="0"/>
        <v>3464.56</v>
      </c>
      <c r="L33" s="113"/>
      <c r="M33" s="74">
        <f t="shared" si="1"/>
        <v>63558.56</v>
      </c>
      <c r="N33" s="129"/>
      <c r="O33" s="129"/>
    </row>
    <row r="34" spans="1:15" ht="15.75">
      <c r="A34" s="130"/>
      <c r="B34" s="124">
        <v>18</v>
      </c>
      <c r="C34" s="92" t="s">
        <v>218</v>
      </c>
      <c r="D34" s="92"/>
      <c r="E34" s="113">
        <v>0</v>
      </c>
      <c r="F34" s="113"/>
      <c r="G34" s="113">
        <v>0</v>
      </c>
      <c r="H34" s="113">
        <v>0</v>
      </c>
      <c r="I34" s="113">
        <v>0</v>
      </c>
      <c r="J34" s="113">
        <f>+I34*J10</f>
        <v>0</v>
      </c>
      <c r="K34" s="113">
        <f t="shared" si="0"/>
        <v>0</v>
      </c>
      <c r="L34" s="113"/>
      <c r="M34" s="74">
        <f t="shared" si="1"/>
        <v>0</v>
      </c>
      <c r="N34" s="129"/>
      <c r="O34" s="129"/>
    </row>
    <row r="35" spans="1:15" ht="15.75">
      <c r="A35" s="130"/>
      <c r="B35" s="124">
        <v>19</v>
      </c>
      <c r="C35" s="92" t="s">
        <v>219</v>
      </c>
      <c r="D35" s="92"/>
      <c r="E35" s="113">
        <v>449493</v>
      </c>
      <c r="F35" s="113"/>
      <c r="G35" s="113">
        <v>449493</v>
      </c>
      <c r="H35" s="113">
        <v>7632</v>
      </c>
      <c r="I35" s="113">
        <v>457125</v>
      </c>
      <c r="J35" s="113">
        <f>+I35*J10</f>
        <v>18285</v>
      </c>
      <c r="K35" s="113">
        <f t="shared" si="0"/>
        <v>25917</v>
      </c>
      <c r="L35" s="113"/>
      <c r="M35" s="74">
        <f t="shared" si="1"/>
        <v>475410</v>
      </c>
      <c r="N35" s="129"/>
      <c r="O35" s="129"/>
    </row>
    <row r="36" spans="1:15" ht="15.75">
      <c r="A36" s="130"/>
      <c r="B36" s="124">
        <v>20</v>
      </c>
      <c r="C36" s="92" t="s">
        <v>220</v>
      </c>
      <c r="D36" s="92"/>
      <c r="E36" s="113">
        <v>44427</v>
      </c>
      <c r="F36" s="113"/>
      <c r="G36" s="113">
        <v>44427</v>
      </c>
      <c r="H36" s="113">
        <v>754</v>
      </c>
      <c r="I36" s="113">
        <v>45181</v>
      </c>
      <c r="J36" s="113">
        <f>+I36*J10</f>
        <v>1807.24</v>
      </c>
      <c r="K36" s="113">
        <f t="shared" si="0"/>
        <v>2561.24</v>
      </c>
      <c r="L36" s="113"/>
      <c r="M36" s="74">
        <f t="shared" si="1"/>
        <v>46988.24</v>
      </c>
      <c r="N36" s="129"/>
      <c r="O36" s="129"/>
    </row>
    <row r="37" spans="1:15" ht="15.75">
      <c r="A37" s="130"/>
      <c r="B37" s="124">
        <v>21</v>
      </c>
      <c r="C37" s="92" t="s">
        <v>221</v>
      </c>
      <c r="D37" s="92"/>
      <c r="E37" s="113">
        <v>72127</v>
      </c>
      <c r="F37" s="113"/>
      <c r="G37" s="113">
        <v>72127</v>
      </c>
      <c r="H37" s="113">
        <v>1225</v>
      </c>
      <c r="I37" s="113">
        <v>73352</v>
      </c>
      <c r="J37" s="113">
        <f>+I37*J10</f>
        <v>2934.08</v>
      </c>
      <c r="K37" s="113">
        <f t="shared" si="0"/>
        <v>4159.08</v>
      </c>
      <c r="L37" s="113"/>
      <c r="M37" s="74">
        <f t="shared" si="1"/>
        <v>76286.08</v>
      </c>
      <c r="N37" s="129"/>
      <c r="O37" s="129"/>
    </row>
    <row r="38" spans="1:15" ht="15.75">
      <c r="A38" s="130"/>
      <c r="B38" s="124">
        <v>22</v>
      </c>
      <c r="C38" s="92" t="s">
        <v>222</v>
      </c>
      <c r="D38" s="92"/>
      <c r="E38" s="113">
        <v>10338</v>
      </c>
      <c r="F38" s="113"/>
      <c r="G38" s="113">
        <v>10338</v>
      </c>
      <c r="H38" s="113">
        <v>176</v>
      </c>
      <c r="I38" s="113">
        <v>10514</v>
      </c>
      <c r="J38" s="113">
        <f>+I38*J10</f>
        <v>420.56</v>
      </c>
      <c r="K38" s="113">
        <f t="shared" si="0"/>
        <v>596.56</v>
      </c>
      <c r="L38" s="113"/>
      <c r="M38" s="74">
        <f t="shared" si="1"/>
        <v>10934.56</v>
      </c>
      <c r="N38" s="129"/>
      <c r="O38" s="129"/>
    </row>
    <row r="39" spans="1:15" ht="15.75">
      <c r="A39" s="130"/>
      <c r="B39" s="124">
        <v>23</v>
      </c>
      <c r="C39" s="92" t="s">
        <v>223</v>
      </c>
      <c r="D39" s="92"/>
      <c r="E39" s="113">
        <v>246018</v>
      </c>
      <c r="F39" s="113"/>
      <c r="G39" s="113">
        <v>246018</v>
      </c>
      <c r="H39" s="113">
        <v>4177</v>
      </c>
      <c r="I39" s="113">
        <v>250195</v>
      </c>
      <c r="J39" s="113">
        <f>+I39*J10</f>
        <v>10007.800000000001</v>
      </c>
      <c r="K39" s="113">
        <f t="shared" si="0"/>
        <v>14184.800000000001</v>
      </c>
      <c r="L39" s="113"/>
      <c r="M39" s="74">
        <f t="shared" si="1"/>
        <v>260202.8</v>
      </c>
      <c r="N39" s="129"/>
      <c r="O39" s="129"/>
    </row>
    <row r="40" spans="1:15" ht="15.75">
      <c r="A40" s="130"/>
      <c r="B40" s="124">
        <v>24</v>
      </c>
      <c r="C40" s="92" t="s">
        <v>224</v>
      </c>
      <c r="D40" s="92"/>
      <c r="E40" s="113">
        <v>263936</v>
      </c>
      <c r="F40" s="113"/>
      <c r="G40" s="113">
        <v>263936</v>
      </c>
      <c r="H40" s="113">
        <v>4482</v>
      </c>
      <c r="I40" s="113">
        <v>268418</v>
      </c>
      <c r="J40" s="113">
        <f>+I40*J10</f>
        <v>10736.72</v>
      </c>
      <c r="K40" s="113">
        <f t="shared" si="0"/>
        <v>15218.72</v>
      </c>
      <c r="L40" s="113"/>
      <c r="M40" s="74">
        <f t="shared" si="1"/>
        <v>279154.72</v>
      </c>
      <c r="N40" s="129"/>
      <c r="O40" s="129"/>
    </row>
    <row r="41" spans="1:15" ht="15.75">
      <c r="A41" s="130"/>
      <c r="B41" s="124">
        <v>25</v>
      </c>
      <c r="C41" s="92">
        <v>894</v>
      </c>
      <c r="D41" s="92"/>
      <c r="E41" s="84">
        <v>6089</v>
      </c>
      <c r="F41" s="84"/>
      <c r="G41" s="84">
        <v>6089</v>
      </c>
      <c r="H41" s="84">
        <v>103</v>
      </c>
      <c r="I41" s="84">
        <v>6192</v>
      </c>
      <c r="J41" s="84">
        <f>+I41*J10</f>
        <v>247.68</v>
      </c>
      <c r="K41" s="84">
        <f t="shared" si="0"/>
        <v>350.68</v>
      </c>
      <c r="L41" s="84"/>
      <c r="M41" s="107">
        <f t="shared" si="1"/>
        <v>6439.68</v>
      </c>
      <c r="N41" s="129"/>
      <c r="O41" s="129"/>
    </row>
    <row r="42" spans="1:15" ht="15.75">
      <c r="A42" s="130"/>
      <c r="B42" s="124">
        <v>26</v>
      </c>
      <c r="C42" s="92" t="s">
        <v>121</v>
      </c>
      <c r="D42" s="92"/>
      <c r="E42" s="113">
        <v>3372264</v>
      </c>
      <c r="F42" s="113">
        <v>0</v>
      </c>
      <c r="G42" s="113">
        <v>3372264</v>
      </c>
      <c r="H42" s="113">
        <v>56775</v>
      </c>
      <c r="I42" s="113">
        <v>3429039</v>
      </c>
      <c r="J42" s="113">
        <f>SUM(J24:J41)</f>
        <v>133043.38499999998</v>
      </c>
      <c r="K42" s="113">
        <f>SUM(K24:K41)</f>
        <v>189818.38499999995</v>
      </c>
      <c r="L42" s="113">
        <f>SUM(L24:L41)</f>
        <v>0</v>
      </c>
      <c r="M42" s="113">
        <f>SUM(M24:M41)</f>
        <v>3562082.3850000002</v>
      </c>
      <c r="N42" s="129"/>
      <c r="O42" s="129"/>
    </row>
    <row r="43" spans="1:15" ht="15.75">
      <c r="A43" s="130"/>
      <c r="B43" s="124"/>
      <c r="C43" s="92"/>
      <c r="D43" s="92"/>
      <c r="E43" s="113"/>
      <c r="F43" s="113"/>
      <c r="G43" s="113"/>
      <c r="H43" s="113"/>
      <c r="I43" s="113"/>
      <c r="J43" s="113"/>
      <c r="K43" s="113"/>
      <c r="L43" s="113"/>
      <c r="M43" s="74"/>
      <c r="N43" s="129"/>
      <c r="O43" s="129"/>
    </row>
    <row r="44" spans="1:15" ht="15.75">
      <c r="A44" s="130"/>
      <c r="B44" s="124"/>
      <c r="C44" s="92" t="s">
        <v>225</v>
      </c>
      <c r="D44" s="92"/>
      <c r="E44" s="113"/>
      <c r="F44" s="113"/>
      <c r="G44" s="113"/>
      <c r="H44" s="113"/>
      <c r="I44" s="113"/>
      <c r="J44" s="113"/>
      <c r="K44" s="113"/>
      <c r="L44" s="113"/>
      <c r="M44" s="74"/>
      <c r="N44" s="129"/>
      <c r="O44" s="129"/>
    </row>
    <row r="45" spans="1:15" ht="15.75">
      <c r="A45" s="130" t="s">
        <v>73</v>
      </c>
      <c r="B45" s="124">
        <v>27</v>
      </c>
      <c r="C45" s="92" t="s">
        <v>226</v>
      </c>
      <c r="D45" s="92"/>
      <c r="E45" s="113">
        <v>136815</v>
      </c>
      <c r="F45" s="113"/>
      <c r="G45" s="113">
        <v>136815</v>
      </c>
      <c r="H45" s="113">
        <v>2078</v>
      </c>
      <c r="I45" s="113">
        <v>138893</v>
      </c>
      <c r="J45" s="113">
        <f>+I45*J9</f>
        <v>3472.3250000000003</v>
      </c>
      <c r="K45" s="113">
        <f>+H45+J45</f>
        <v>5550.325000000001</v>
      </c>
      <c r="L45" s="113"/>
      <c r="M45" s="74">
        <f>+G45+K45+L45</f>
        <v>142365.325</v>
      </c>
      <c r="N45" s="129"/>
      <c r="O45" s="129"/>
    </row>
    <row r="46" spans="1:15" ht="15.75">
      <c r="A46" s="130"/>
      <c r="B46" s="124">
        <v>28</v>
      </c>
      <c r="C46" s="92" t="s">
        <v>227</v>
      </c>
      <c r="D46" s="92"/>
      <c r="E46" s="113">
        <v>742416</v>
      </c>
      <c r="F46" s="113"/>
      <c r="G46" s="113">
        <v>742416</v>
      </c>
      <c r="H46" s="113">
        <v>12606</v>
      </c>
      <c r="I46" s="113">
        <v>755022</v>
      </c>
      <c r="J46" s="113">
        <f>+I46*J10</f>
        <v>30200.88</v>
      </c>
      <c r="K46" s="113">
        <f>+H46+J46</f>
        <v>42806.880000000005</v>
      </c>
      <c r="L46" s="113"/>
      <c r="M46" s="74">
        <f>+G46+K46+L46</f>
        <v>785222.88</v>
      </c>
      <c r="N46" s="129"/>
      <c r="O46" s="129"/>
    </row>
    <row r="47" spans="1:15" ht="15.75">
      <c r="A47" s="130" t="s">
        <v>73</v>
      </c>
      <c r="B47" s="124">
        <v>29</v>
      </c>
      <c r="C47" s="92" t="s">
        <v>228</v>
      </c>
      <c r="D47" s="92"/>
      <c r="E47" s="113">
        <v>1235082</v>
      </c>
      <c r="F47" s="113"/>
      <c r="G47" s="113">
        <v>1235082</v>
      </c>
      <c r="H47" s="113">
        <v>18761</v>
      </c>
      <c r="I47" s="113">
        <v>1253843</v>
      </c>
      <c r="J47" s="113">
        <f>+I47*J9</f>
        <v>31346.075</v>
      </c>
      <c r="K47" s="113">
        <f>+H47+J47</f>
        <v>50107.075</v>
      </c>
      <c r="L47" s="113"/>
      <c r="M47" s="74">
        <f>+G47+K47+L47</f>
        <v>1285189.075</v>
      </c>
      <c r="N47" s="129"/>
      <c r="O47" s="129"/>
    </row>
    <row r="48" spans="1:15" ht="15.75">
      <c r="A48" s="130" t="s">
        <v>73</v>
      </c>
      <c r="B48" s="124">
        <v>30</v>
      </c>
      <c r="C48" s="92" t="s">
        <v>229</v>
      </c>
      <c r="D48" s="92"/>
      <c r="E48" s="84">
        <v>36622</v>
      </c>
      <c r="F48" s="84"/>
      <c r="G48" s="84">
        <v>36622</v>
      </c>
      <c r="H48" s="84">
        <v>556</v>
      </c>
      <c r="I48" s="84">
        <v>37178</v>
      </c>
      <c r="J48" s="84">
        <f>+I48*J9</f>
        <v>929.45</v>
      </c>
      <c r="K48" s="84">
        <f>+H48+J48</f>
        <v>1485.45</v>
      </c>
      <c r="L48" s="84"/>
      <c r="M48" s="107">
        <f>+G48+K48+L48</f>
        <v>38107.45</v>
      </c>
      <c r="N48" s="129"/>
      <c r="O48" s="129"/>
    </row>
    <row r="49" spans="1:15" ht="15.75">
      <c r="A49" s="130"/>
      <c r="B49" s="124">
        <v>31</v>
      </c>
      <c r="C49" s="92" t="s">
        <v>230</v>
      </c>
      <c r="D49" s="92"/>
      <c r="E49" s="113">
        <v>2150935</v>
      </c>
      <c r="F49" s="113">
        <v>0</v>
      </c>
      <c r="G49" s="113">
        <v>2150935</v>
      </c>
      <c r="H49" s="113">
        <v>34001</v>
      </c>
      <c r="I49" s="113">
        <v>2184936</v>
      </c>
      <c r="J49" s="113">
        <f>SUM(J45:J48)</f>
        <v>65948.73</v>
      </c>
      <c r="K49" s="113">
        <f>SUM(K45:K48)</f>
        <v>99949.73</v>
      </c>
      <c r="L49" s="113">
        <f>SUM(L45:L48)</f>
        <v>0</v>
      </c>
      <c r="M49" s="113">
        <f>SUM(M45:M48)</f>
        <v>2250884.7300000004</v>
      </c>
      <c r="N49" s="129"/>
      <c r="O49" s="129"/>
    </row>
    <row r="50" spans="1:15" ht="15.75">
      <c r="A50" s="130"/>
      <c r="B50" s="124"/>
      <c r="C50" s="92"/>
      <c r="D50" s="92"/>
      <c r="E50" s="113"/>
      <c r="F50" s="113"/>
      <c r="G50" s="113"/>
      <c r="H50" s="113"/>
      <c r="I50" s="113"/>
      <c r="J50" s="113"/>
      <c r="K50" s="113"/>
      <c r="L50" s="113"/>
      <c r="M50" s="74"/>
      <c r="N50" s="129"/>
      <c r="O50" s="129"/>
    </row>
    <row r="51" spans="1:15" ht="15.75">
      <c r="A51" s="130"/>
      <c r="B51" s="124"/>
      <c r="C51" s="92" t="s">
        <v>231</v>
      </c>
      <c r="D51" s="92"/>
      <c r="E51" s="113"/>
      <c r="F51" s="113"/>
      <c r="G51" s="113"/>
      <c r="H51" s="113"/>
      <c r="I51" s="113"/>
      <c r="J51" s="113"/>
      <c r="K51" s="113"/>
      <c r="L51" s="113"/>
      <c r="M51" s="74"/>
      <c r="N51" s="129"/>
      <c r="O51" s="129"/>
    </row>
    <row r="52" spans="1:15" ht="15.75">
      <c r="A52" s="130" t="s">
        <v>73</v>
      </c>
      <c r="B52" s="124">
        <v>32</v>
      </c>
      <c r="C52" s="92" t="s">
        <v>232</v>
      </c>
      <c r="D52" s="92"/>
      <c r="E52" s="113">
        <v>123032</v>
      </c>
      <c r="F52" s="113"/>
      <c r="G52" s="113">
        <v>123032</v>
      </c>
      <c r="H52" s="113">
        <v>1869</v>
      </c>
      <c r="I52" s="113">
        <v>124901</v>
      </c>
      <c r="J52" s="113">
        <f>+I52*J9</f>
        <v>3122.525</v>
      </c>
      <c r="K52" s="113">
        <f>+H52+J52</f>
        <v>4991.525</v>
      </c>
      <c r="L52" s="113"/>
      <c r="M52" s="74">
        <f>+G52+K52+L52</f>
        <v>128023.525</v>
      </c>
      <c r="N52" s="129"/>
      <c r="O52" s="129"/>
    </row>
    <row r="53" spans="1:15" ht="15.75">
      <c r="A53" s="130" t="s">
        <v>73</v>
      </c>
      <c r="B53" s="124">
        <v>33</v>
      </c>
      <c r="C53" s="92" t="s">
        <v>233</v>
      </c>
      <c r="D53" s="92"/>
      <c r="E53" s="113">
        <v>6578</v>
      </c>
      <c r="F53" s="113"/>
      <c r="G53" s="113">
        <v>6578</v>
      </c>
      <c r="H53" s="113">
        <v>100</v>
      </c>
      <c r="I53" s="113">
        <v>6678</v>
      </c>
      <c r="J53" s="113">
        <f>+I53*J9</f>
        <v>166.95000000000002</v>
      </c>
      <c r="K53" s="113">
        <f>+H53+J53</f>
        <v>266.95000000000005</v>
      </c>
      <c r="L53" s="113"/>
      <c r="M53" s="74">
        <f>+G53+K53+L53</f>
        <v>6844.95</v>
      </c>
      <c r="N53" s="129"/>
      <c r="O53" s="129"/>
    </row>
    <row r="54" spans="1:15" ht="15.75">
      <c r="A54" s="130" t="s">
        <v>73</v>
      </c>
      <c r="B54" s="124">
        <v>34</v>
      </c>
      <c r="C54" s="92" t="s">
        <v>234</v>
      </c>
      <c r="D54" s="92"/>
      <c r="E54" s="84">
        <v>54</v>
      </c>
      <c r="F54" s="84"/>
      <c r="G54" s="84">
        <v>54</v>
      </c>
      <c r="H54" s="84">
        <v>1</v>
      </c>
      <c r="I54" s="84">
        <v>55</v>
      </c>
      <c r="J54" s="84">
        <f>+I54*J9</f>
        <v>1.375</v>
      </c>
      <c r="K54" s="84">
        <f>+H54+J54</f>
        <v>2.375</v>
      </c>
      <c r="L54" s="84"/>
      <c r="M54" s="107">
        <f>+G54+K54+L54</f>
        <v>56.375</v>
      </c>
      <c r="N54" s="129"/>
      <c r="O54" s="129"/>
    </row>
    <row r="55" spans="1:15" ht="15.75">
      <c r="A55" s="130"/>
      <c r="B55" s="124">
        <v>35</v>
      </c>
      <c r="C55" s="92" t="s">
        <v>235</v>
      </c>
      <c r="D55" s="92"/>
      <c r="E55" s="113">
        <v>129664</v>
      </c>
      <c r="F55" s="113">
        <v>0</v>
      </c>
      <c r="G55" s="113">
        <v>129664</v>
      </c>
      <c r="H55" s="113">
        <v>1970</v>
      </c>
      <c r="I55" s="113">
        <v>131634</v>
      </c>
      <c r="J55" s="113">
        <f>SUM(J52:J54)</f>
        <v>3290.85</v>
      </c>
      <c r="K55" s="113">
        <f>SUM(K52:K54)</f>
        <v>5260.849999999999</v>
      </c>
      <c r="L55" s="113">
        <f>SUM(L52:L54)</f>
        <v>0</v>
      </c>
      <c r="M55" s="113">
        <f>SUM(M52:M54)</f>
        <v>134924.85</v>
      </c>
      <c r="N55" s="129"/>
      <c r="O55" s="129"/>
    </row>
    <row r="56" spans="1:15" ht="15.75">
      <c r="A56" s="130"/>
      <c r="B56" s="124"/>
      <c r="C56" s="92"/>
      <c r="D56" s="92"/>
      <c r="E56" s="113"/>
      <c r="F56" s="113"/>
      <c r="G56" s="113"/>
      <c r="H56" s="113"/>
      <c r="I56" s="113"/>
      <c r="J56" s="113"/>
      <c r="K56" s="113"/>
      <c r="L56" s="113"/>
      <c r="M56" s="74"/>
      <c r="N56" s="129"/>
      <c r="O56" s="129"/>
    </row>
    <row r="57" spans="1:15" ht="15.75">
      <c r="A57" s="130"/>
      <c r="B57" s="124"/>
      <c r="C57" s="92" t="s">
        <v>236</v>
      </c>
      <c r="D57" s="92"/>
      <c r="E57" s="113"/>
      <c r="F57" s="113"/>
      <c r="G57" s="113"/>
      <c r="H57" s="113"/>
      <c r="I57" s="113"/>
      <c r="J57" s="113"/>
      <c r="K57" s="113"/>
      <c r="L57" s="113"/>
      <c r="M57" s="74"/>
      <c r="N57" s="129"/>
      <c r="O57" s="129"/>
    </row>
    <row r="58" spans="1:15" ht="15.75">
      <c r="A58" s="130" t="s">
        <v>73</v>
      </c>
      <c r="B58" s="124">
        <v>36</v>
      </c>
      <c r="C58" s="92" t="s">
        <v>237</v>
      </c>
      <c r="D58" s="92"/>
      <c r="E58" s="113">
        <v>0</v>
      </c>
      <c r="F58" s="113"/>
      <c r="G58" s="113">
        <v>0</v>
      </c>
      <c r="H58" s="113">
        <v>0</v>
      </c>
      <c r="I58" s="113">
        <v>0</v>
      </c>
      <c r="J58" s="113">
        <f>+I58*J9</f>
        <v>0</v>
      </c>
      <c r="K58" s="113">
        <f>+H58+J58</f>
        <v>0</v>
      </c>
      <c r="L58" s="113"/>
      <c r="M58" s="74">
        <f>+G58+K58+L58</f>
        <v>0</v>
      </c>
      <c r="N58" s="129"/>
      <c r="O58" s="129"/>
    </row>
    <row r="59" spans="1:15" ht="15.75">
      <c r="A59" s="130" t="s">
        <v>73</v>
      </c>
      <c r="B59" s="124">
        <v>37</v>
      </c>
      <c r="C59" s="92" t="s">
        <v>238</v>
      </c>
      <c r="D59" s="92"/>
      <c r="E59" s="113">
        <v>111401</v>
      </c>
      <c r="F59" s="113"/>
      <c r="G59" s="113">
        <v>111401</v>
      </c>
      <c r="H59" s="113">
        <v>1692</v>
      </c>
      <c r="I59" s="113">
        <v>113093</v>
      </c>
      <c r="J59" s="113">
        <f>+I59*J9</f>
        <v>2827.3250000000003</v>
      </c>
      <c r="K59" s="113">
        <f>+H59+J59</f>
        <v>4519.325000000001</v>
      </c>
      <c r="L59" s="113"/>
      <c r="M59" s="74">
        <f>+G59+K59+L59</f>
        <v>115920.325</v>
      </c>
      <c r="N59" s="129"/>
      <c r="O59" s="129"/>
    </row>
    <row r="60" spans="1:15" ht="15.75">
      <c r="A60" s="130" t="s">
        <v>73</v>
      </c>
      <c r="B60" s="124">
        <v>38</v>
      </c>
      <c r="C60" s="92" t="s">
        <v>239</v>
      </c>
      <c r="D60" s="92"/>
      <c r="E60" s="113">
        <v>0</v>
      </c>
      <c r="F60" s="113"/>
      <c r="G60" s="113">
        <v>0</v>
      </c>
      <c r="H60" s="113">
        <v>0</v>
      </c>
      <c r="I60" s="113">
        <v>0</v>
      </c>
      <c r="J60" s="113">
        <f>+I60*J9</f>
        <v>0</v>
      </c>
      <c r="K60" s="113">
        <f>+H60+J60</f>
        <v>0</v>
      </c>
      <c r="L60" s="113"/>
      <c r="M60" s="74">
        <f>+G60+K60+L60</f>
        <v>0</v>
      </c>
      <c r="N60" s="129"/>
      <c r="O60" s="129"/>
    </row>
    <row r="61" spans="1:15" ht="15.75">
      <c r="A61" s="130" t="s">
        <v>73</v>
      </c>
      <c r="B61" s="124">
        <v>39</v>
      </c>
      <c r="C61" s="92" t="s">
        <v>240</v>
      </c>
      <c r="D61" s="92"/>
      <c r="E61" s="84">
        <v>89414</v>
      </c>
      <c r="F61" s="84"/>
      <c r="G61" s="84">
        <v>89414</v>
      </c>
      <c r="H61" s="84">
        <v>1358</v>
      </c>
      <c r="I61" s="84">
        <v>90772</v>
      </c>
      <c r="J61" s="84">
        <f>+I61*J9</f>
        <v>2269.3</v>
      </c>
      <c r="K61" s="84">
        <f>+H61+J61</f>
        <v>3627.3</v>
      </c>
      <c r="L61" s="84"/>
      <c r="M61" s="107">
        <f>+G61+K61+L61</f>
        <v>93041.3</v>
      </c>
      <c r="N61" s="129"/>
      <c r="O61" s="129"/>
    </row>
    <row r="62" spans="1:15" ht="15.75">
      <c r="A62" s="130"/>
      <c r="B62" s="124">
        <v>40</v>
      </c>
      <c r="C62" s="92" t="s">
        <v>241</v>
      </c>
      <c r="D62" s="92"/>
      <c r="E62" s="113">
        <v>200815</v>
      </c>
      <c r="F62" s="113">
        <v>0</v>
      </c>
      <c r="G62" s="113">
        <v>200815</v>
      </c>
      <c r="H62" s="113">
        <v>3050</v>
      </c>
      <c r="I62" s="113">
        <v>203865</v>
      </c>
      <c r="J62" s="113">
        <f>SUM(J58:J61)</f>
        <v>5096.625</v>
      </c>
      <c r="K62" s="113">
        <f>SUM(K58:K61)</f>
        <v>8146.625000000001</v>
      </c>
      <c r="L62" s="113">
        <f>SUM(L58:L61)</f>
        <v>0</v>
      </c>
      <c r="M62" s="74">
        <f>SUM(M58:M61)</f>
        <v>208961.625</v>
      </c>
      <c r="N62" s="129"/>
      <c r="O62" s="129"/>
    </row>
    <row r="63" spans="1:15" ht="15.75">
      <c r="A63" s="130"/>
      <c r="B63" s="124"/>
      <c r="C63" s="92"/>
      <c r="D63" s="92"/>
      <c r="E63" s="113"/>
      <c r="F63" s="113"/>
      <c r="G63" s="113"/>
      <c r="H63" s="113"/>
      <c r="I63" s="113"/>
      <c r="J63" s="113"/>
      <c r="K63" s="113"/>
      <c r="L63" s="113"/>
      <c r="M63" s="74"/>
      <c r="N63" s="129"/>
      <c r="O63" s="129"/>
    </row>
    <row r="64" spans="1:15" ht="15.75">
      <c r="A64" s="130"/>
      <c r="B64" s="124"/>
      <c r="C64" s="92" t="s">
        <v>242</v>
      </c>
      <c r="D64" s="92"/>
      <c r="E64" s="113"/>
      <c r="F64" s="113"/>
      <c r="G64" s="113"/>
      <c r="H64" s="113"/>
      <c r="I64" s="113"/>
      <c r="J64" s="113"/>
      <c r="K64" s="113"/>
      <c r="L64" s="113"/>
      <c r="M64" s="74"/>
      <c r="N64" s="129"/>
      <c r="O64" s="129"/>
    </row>
    <row r="65" spans="1:15" ht="15.75">
      <c r="A65" s="130" t="s">
        <v>73</v>
      </c>
      <c r="B65" s="124">
        <v>41</v>
      </c>
      <c r="C65" s="92" t="s">
        <v>243</v>
      </c>
      <c r="D65" s="92"/>
      <c r="E65" s="113">
        <v>1904927</v>
      </c>
      <c r="F65" s="113">
        <v>-359641</v>
      </c>
      <c r="G65" s="113">
        <v>1545286</v>
      </c>
      <c r="H65" s="113">
        <v>23473</v>
      </c>
      <c r="I65" s="113">
        <v>1568759</v>
      </c>
      <c r="J65" s="113">
        <f>+I65*J9</f>
        <v>39218.975</v>
      </c>
      <c r="K65" s="113">
        <f aca="true" t="shared" si="2" ref="K65:K72">+H65+J65</f>
        <v>62691.975</v>
      </c>
      <c r="L65" s="113">
        <f>5463+359641</f>
        <v>365104</v>
      </c>
      <c r="M65" s="74">
        <f aca="true" t="shared" si="3" ref="M65:M72">+G65+K65+L65</f>
        <v>1973081.975</v>
      </c>
      <c r="N65" s="129"/>
      <c r="O65" s="129"/>
    </row>
    <row r="66" spans="1:15" ht="15.75">
      <c r="A66" s="130"/>
      <c r="B66" s="124">
        <v>42</v>
      </c>
      <c r="C66" s="92">
        <v>921</v>
      </c>
      <c r="D66" s="92"/>
      <c r="E66" s="113">
        <v>3340</v>
      </c>
      <c r="F66" s="113"/>
      <c r="G66" s="113">
        <v>3340</v>
      </c>
      <c r="H66" s="113">
        <v>57</v>
      </c>
      <c r="I66" s="113">
        <v>3397</v>
      </c>
      <c r="J66" s="113">
        <f>+I66*J10</f>
        <v>135.88</v>
      </c>
      <c r="K66" s="113">
        <f t="shared" si="2"/>
        <v>192.88</v>
      </c>
      <c r="L66" s="113"/>
      <c r="M66" s="74">
        <f t="shared" si="3"/>
        <v>3532.88</v>
      </c>
      <c r="N66" s="129"/>
      <c r="O66" s="129"/>
    </row>
    <row r="67" spans="1:15" ht="15.75">
      <c r="A67" s="130" t="s">
        <v>73</v>
      </c>
      <c r="B67" s="124">
        <v>43</v>
      </c>
      <c r="C67" s="92" t="s">
        <v>244</v>
      </c>
      <c r="D67" s="92"/>
      <c r="E67" s="113">
        <v>368</v>
      </c>
      <c r="F67" s="113"/>
      <c r="G67" s="113">
        <v>368</v>
      </c>
      <c r="H67" s="113">
        <v>6</v>
      </c>
      <c r="I67" s="113">
        <v>374</v>
      </c>
      <c r="J67" s="113">
        <f>+I67*J9</f>
        <v>9.35</v>
      </c>
      <c r="K67" s="113">
        <f t="shared" si="2"/>
        <v>15.35</v>
      </c>
      <c r="L67" s="113"/>
      <c r="M67" s="74">
        <f t="shared" si="3"/>
        <v>383.35</v>
      </c>
      <c r="N67" s="129"/>
      <c r="O67" s="129"/>
    </row>
    <row r="68" spans="1:15" ht="15.75">
      <c r="A68" s="130" t="s">
        <v>73</v>
      </c>
      <c r="B68" s="124">
        <v>44</v>
      </c>
      <c r="C68" s="92" t="s">
        <v>245</v>
      </c>
      <c r="D68" s="92"/>
      <c r="E68" s="113">
        <v>0</v>
      </c>
      <c r="F68" s="113"/>
      <c r="G68" s="113">
        <v>0</v>
      </c>
      <c r="H68" s="113">
        <v>0</v>
      </c>
      <c r="I68" s="113">
        <v>0</v>
      </c>
      <c r="J68" s="113">
        <f>+I68*J9</f>
        <v>0</v>
      </c>
      <c r="K68" s="113">
        <f t="shared" si="2"/>
        <v>0</v>
      </c>
      <c r="L68" s="113"/>
      <c r="M68" s="74">
        <f t="shared" si="3"/>
        <v>0</v>
      </c>
      <c r="N68" s="129"/>
      <c r="O68" s="129"/>
    </row>
    <row r="69" spans="1:15" ht="15.75">
      <c r="A69" s="130" t="s">
        <v>73</v>
      </c>
      <c r="B69" s="124">
        <v>45</v>
      </c>
      <c r="C69" s="92" t="s">
        <v>246</v>
      </c>
      <c r="D69" s="92"/>
      <c r="E69" s="113">
        <v>32270</v>
      </c>
      <c r="F69" s="113"/>
      <c r="G69" s="113">
        <v>32270</v>
      </c>
      <c r="H69" s="113">
        <v>490</v>
      </c>
      <c r="I69" s="113">
        <v>32760</v>
      </c>
      <c r="J69" s="113">
        <f>+I69*J9</f>
        <v>819</v>
      </c>
      <c r="K69" s="113">
        <f t="shared" si="2"/>
        <v>1309</v>
      </c>
      <c r="L69" s="113"/>
      <c r="M69" s="74">
        <f t="shared" si="3"/>
        <v>33579</v>
      </c>
      <c r="N69" s="129"/>
      <c r="O69" s="129"/>
    </row>
    <row r="70" spans="1:15" ht="15.75">
      <c r="A70" s="130" t="s">
        <v>73</v>
      </c>
      <c r="B70" s="124">
        <v>46</v>
      </c>
      <c r="C70" s="92" t="s">
        <v>247</v>
      </c>
      <c r="D70" s="92"/>
      <c r="E70" s="113">
        <v>182180</v>
      </c>
      <c r="F70" s="113"/>
      <c r="G70" s="113">
        <v>182180</v>
      </c>
      <c r="H70" s="113">
        <v>2767</v>
      </c>
      <c r="I70" s="113">
        <v>184947</v>
      </c>
      <c r="J70" s="113">
        <f>+I70*J9</f>
        <v>4623.675</v>
      </c>
      <c r="K70" s="113">
        <f t="shared" si="2"/>
        <v>7390.675</v>
      </c>
      <c r="L70" s="113"/>
      <c r="M70" s="74">
        <f t="shared" si="3"/>
        <v>189570.675</v>
      </c>
      <c r="N70" s="129"/>
      <c r="O70" s="129"/>
    </row>
    <row r="71" spans="1:15" ht="15.75">
      <c r="A71" s="130" t="s">
        <v>73</v>
      </c>
      <c r="B71" s="124">
        <v>47</v>
      </c>
      <c r="C71" s="92" t="s">
        <v>248</v>
      </c>
      <c r="D71" s="92"/>
      <c r="E71" s="113">
        <v>65522</v>
      </c>
      <c r="F71" s="113">
        <v>0</v>
      </c>
      <c r="G71" s="113">
        <v>65522</v>
      </c>
      <c r="H71" s="113">
        <v>995</v>
      </c>
      <c r="I71" s="113">
        <v>66517</v>
      </c>
      <c r="J71" s="113">
        <f>+I71*J9</f>
        <v>1662.9250000000002</v>
      </c>
      <c r="K71" s="113">
        <f t="shared" si="2"/>
        <v>2657.925</v>
      </c>
      <c r="L71" s="113"/>
      <c r="M71" s="74">
        <f t="shared" si="3"/>
        <v>68179.925</v>
      </c>
      <c r="N71" s="129"/>
      <c r="O71" s="129"/>
    </row>
    <row r="72" spans="1:15" ht="15.75">
      <c r="A72" s="130"/>
      <c r="B72" s="124">
        <v>48</v>
      </c>
      <c r="C72" s="92" t="s">
        <v>249</v>
      </c>
      <c r="D72" s="92"/>
      <c r="E72" s="84">
        <v>163525</v>
      </c>
      <c r="F72" s="84"/>
      <c r="G72" s="84">
        <v>163525</v>
      </c>
      <c r="H72" s="84">
        <v>2777</v>
      </c>
      <c r="I72" s="84">
        <v>166302</v>
      </c>
      <c r="J72" s="84">
        <f>+I72*J9</f>
        <v>4157.55</v>
      </c>
      <c r="K72" s="84">
        <f t="shared" si="2"/>
        <v>6934.55</v>
      </c>
      <c r="L72" s="84"/>
      <c r="M72" s="107">
        <f t="shared" si="3"/>
        <v>170459.55</v>
      </c>
      <c r="N72" s="129"/>
      <c r="O72" s="129"/>
    </row>
    <row r="73" spans="1:15" ht="15.75">
      <c r="A73" s="130"/>
      <c r="B73" s="124">
        <v>49</v>
      </c>
      <c r="C73" s="92" t="s">
        <v>250</v>
      </c>
      <c r="D73" s="92"/>
      <c r="E73" s="113">
        <v>2352132</v>
      </c>
      <c r="F73" s="113">
        <v>-359641</v>
      </c>
      <c r="G73" s="113">
        <v>1992491</v>
      </c>
      <c r="H73" s="113">
        <v>30565</v>
      </c>
      <c r="I73" s="113">
        <v>2023056</v>
      </c>
      <c r="J73" s="113">
        <f>SUM(J65:J72)</f>
        <v>50627.355</v>
      </c>
      <c r="K73" s="113">
        <f>SUM(K65:K72)</f>
        <v>81192.355</v>
      </c>
      <c r="L73" s="113">
        <f>SUM(L65:L72)</f>
        <v>365104</v>
      </c>
      <c r="M73" s="113">
        <f>SUM(M65:M72)</f>
        <v>2438787.3549999995</v>
      </c>
      <c r="N73" s="129"/>
      <c r="O73" s="129"/>
    </row>
    <row r="74" spans="1:15" ht="15.75">
      <c r="A74" s="130"/>
      <c r="B74" s="124"/>
      <c r="C74" s="92"/>
      <c r="D74" s="92"/>
      <c r="E74" s="113"/>
      <c r="F74" s="113"/>
      <c r="G74" s="113"/>
      <c r="H74" s="113"/>
      <c r="I74" s="113"/>
      <c r="J74" s="113"/>
      <c r="K74" s="113"/>
      <c r="L74" s="113"/>
      <c r="M74" s="74"/>
      <c r="N74" s="129"/>
      <c r="O74" s="129"/>
    </row>
    <row r="75" spans="1:15" ht="16.5" thickBot="1">
      <c r="A75" s="130"/>
      <c r="B75" s="124">
        <v>50</v>
      </c>
      <c r="C75" s="92" t="s">
        <v>251</v>
      </c>
      <c r="D75" s="92"/>
      <c r="E75" s="114">
        <v>8596430</v>
      </c>
      <c r="F75" s="114">
        <v>-386936</v>
      </c>
      <c r="G75" s="114">
        <f aca="true" t="shared" si="4" ref="G75:M75">+G73+G62+G55+G49+G42+G21+G16</f>
        <v>8209494</v>
      </c>
      <c r="H75" s="114">
        <f t="shared" si="4"/>
        <v>131879</v>
      </c>
      <c r="I75" s="114">
        <f t="shared" si="4"/>
        <v>8341373</v>
      </c>
      <c r="J75" s="114">
        <f t="shared" si="4"/>
        <v>267228.01999999996</v>
      </c>
      <c r="K75" s="114">
        <f t="shared" si="4"/>
        <v>399107.0199999999</v>
      </c>
      <c r="L75" s="114">
        <f t="shared" si="4"/>
        <v>392814</v>
      </c>
      <c r="M75" s="114">
        <f t="shared" si="4"/>
        <v>9001415.02</v>
      </c>
      <c r="N75" s="129"/>
      <c r="O75" s="129"/>
    </row>
    <row r="76" spans="1:15" ht="16.5" thickTop="1">
      <c r="A76" s="130"/>
      <c r="B76" s="124"/>
      <c r="C76" s="92"/>
      <c r="D76" s="92"/>
      <c r="E76" s="113"/>
      <c r="F76" s="113"/>
      <c r="G76" s="113"/>
      <c r="H76" s="113"/>
      <c r="I76" s="113"/>
      <c r="J76" s="113"/>
      <c r="K76" s="113"/>
      <c r="L76" s="113"/>
      <c r="M76" s="129"/>
      <c r="N76" s="129"/>
      <c r="O76" s="129"/>
    </row>
    <row r="77" spans="1:15" ht="15.75">
      <c r="A77" s="130"/>
      <c r="B77" s="70" t="s">
        <v>179</v>
      </c>
      <c r="C77" s="128"/>
      <c r="D77" s="128"/>
      <c r="E77" s="113"/>
      <c r="F77" s="113"/>
      <c r="G77" s="113"/>
      <c r="H77" s="113"/>
      <c r="I77" s="113"/>
      <c r="J77" s="113"/>
      <c r="K77" s="113"/>
      <c r="L77" s="113"/>
      <c r="M77" s="129"/>
      <c r="N77" s="129"/>
      <c r="O77" s="129"/>
    </row>
    <row r="78" spans="1:15" ht="15.75">
      <c r="A78" s="130"/>
      <c r="B78" s="66" t="s">
        <v>361</v>
      </c>
      <c r="C78" s="92"/>
      <c r="D78" s="92"/>
      <c r="E78" s="113"/>
      <c r="F78" s="113"/>
      <c r="G78" s="113"/>
      <c r="H78" s="113"/>
      <c r="I78" s="113"/>
      <c r="J78" s="113"/>
      <c r="K78" s="113"/>
      <c r="L78" s="113"/>
      <c r="M78" s="129"/>
      <c r="N78" s="129"/>
      <c r="O78" s="129"/>
    </row>
    <row r="79" spans="1:15" ht="15.75">
      <c r="A79" s="130"/>
      <c r="B79" s="124"/>
      <c r="C79" s="92"/>
      <c r="D79" s="92"/>
      <c r="E79" s="113"/>
      <c r="F79" s="113"/>
      <c r="G79" s="113"/>
      <c r="H79" s="113"/>
      <c r="I79" s="113"/>
      <c r="J79" s="113"/>
      <c r="K79" s="113"/>
      <c r="L79" s="113"/>
      <c r="M79" s="129"/>
      <c r="N79" s="129"/>
      <c r="O79" s="129"/>
    </row>
    <row r="80" spans="1:15" ht="15.75">
      <c r="A80" s="130"/>
      <c r="B80" s="124"/>
      <c r="C80" s="92"/>
      <c r="D80" s="92"/>
      <c r="E80" s="113"/>
      <c r="F80" s="113"/>
      <c r="G80" s="113"/>
      <c r="H80" s="113"/>
      <c r="I80" s="113"/>
      <c r="J80" s="113"/>
      <c r="K80" s="113"/>
      <c r="L80" s="113"/>
      <c r="M80" s="129"/>
      <c r="N80" s="129"/>
      <c r="O80" s="129"/>
    </row>
    <row r="81" spans="1:15" ht="15.75">
      <c r="A81" s="130"/>
      <c r="B81" s="124"/>
      <c r="C81" s="92"/>
      <c r="D81" s="92"/>
      <c r="E81" s="113"/>
      <c r="F81" s="113"/>
      <c r="G81" s="113"/>
      <c r="H81" s="113"/>
      <c r="I81" s="113"/>
      <c r="J81" s="113"/>
      <c r="K81" s="113"/>
      <c r="L81" s="113"/>
      <c r="M81" s="129"/>
      <c r="N81" s="129"/>
      <c r="O81" s="129"/>
    </row>
    <row r="82" spans="1:15" ht="12.75">
      <c r="A82" s="131"/>
      <c r="B82" s="132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</row>
    <row r="83" spans="1:15" ht="12.75">
      <c r="A83" s="131"/>
      <c r="B83" s="132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</row>
    <row r="84" spans="1:15" ht="12.75">
      <c r="A84" s="131"/>
      <c r="B84" s="132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</row>
    <row r="85" spans="1:15" ht="12.75">
      <c r="A85" s="131"/>
      <c r="B85" s="132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</row>
    <row r="86" spans="1:15" ht="12.75">
      <c r="A86" s="131"/>
      <c r="B86" s="132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</row>
    <row r="87" spans="1:15" ht="12.75">
      <c r="A87" s="131"/>
      <c r="B87" s="132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</row>
    <row r="88" spans="1:15" ht="12.75">
      <c r="A88" s="131"/>
      <c r="B88" s="132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</row>
    <row r="89" spans="2:15" ht="12.75">
      <c r="B89" s="132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</row>
    <row r="90" spans="2:15" ht="12.75">
      <c r="B90" s="132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</row>
    <row r="91" spans="2:15" ht="12.75">
      <c r="B91" s="132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</row>
    <row r="92" spans="2:15" ht="12.75">
      <c r="B92" s="132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</row>
    <row r="93" spans="2:15" ht="12.75">
      <c r="B93" s="132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</row>
    <row r="94" spans="2:15" ht="12.75">
      <c r="B94" s="132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</row>
    <row r="95" spans="2:15" ht="12.75">
      <c r="B95" s="132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</row>
    <row r="96" spans="2:15" ht="12.75">
      <c r="B96" s="132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</row>
    <row r="97" spans="2:15" ht="12.75">
      <c r="B97" s="132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</row>
    <row r="98" spans="2:15" ht="12.75">
      <c r="B98" s="132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</row>
    <row r="99" spans="2:15" ht="12.75">
      <c r="B99" s="132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</row>
    <row r="100" spans="2:15" ht="12.75">
      <c r="B100" s="132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</row>
    <row r="101" ht="12.75">
      <c r="B101" s="132"/>
    </row>
    <row r="102" ht="12.75">
      <c r="B102" s="132"/>
    </row>
    <row r="103" ht="12.75">
      <c r="B103" s="132"/>
    </row>
    <row r="104" ht="12.75">
      <c r="B104" s="132"/>
    </row>
    <row r="105" ht="12.75">
      <c r="B105" s="132"/>
    </row>
    <row r="106" ht="12.75">
      <c r="B106" s="132"/>
    </row>
    <row r="107" ht="12.75">
      <c r="B107" s="132"/>
    </row>
    <row r="108" ht="12.75">
      <c r="B108" s="132"/>
    </row>
    <row r="109" ht="12.75">
      <c r="B109" s="132"/>
    </row>
    <row r="110" ht="12.75">
      <c r="B110" s="132"/>
    </row>
    <row r="111" ht="12.75">
      <c r="B111" s="132"/>
    </row>
    <row r="112" ht="12.75">
      <c r="B112" s="132"/>
    </row>
    <row r="113" ht="12.75">
      <c r="B113" s="132"/>
    </row>
    <row r="114" ht="12.75">
      <c r="B114" s="132"/>
    </row>
    <row r="115" ht="12.75">
      <c r="B115" s="132"/>
    </row>
    <row r="116" ht="12.75">
      <c r="B116" s="132"/>
    </row>
    <row r="117" ht="12.75">
      <c r="B117" s="132"/>
    </row>
    <row r="118" ht="12.75">
      <c r="B118" s="132"/>
    </row>
    <row r="119" ht="12.75">
      <c r="B119" s="132"/>
    </row>
    <row r="120" ht="12.75">
      <c r="B120" s="132"/>
    </row>
    <row r="121" ht="12.75">
      <c r="B121" s="132"/>
    </row>
  </sheetData>
  <sheetProtection/>
  <mergeCells count="3">
    <mergeCell ref="C1:K1"/>
    <mergeCell ref="C2:K2"/>
    <mergeCell ref="C3:K3"/>
  </mergeCells>
  <printOptions/>
  <pageMargins left="0.75" right="0.75" top="1" bottom="1" header="0.5" footer="0.5"/>
  <pageSetup horizontalDpi="600" verticalDpi="600" orientation="landscape" scale="65" r:id="rId1"/>
  <headerFooter alignWithMargins="0">
    <oddHeader>&amp;R&amp;"Times New Roman,Regular"Docket Nos. UE-090134 and UG-090135, UG-060518
Exhibit No. __(HL-4)
Schedule C-1.1 (Gas)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view="pageLayout" workbookViewId="0" topLeftCell="C1">
      <selection activeCell="E26" sqref="E26"/>
    </sheetView>
  </sheetViews>
  <sheetFormatPr defaultColWidth="9.140625" defaultRowHeight="12.75"/>
  <cols>
    <col min="2" max="2" width="0.9921875" style="0" customWidth="1"/>
    <col min="3" max="3" width="45.7109375" style="0" customWidth="1"/>
    <col min="4" max="4" width="0.71875" style="0" customWidth="1"/>
    <col min="5" max="5" width="13.140625" style="0" customWidth="1"/>
    <col min="6" max="6" width="0.9921875" style="0" customWidth="1"/>
    <col min="7" max="7" width="10.57421875" style="0" bestFit="1" customWidth="1"/>
  </cols>
  <sheetData>
    <row r="1" spans="1:8" ht="15.75">
      <c r="A1" s="265" t="str">
        <f>A!A1</f>
        <v>AVISTA UTILITIES</v>
      </c>
      <c r="B1" s="265"/>
      <c r="C1" s="265"/>
      <c r="D1" s="265"/>
      <c r="E1" s="265"/>
      <c r="F1" s="265"/>
      <c r="G1" s="265"/>
      <c r="H1" s="265"/>
    </row>
    <row r="2" spans="1:8" ht="15.75">
      <c r="A2" s="265" t="str">
        <f>A!A2</f>
        <v>Washington Gas System</v>
      </c>
      <c r="B2" s="265"/>
      <c r="C2" s="265"/>
      <c r="D2" s="265"/>
      <c r="E2" s="265"/>
      <c r="F2" s="265"/>
      <c r="G2" s="265"/>
      <c r="H2" s="265"/>
    </row>
    <row r="3" spans="1:8" ht="15.75">
      <c r="A3" s="265" t="str">
        <f>A!A3</f>
        <v>Test Year Twelve Months Ended September 30, 2008</v>
      </c>
      <c r="B3" s="265"/>
      <c r="C3" s="265"/>
      <c r="D3" s="265"/>
      <c r="E3" s="265"/>
      <c r="F3" s="265"/>
      <c r="G3" s="265"/>
      <c r="H3" s="265"/>
    </row>
    <row r="4" spans="1:8" ht="15.75">
      <c r="A4" s="265"/>
      <c r="B4" s="265"/>
      <c r="C4" s="265"/>
      <c r="D4" s="265"/>
      <c r="E4" s="265"/>
      <c r="F4" s="265"/>
      <c r="G4" s="265"/>
      <c r="H4" s="265"/>
    </row>
    <row r="5" spans="1:8" ht="15.75">
      <c r="A5" s="66"/>
      <c r="B5" s="66"/>
      <c r="C5" s="66"/>
      <c r="D5" s="66"/>
      <c r="E5" s="66"/>
      <c r="F5" s="66"/>
      <c r="G5" s="66"/>
      <c r="H5" s="66"/>
    </row>
    <row r="6" spans="1:8" ht="15.75">
      <c r="A6" s="66"/>
      <c r="B6" s="66"/>
      <c r="C6" s="66"/>
      <c r="D6" s="66"/>
      <c r="E6" s="66"/>
      <c r="F6" s="66"/>
      <c r="G6" s="66"/>
      <c r="H6" s="66"/>
    </row>
    <row r="7" spans="1:8" ht="15.75">
      <c r="A7" s="66" t="s">
        <v>377</v>
      </c>
      <c r="B7" s="66"/>
      <c r="C7" s="66"/>
      <c r="D7" s="66"/>
      <c r="E7" s="66"/>
      <c r="F7" s="66"/>
      <c r="G7" s="66"/>
      <c r="H7" s="66"/>
    </row>
    <row r="8" spans="1:8" ht="15.75">
      <c r="A8" s="66"/>
      <c r="B8" s="66"/>
      <c r="C8" s="66"/>
      <c r="D8" s="66"/>
      <c r="E8" s="66"/>
      <c r="F8" s="66"/>
      <c r="G8" s="66"/>
      <c r="H8" s="66"/>
    </row>
    <row r="9" spans="1:8" ht="15.75">
      <c r="A9" s="69" t="s">
        <v>183</v>
      </c>
      <c r="B9" s="66"/>
      <c r="C9" s="70" t="s">
        <v>148</v>
      </c>
      <c r="D9" s="65"/>
      <c r="E9" s="70" t="s">
        <v>184</v>
      </c>
      <c r="F9" s="66"/>
      <c r="G9" s="70" t="s">
        <v>260</v>
      </c>
      <c r="H9" s="66"/>
    </row>
    <row r="10" spans="1:8" ht="15.75">
      <c r="A10" s="68"/>
      <c r="B10" s="66"/>
      <c r="C10" s="66"/>
      <c r="D10" s="66"/>
      <c r="E10" s="66"/>
      <c r="F10" s="66"/>
      <c r="G10" s="66"/>
      <c r="H10" s="66"/>
    </row>
    <row r="11" spans="1:8" ht="15.75">
      <c r="A11" s="106">
        <v>1</v>
      </c>
      <c r="B11" s="66"/>
      <c r="C11" s="66" t="s">
        <v>290</v>
      </c>
      <c r="D11" s="65"/>
      <c r="E11" s="89">
        <v>66560</v>
      </c>
      <c r="F11" s="65"/>
      <c r="G11" s="124" t="s">
        <v>266</v>
      </c>
      <c r="H11" s="65"/>
    </row>
    <row r="12" spans="1:8" ht="15.75">
      <c r="A12" s="106"/>
      <c r="B12" s="66"/>
      <c r="C12" s="65"/>
      <c r="D12" s="65"/>
      <c r="E12" s="65"/>
      <c r="F12" s="65"/>
      <c r="G12" s="65"/>
      <c r="H12" s="65"/>
    </row>
    <row r="13" spans="1:8" ht="15.75">
      <c r="A13" s="106">
        <v>2</v>
      </c>
      <c r="B13" s="66"/>
      <c r="C13" s="66" t="s">
        <v>291</v>
      </c>
      <c r="D13" s="66"/>
      <c r="E13" s="107">
        <f>+E15-E11</f>
        <v>-60682.44216</v>
      </c>
      <c r="F13" s="65"/>
      <c r="G13" s="65"/>
      <c r="H13" s="65"/>
    </row>
    <row r="14" spans="1:8" ht="15.75">
      <c r="A14" s="106"/>
      <c r="B14" s="66"/>
      <c r="C14" s="65"/>
      <c r="D14" s="65"/>
      <c r="E14" s="65"/>
      <c r="F14" s="65"/>
      <c r="G14" s="65"/>
      <c r="H14" s="65"/>
    </row>
    <row r="15" spans="1:8" ht="15.75">
      <c r="A15" s="106">
        <v>3</v>
      </c>
      <c r="B15" s="66"/>
      <c r="C15" s="65" t="s">
        <v>292</v>
      </c>
      <c r="D15" s="65"/>
      <c r="E15" s="107">
        <f>E30</f>
        <v>5877.55784</v>
      </c>
      <c r="F15" s="65"/>
      <c r="G15" s="71" t="s">
        <v>267</v>
      </c>
      <c r="H15" s="65"/>
    </row>
    <row r="16" spans="1:8" ht="15.75">
      <c r="A16" s="106"/>
      <c r="B16" s="66"/>
      <c r="C16" s="65"/>
      <c r="D16" s="65"/>
      <c r="E16" s="65"/>
      <c r="F16" s="65"/>
      <c r="G16" s="65"/>
      <c r="H16" s="65"/>
    </row>
    <row r="17" spans="1:8" ht="15.75">
      <c r="A17" s="109">
        <v>4</v>
      </c>
      <c r="B17" s="92"/>
      <c r="C17" s="110" t="s">
        <v>185</v>
      </c>
      <c r="D17" s="92"/>
      <c r="E17" s="111">
        <v>0.35</v>
      </c>
      <c r="F17" s="92"/>
      <c r="G17" s="113"/>
      <c r="H17" s="172"/>
    </row>
    <row r="18" spans="1:8" ht="15.75">
      <c r="A18" s="109"/>
      <c r="B18" s="92"/>
      <c r="C18" s="112"/>
      <c r="D18" s="92"/>
      <c r="E18" s="113"/>
      <c r="F18" s="92"/>
      <c r="G18" s="113"/>
      <c r="H18" s="172"/>
    </row>
    <row r="19" spans="1:8" ht="15.75">
      <c r="A19" s="109">
        <v>5</v>
      </c>
      <c r="B19" s="92"/>
      <c r="C19" s="110" t="s">
        <v>362</v>
      </c>
      <c r="D19" s="92"/>
      <c r="E19" s="84">
        <f>+E15*-E17</f>
        <v>-2057.145244</v>
      </c>
      <c r="F19" s="92"/>
      <c r="G19" s="113" t="s">
        <v>293</v>
      </c>
      <c r="H19" s="172"/>
    </row>
    <row r="20" spans="1:8" ht="15.75">
      <c r="A20" s="109"/>
      <c r="B20" s="92"/>
      <c r="C20" s="112"/>
      <c r="D20" s="92"/>
      <c r="E20" s="113"/>
      <c r="F20" s="92"/>
      <c r="G20" s="113"/>
      <c r="H20" s="172"/>
    </row>
    <row r="21" spans="1:8" ht="16.5" thickBot="1">
      <c r="A21" s="109">
        <v>6</v>
      </c>
      <c r="B21" s="92"/>
      <c r="C21" s="110" t="s">
        <v>357</v>
      </c>
      <c r="D21" s="92"/>
      <c r="E21" s="114">
        <f>-E15-E19</f>
        <v>-3820.4125960000006</v>
      </c>
      <c r="F21" s="92"/>
      <c r="G21" s="113" t="s">
        <v>294</v>
      </c>
      <c r="H21" s="172"/>
    </row>
    <row r="22" spans="1:8" ht="16.5" thickTop="1">
      <c r="A22" s="124"/>
      <c r="B22" s="92"/>
      <c r="C22" s="112"/>
      <c r="D22" s="92"/>
      <c r="E22" s="113"/>
      <c r="F22" s="92"/>
      <c r="G22" s="113"/>
      <c r="H22" s="172"/>
    </row>
    <row r="23" spans="1:8" ht="15.75">
      <c r="A23" s="124"/>
      <c r="B23" s="92"/>
      <c r="C23" s="112"/>
      <c r="D23" s="92"/>
      <c r="E23" s="173"/>
      <c r="F23" s="92"/>
      <c r="G23" s="113"/>
      <c r="H23" s="172"/>
    </row>
    <row r="24" spans="1:8" ht="15.75">
      <c r="A24" s="124"/>
      <c r="B24" s="92"/>
      <c r="C24" s="112"/>
      <c r="D24" s="92"/>
      <c r="E24" s="113"/>
      <c r="F24" s="92"/>
      <c r="G24" s="113"/>
      <c r="H24" s="172"/>
    </row>
    <row r="25" spans="1:8" ht="15.75">
      <c r="A25" s="124"/>
      <c r="B25" s="92"/>
      <c r="C25" s="112"/>
      <c r="D25" s="92"/>
      <c r="E25" s="113"/>
      <c r="F25" s="92"/>
      <c r="G25" s="113"/>
      <c r="H25" s="172"/>
    </row>
    <row r="26" spans="1:8" ht="15.75">
      <c r="A26" s="124" t="s">
        <v>266</v>
      </c>
      <c r="B26" s="92"/>
      <c r="C26" s="110" t="s">
        <v>295</v>
      </c>
      <c r="D26" s="92"/>
      <c r="E26" s="113"/>
      <c r="F26" s="92"/>
      <c r="G26" s="113"/>
      <c r="H26" s="172"/>
    </row>
    <row r="27" spans="1:8" ht="15.75">
      <c r="A27" s="124"/>
      <c r="B27" s="92"/>
      <c r="C27" s="110"/>
      <c r="D27" s="92"/>
      <c r="E27" s="92"/>
      <c r="F27" s="92"/>
      <c r="G27" s="92"/>
      <c r="H27" s="172"/>
    </row>
    <row r="28" spans="1:8" ht="15.75">
      <c r="A28" s="68" t="s">
        <v>267</v>
      </c>
      <c r="B28" s="66"/>
      <c r="C28" s="66" t="s">
        <v>296</v>
      </c>
      <c r="D28" s="66"/>
      <c r="E28" s="74">
        <v>386936</v>
      </c>
      <c r="F28" s="66"/>
      <c r="G28" s="66" t="s">
        <v>297</v>
      </c>
      <c r="H28" s="66"/>
    </row>
    <row r="29" spans="1:8" ht="15.75">
      <c r="A29" s="68"/>
      <c r="B29" s="66"/>
      <c r="C29" s="66" t="s">
        <v>298</v>
      </c>
      <c r="D29" s="66"/>
      <c r="E29" s="174">
        <v>0.01519</v>
      </c>
      <c r="F29" s="66"/>
      <c r="G29" s="66" t="s">
        <v>299</v>
      </c>
      <c r="H29" s="66"/>
    </row>
    <row r="30" spans="1:8" ht="15.75">
      <c r="A30" s="68"/>
      <c r="B30" s="66"/>
      <c r="C30" s="66" t="s">
        <v>300</v>
      </c>
      <c r="D30" s="66"/>
      <c r="E30" s="74">
        <f>+E28*E29</f>
        <v>5877.55784</v>
      </c>
      <c r="F30" s="66"/>
      <c r="G30" s="66"/>
      <c r="H30" s="66"/>
    </row>
    <row r="31" spans="1:8" ht="15.75">
      <c r="A31" s="68"/>
      <c r="B31" s="66"/>
      <c r="C31" s="66"/>
      <c r="D31" s="66"/>
      <c r="E31" s="66"/>
      <c r="F31" s="66"/>
      <c r="G31" s="66"/>
      <c r="H31" s="66"/>
    </row>
    <row r="32" spans="1:8" ht="15.75">
      <c r="A32" s="68" t="s">
        <v>297</v>
      </c>
      <c r="B32" s="66"/>
      <c r="C32" s="66" t="s">
        <v>301</v>
      </c>
      <c r="D32" s="66"/>
      <c r="E32" s="74"/>
      <c r="F32" s="66"/>
      <c r="G32" s="66"/>
      <c r="H32" s="66"/>
    </row>
    <row r="33" spans="1:8" ht="15.75">
      <c r="A33" s="68"/>
      <c r="B33" s="66"/>
      <c r="C33" s="66"/>
      <c r="D33" s="66"/>
      <c r="E33" s="66"/>
      <c r="F33" s="66"/>
      <c r="G33" s="66"/>
      <c r="H33" s="66"/>
    </row>
    <row r="34" spans="1:8" ht="15.75">
      <c r="A34" s="68" t="s">
        <v>299</v>
      </c>
      <c r="B34" s="66"/>
      <c r="C34" s="66" t="s">
        <v>302</v>
      </c>
      <c r="D34" s="66"/>
      <c r="E34" s="66"/>
      <c r="F34" s="66"/>
      <c r="G34" s="66"/>
      <c r="H34" s="66"/>
    </row>
    <row r="35" spans="1:8" ht="15.75">
      <c r="A35" s="66"/>
      <c r="B35" s="66"/>
      <c r="C35" s="66"/>
      <c r="D35" s="66"/>
      <c r="E35" s="66"/>
      <c r="F35" s="66"/>
      <c r="G35" s="66"/>
      <c r="H35" s="66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r:id="rId1"/>
  <headerFooter alignWithMargins="0">
    <oddHeader>&amp;R&amp;"Times New Roman,Regular"Docket Nos. UE-090134 and UG-090135, UG-060518
Exhibit No. __(HL-4)
Schedule C-2 (Gas)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D1">
      <selection activeCell="D28" sqref="D28"/>
    </sheetView>
  </sheetViews>
  <sheetFormatPr defaultColWidth="9.140625" defaultRowHeight="12.75"/>
  <cols>
    <col min="2" max="2" width="0.9921875" style="0" customWidth="1"/>
    <col min="3" max="3" width="48.28125" style="0" customWidth="1"/>
    <col min="4" max="4" width="12.421875" style="0" customWidth="1"/>
    <col min="5" max="5" width="0.71875" style="0" customWidth="1"/>
    <col min="6" max="6" width="13.140625" style="0" customWidth="1"/>
    <col min="7" max="7" width="0.9921875" style="0" customWidth="1"/>
    <col min="8" max="8" width="12.28125" style="0" customWidth="1"/>
    <col min="9" max="9" width="0.85546875" style="0" customWidth="1"/>
    <col min="10" max="10" width="11.7109375" style="0" customWidth="1"/>
  </cols>
  <sheetData>
    <row r="1" spans="1:10" ht="15.75">
      <c r="A1" s="265" t="str">
        <f>'[2]A'!A1</f>
        <v>AVISTA UTILITIES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15.75">
      <c r="A2" s="265" t="str">
        <f>'C-2'!A2:H2</f>
        <v>Washington Gas System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 ht="15.75">
      <c r="A3" s="265" t="str">
        <f>'[3]A1 RevReq'!A3:I3</f>
        <v>Test Year Twelve Months Ended September 30, 2008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ht="15.75">
      <c r="A4" s="265"/>
      <c r="B4" s="265"/>
      <c r="C4" s="265"/>
      <c r="D4" s="265"/>
      <c r="E4" s="265"/>
      <c r="F4" s="265"/>
      <c r="G4" s="265"/>
      <c r="H4" s="265"/>
      <c r="I4" s="265"/>
      <c r="J4" s="265"/>
    </row>
    <row r="5" spans="1:10" ht="15.75">
      <c r="A5" s="66"/>
      <c r="B5" s="66"/>
      <c r="C5" s="66"/>
      <c r="D5" s="66"/>
      <c r="E5" s="66"/>
      <c r="F5" s="68"/>
      <c r="G5" s="68"/>
      <c r="H5" s="68"/>
      <c r="I5" s="66"/>
      <c r="J5" s="66"/>
    </row>
    <row r="6" spans="1:10" ht="15.75">
      <c r="A6" s="66"/>
      <c r="B6" s="66"/>
      <c r="C6" s="66"/>
      <c r="D6" s="68"/>
      <c r="E6" s="68"/>
      <c r="F6" s="68"/>
      <c r="G6" s="68"/>
      <c r="H6" s="68"/>
      <c r="I6" s="66"/>
      <c r="J6" s="66"/>
    </row>
    <row r="7" spans="1:10" ht="15.75">
      <c r="A7" s="66" t="s">
        <v>310</v>
      </c>
      <c r="B7" s="66"/>
      <c r="C7" s="66"/>
      <c r="D7" s="68"/>
      <c r="E7" s="68"/>
      <c r="F7" s="68"/>
      <c r="G7" s="68"/>
      <c r="H7" s="68" t="s">
        <v>311</v>
      </c>
      <c r="I7" s="66"/>
      <c r="J7" s="66"/>
    </row>
    <row r="8" spans="1:9" ht="15.75">
      <c r="A8" s="66"/>
      <c r="B8" s="66"/>
      <c r="C8" s="66"/>
      <c r="D8" s="68" t="s">
        <v>65</v>
      </c>
      <c r="E8" s="68"/>
      <c r="F8" s="68" t="s">
        <v>311</v>
      </c>
      <c r="G8" s="68"/>
      <c r="H8" s="68" t="s">
        <v>312</v>
      </c>
      <c r="I8" s="66"/>
    </row>
    <row r="9" spans="1:9" ht="15.75">
      <c r="A9" s="69" t="s">
        <v>183</v>
      </c>
      <c r="B9" s="66"/>
      <c r="C9" s="70" t="s">
        <v>148</v>
      </c>
      <c r="D9" s="69" t="s">
        <v>58</v>
      </c>
      <c r="E9" s="71"/>
      <c r="F9" s="69" t="s">
        <v>313</v>
      </c>
      <c r="G9" s="68"/>
      <c r="H9" s="69" t="s">
        <v>314</v>
      </c>
      <c r="I9" s="65"/>
    </row>
    <row r="10" spans="1:9" ht="15.75">
      <c r="A10" s="68"/>
      <c r="B10" s="66"/>
      <c r="C10" s="66"/>
      <c r="D10" s="66"/>
      <c r="E10" s="66"/>
      <c r="F10" s="66"/>
      <c r="G10" s="66"/>
      <c r="H10" s="66"/>
      <c r="I10" s="66"/>
    </row>
    <row r="11" spans="1:10" ht="15.75">
      <c r="A11" s="106">
        <v>1</v>
      </c>
      <c r="B11" s="66"/>
      <c r="C11" s="66" t="s">
        <v>315</v>
      </c>
      <c r="D11" s="89">
        <f>+H11+F11</f>
        <v>152143</v>
      </c>
      <c r="E11" s="65"/>
      <c r="F11" s="89">
        <v>-4814</v>
      </c>
      <c r="G11" s="65"/>
      <c r="H11" s="83">
        <v>156957</v>
      </c>
      <c r="I11" s="124"/>
      <c r="J11" t="s">
        <v>266</v>
      </c>
    </row>
    <row r="12" spans="1:9" ht="15.75">
      <c r="A12" s="106"/>
      <c r="B12" s="66"/>
      <c r="C12" s="65"/>
      <c r="D12" s="65"/>
      <c r="E12" s="65"/>
      <c r="F12" s="65"/>
      <c r="G12" s="65"/>
      <c r="H12" s="65"/>
      <c r="I12" s="65"/>
    </row>
    <row r="13" spans="1:8" ht="15.75">
      <c r="A13" s="106">
        <v>2</v>
      </c>
      <c r="B13" s="66"/>
      <c r="C13" s="66" t="s">
        <v>316</v>
      </c>
      <c r="D13" s="84">
        <f>+D15-D11</f>
        <v>-156957</v>
      </c>
      <c r="E13" s="92"/>
      <c r="F13" s="111"/>
      <c r="G13" s="92"/>
      <c r="H13" s="107">
        <f>-H11</f>
        <v>-156957</v>
      </c>
    </row>
    <row r="14" spans="1:9" ht="15.75">
      <c r="A14" s="106"/>
      <c r="B14" s="66"/>
      <c r="C14" s="65"/>
      <c r="D14" s="65"/>
      <c r="E14" s="65"/>
      <c r="F14" s="65"/>
      <c r="G14" s="65"/>
      <c r="H14" s="65"/>
      <c r="I14" s="65"/>
    </row>
    <row r="15" spans="1:9" ht="15.75">
      <c r="A15" s="106">
        <v>3</v>
      </c>
      <c r="B15" s="66"/>
      <c r="C15" s="66" t="s">
        <v>317</v>
      </c>
      <c r="D15" s="89">
        <f>+F15+H15</f>
        <v>-4814</v>
      </c>
      <c r="E15" s="65"/>
      <c r="F15" s="113">
        <f>F11</f>
        <v>-4814</v>
      </c>
      <c r="G15" s="65"/>
      <c r="H15" s="71"/>
      <c r="I15" s="71"/>
    </row>
    <row r="16" spans="1:9" ht="15.75">
      <c r="A16" s="106"/>
      <c r="B16" s="66"/>
      <c r="C16" s="65"/>
      <c r="D16" s="65"/>
      <c r="E16" s="65"/>
      <c r="F16" s="65"/>
      <c r="G16" s="65"/>
      <c r="H16" s="65"/>
      <c r="I16" s="65"/>
    </row>
    <row r="17" spans="1:5" ht="15.75">
      <c r="A17" s="109">
        <v>4</v>
      </c>
      <c r="B17" s="92"/>
      <c r="C17" s="110" t="s">
        <v>185</v>
      </c>
      <c r="D17" s="111">
        <v>0.35</v>
      </c>
      <c r="E17" s="92"/>
    </row>
    <row r="18" spans="1:5" ht="15.75">
      <c r="A18" s="109"/>
      <c r="B18" s="92"/>
      <c r="C18" s="112"/>
      <c r="D18" s="113"/>
      <c r="E18" s="92"/>
    </row>
    <row r="19" spans="1:6" ht="15.75">
      <c r="A19" s="109">
        <v>5</v>
      </c>
      <c r="B19" s="92"/>
      <c r="C19" s="110" t="s">
        <v>186</v>
      </c>
      <c r="D19" s="84">
        <f>+D15*-D17</f>
        <v>1684.8999999999999</v>
      </c>
      <c r="E19" s="92"/>
      <c r="F19" s="113" t="s">
        <v>293</v>
      </c>
    </row>
    <row r="20" spans="1:6" ht="15.75">
      <c r="A20" s="124"/>
      <c r="B20" s="92"/>
      <c r="C20" s="112"/>
      <c r="D20" s="113"/>
      <c r="E20" s="92"/>
      <c r="F20" s="113"/>
    </row>
    <row r="21" spans="1:6" ht="16.5" thickBot="1">
      <c r="A21" s="124">
        <v>6</v>
      </c>
      <c r="B21" s="92"/>
      <c r="C21" s="110" t="s">
        <v>187</v>
      </c>
      <c r="D21" s="114">
        <f>-D15-D19</f>
        <v>3129.1000000000004</v>
      </c>
      <c r="E21" s="92"/>
      <c r="F21" s="113" t="s">
        <v>294</v>
      </c>
    </row>
    <row r="22" spans="1:10" ht="16.5" thickTop="1">
      <c r="A22" s="124"/>
      <c r="B22" s="92"/>
      <c r="C22" s="112"/>
      <c r="D22" s="92"/>
      <c r="E22" s="92"/>
      <c r="F22" s="113"/>
      <c r="G22" s="92"/>
      <c r="H22" s="113"/>
      <c r="I22" s="113"/>
      <c r="J22" s="172"/>
    </row>
    <row r="25" spans="1:8" ht="12.75">
      <c r="A25" s="102" t="s">
        <v>179</v>
      </c>
      <c r="B25" s="102"/>
      <c r="C25" s="102"/>
      <c r="D25" s="102"/>
      <c r="E25" s="102"/>
      <c r="F25" s="102"/>
      <c r="G25" s="102"/>
      <c r="H25" s="102"/>
    </row>
    <row r="27" ht="15.75">
      <c r="A27" s="78" t="s">
        <v>318</v>
      </c>
    </row>
  </sheetData>
  <sheetProtection/>
  <mergeCells count="4"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scale="82" r:id="rId1"/>
  <headerFooter alignWithMargins="0">
    <oddHeader>&amp;R&amp;"Times New Roman,Regular"Docket Nos. UE-090134 and UG-090135, UG-060518
Exhibit No. __(HL-4)
Schedule C-3 (Gas)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Larkin &amp; Associates PLLC</dc:creator>
  <cp:keywords/>
  <dc:description/>
  <cp:lastModifiedBy>carolw</cp:lastModifiedBy>
  <cp:lastPrinted>2009-08-14T22:09:53Z</cp:lastPrinted>
  <dcterms:created xsi:type="dcterms:W3CDTF">2009-08-07T14:06:03Z</dcterms:created>
  <dcterms:modified xsi:type="dcterms:W3CDTF">2009-08-17T16:04:45Z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2009-08-17T00:00:00Z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