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CB051242-528B-4A37-8D14-AB9E0D88276C}" xr6:coauthVersionLast="47" xr6:coauthVersionMax="47" xr10:uidLastSave="{00000000-0000-0000-0000-000000000000}"/>
  <bookViews>
    <workbookView xWindow="-110" yWindow="-110" windowWidth="38620" windowHeight="21100" tabRatio="753" xr2:uid="{00000000-000D-0000-FFFF-FFFF00000000}"/>
  </bookViews>
  <sheets>
    <sheet name="Table of Contents" sheetId="53" r:id="rId1"/>
    <sheet name="Figure" sheetId="44" r:id="rId2"/>
    <sheet name="Oregon RPS" sheetId="45" r:id="rId3"/>
    <sheet name="California RPS" sheetId="32" r:id="rId4"/>
    <sheet name="Washington RPS" sheetId="31" r:id="rId5"/>
    <sheet name="IRP RE Inputs" sheetId="41" r:id="rId6"/>
    <sheet name="Targets" sheetId="49" r:id="rId7"/>
    <sheet name="Retail Sales" sheetId="47" r:id="rId8"/>
    <sheet name="Inc Hydro" sheetId="5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4" i="32" l="1"/>
  <c r="R34" i="32"/>
  <c r="Q34" i="32"/>
  <c r="P34" i="32"/>
  <c r="AB7" i="45"/>
  <c r="AB9" i="45" s="1"/>
  <c r="AB44" i="45" s="1"/>
  <c r="AC7" i="45"/>
  <c r="AD7" i="45"/>
  <c r="AD9" i="45" s="1"/>
  <c r="AD44" i="45" s="1"/>
  <c r="AB8" i="45"/>
  <c r="AC8" i="45"/>
  <c r="AD8" i="45"/>
  <c r="AD43" i="45"/>
  <c r="AD38" i="45"/>
  <c r="AD33" i="45"/>
  <c r="AD29" i="45"/>
  <c r="AD19" i="45"/>
  <c r="AD12" i="45"/>
  <c r="AD6" i="45"/>
  <c r="AC9" i="45" l="1"/>
  <c r="AC44" i="45" s="1"/>
  <c r="AB7" i="31"/>
  <c r="AC7" i="31"/>
  <c r="AD7" i="31"/>
  <c r="AB8" i="31"/>
  <c r="AC8" i="31"/>
  <c r="AD8" i="31"/>
  <c r="AD9" i="31"/>
  <c r="AD44" i="31" s="1"/>
  <c r="AB30" i="31"/>
  <c r="AC30" i="31"/>
  <c r="AD30" i="31"/>
  <c r="AB40" i="31"/>
  <c r="AB15" i="31" s="1"/>
  <c r="AC40" i="31"/>
  <c r="AC15" i="31" s="1"/>
  <c r="AD40" i="31"/>
  <c r="AD15" i="31" s="1"/>
  <c r="AC7" i="32"/>
  <c r="AC9" i="32" s="1"/>
  <c r="AC44" i="32" s="1"/>
  <c r="AD7" i="32"/>
  <c r="AE7" i="32"/>
  <c r="AC8" i="32"/>
  <c r="AD8" i="32"/>
  <c r="AE8" i="32"/>
  <c r="AB43" i="45"/>
  <c r="AC43" i="45" s="1"/>
  <c r="AB38" i="45"/>
  <c r="AC38" i="45" s="1"/>
  <c r="AB33" i="45"/>
  <c r="AC33" i="45" s="1"/>
  <c r="AB29" i="45"/>
  <c r="AC29" i="45" s="1"/>
  <c r="AB19" i="45"/>
  <c r="AC19" i="45"/>
  <c r="AB12" i="45"/>
  <c r="AC12" i="45"/>
  <c r="AB6" i="45"/>
  <c r="AC6" i="45" s="1"/>
  <c r="AB43" i="31"/>
  <c r="AC43" i="31" s="1"/>
  <c r="AB38" i="31"/>
  <c r="AC38" i="31" s="1"/>
  <c r="AB33" i="31"/>
  <c r="AC33" i="31" s="1"/>
  <c r="AB29" i="31"/>
  <c r="AC29" i="31" s="1"/>
  <c r="AB19" i="31"/>
  <c r="AC19" i="31" s="1"/>
  <c r="AB12" i="31"/>
  <c r="AC12" i="31" s="1"/>
  <c r="AB6" i="31"/>
  <c r="AC6" i="31" s="1"/>
  <c r="AC43" i="32"/>
  <c r="AD43" i="32" s="1"/>
  <c r="AA10" i="41"/>
  <c r="AB10" i="41"/>
  <c r="AA17" i="41"/>
  <c r="AB17" i="41"/>
  <c r="AB3" i="41" s="1"/>
  <c r="AA3" i="41"/>
  <c r="AC38" i="32"/>
  <c r="AD38" i="32" s="1"/>
  <c r="AC33" i="32"/>
  <c r="AD33" i="32" s="1"/>
  <c r="AC29" i="32"/>
  <c r="AD29" i="32" s="1"/>
  <c r="AC19" i="32"/>
  <c r="AD19" i="32"/>
  <c r="AC12" i="32"/>
  <c r="AD12" i="32" s="1"/>
  <c r="AC6" i="32"/>
  <c r="AD6" i="32" s="1"/>
  <c r="H14" i="45"/>
  <c r="I14" i="45"/>
  <c r="I13" i="45"/>
  <c r="AD9" i="32" l="1"/>
  <c r="AD44" i="32" s="1"/>
  <c r="AE9" i="32"/>
  <c r="AE44" i="32" s="1"/>
  <c r="J7" i="32" l="1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Z7" i="32"/>
  <c r="AA7" i="32"/>
  <c r="AB7" i="32"/>
  <c r="H26" i="41" l="1"/>
  <c r="G26" i="41" l="1"/>
  <c r="I33" i="32"/>
  <c r="J33" i="32" s="1"/>
  <c r="K33" i="32" s="1"/>
  <c r="L33" i="32" s="1"/>
  <c r="M33" i="32" s="1"/>
  <c r="N33" i="32" s="1"/>
  <c r="O33" i="32" s="1"/>
  <c r="P33" i="32" s="1"/>
  <c r="Q33" i="32" s="1"/>
  <c r="R33" i="32" s="1"/>
  <c r="S33" i="32" s="1"/>
  <c r="C3" i="31" l="1"/>
  <c r="C2" i="31"/>
  <c r="D7" i="31"/>
  <c r="E7" i="31"/>
  <c r="F7" i="31"/>
  <c r="C7" i="31"/>
  <c r="AA30" i="31" l="1"/>
  <c r="Z30" i="31"/>
  <c r="Y30" i="31"/>
  <c r="X30" i="31"/>
  <c r="H39" i="31"/>
  <c r="I39" i="32" l="1"/>
  <c r="J39" i="32" l="1"/>
  <c r="H39" i="32" l="1"/>
  <c r="G39" i="31"/>
  <c r="G39" i="45"/>
  <c r="J8" i="32" l="1"/>
  <c r="H40" i="32" l="1"/>
  <c r="G40" i="32"/>
  <c r="I39" i="31"/>
  <c r="F7" i="45" l="1"/>
  <c r="AB8" i="32" l="1"/>
  <c r="AA8" i="32"/>
  <c r="Z8" i="32"/>
  <c r="Y8" i="32"/>
  <c r="X8" i="32"/>
  <c r="W8" i="32"/>
  <c r="V8" i="32"/>
  <c r="U8" i="32"/>
  <c r="T8" i="32"/>
  <c r="S8" i="32"/>
  <c r="R8" i="32"/>
  <c r="Q8" i="32"/>
  <c r="P8" i="32"/>
  <c r="O8" i="32"/>
  <c r="N8" i="32"/>
  <c r="M8" i="32"/>
  <c r="L8" i="32"/>
  <c r="K8" i="32"/>
  <c r="I8" i="32"/>
  <c r="H8" i="32"/>
  <c r="G8" i="32"/>
  <c r="F8" i="32"/>
  <c r="E8" i="32"/>
  <c r="D8" i="32"/>
  <c r="C8" i="32"/>
  <c r="H7" i="32"/>
  <c r="AA8" i="31"/>
  <c r="Z8" i="31"/>
  <c r="Y8" i="31"/>
  <c r="X8" i="31"/>
  <c r="W8" i="31"/>
  <c r="V8" i="31"/>
  <c r="U8" i="31"/>
  <c r="T8" i="31"/>
  <c r="S8" i="31"/>
  <c r="R8" i="31"/>
  <c r="Q8" i="31"/>
  <c r="P8" i="31"/>
  <c r="O8" i="31"/>
  <c r="N8" i="31"/>
  <c r="M8" i="31"/>
  <c r="L8" i="31"/>
  <c r="K8" i="31"/>
  <c r="J8" i="31"/>
  <c r="I8" i="31"/>
  <c r="H8" i="31"/>
  <c r="G8" i="31"/>
  <c r="F8" i="31"/>
  <c r="E8" i="31"/>
  <c r="D8" i="31"/>
  <c r="C8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G5" i="31" s="1"/>
  <c r="AA8" i="45"/>
  <c r="Z8" i="45"/>
  <c r="Y8" i="45"/>
  <c r="X8" i="45"/>
  <c r="W8" i="45"/>
  <c r="V8" i="45"/>
  <c r="U8" i="45"/>
  <c r="T8" i="45"/>
  <c r="S8" i="45"/>
  <c r="R8" i="45"/>
  <c r="Q8" i="45"/>
  <c r="P8" i="45"/>
  <c r="O8" i="45"/>
  <c r="N8" i="45"/>
  <c r="M8" i="45"/>
  <c r="L8" i="45"/>
  <c r="K8" i="45"/>
  <c r="J8" i="45"/>
  <c r="I8" i="45"/>
  <c r="H8" i="45"/>
  <c r="G8" i="45"/>
  <c r="F8" i="45"/>
  <c r="E8" i="45"/>
  <c r="D8" i="45"/>
  <c r="C8" i="45"/>
  <c r="I7" i="45"/>
  <c r="J7" i="45"/>
  <c r="K7" i="45"/>
  <c r="L7" i="45"/>
  <c r="M7" i="45"/>
  <c r="N7" i="45"/>
  <c r="O7" i="45"/>
  <c r="P7" i="45"/>
  <c r="Q7" i="45"/>
  <c r="R7" i="45"/>
  <c r="S7" i="45"/>
  <c r="T7" i="45"/>
  <c r="U7" i="45"/>
  <c r="V7" i="45"/>
  <c r="W7" i="45"/>
  <c r="X7" i="45"/>
  <c r="Y7" i="45"/>
  <c r="Z7" i="45"/>
  <c r="G7" i="45"/>
  <c r="C13" i="45" l="1"/>
  <c r="D13" i="45"/>
  <c r="F21" i="45" l="1"/>
  <c r="F14" i="45" s="1"/>
  <c r="E21" i="45" l="1"/>
  <c r="E14" i="45" s="1"/>
  <c r="C15" i="45" l="1"/>
  <c r="D15" i="45"/>
  <c r="D21" i="45"/>
  <c r="D14" i="45" s="1"/>
  <c r="C21" i="45" l="1"/>
  <c r="C14" i="45" s="1"/>
  <c r="F39" i="45"/>
  <c r="E39" i="45"/>
  <c r="D39" i="45"/>
  <c r="C39" i="45"/>
  <c r="C16" i="45" s="1"/>
  <c r="E7" i="45"/>
  <c r="D7" i="45"/>
  <c r="C7" i="45"/>
  <c r="AA4" i="49" l="1"/>
  <c r="AB4" i="49" s="1"/>
  <c r="AC4" i="49" s="1"/>
  <c r="AD4" i="49" s="1"/>
  <c r="AE4" i="49" s="1"/>
  <c r="AA3" i="49"/>
  <c r="AB3" i="49" s="1"/>
  <c r="AC3" i="49" s="1"/>
  <c r="AD3" i="49" s="1"/>
  <c r="AE3" i="49" s="1"/>
  <c r="B8" i="47"/>
  <c r="B11" i="47" s="1"/>
  <c r="AA7" i="31"/>
  <c r="AA7" i="45"/>
  <c r="Y8" i="47"/>
  <c r="Y11" i="47" s="1"/>
  <c r="X8" i="47"/>
  <c r="X11" i="47" s="1"/>
  <c r="W8" i="47"/>
  <c r="W11" i="47" s="1"/>
  <c r="V8" i="47"/>
  <c r="V11" i="47" s="1"/>
  <c r="U8" i="47"/>
  <c r="U11" i="47" s="1"/>
  <c r="T8" i="47"/>
  <c r="T11" i="47" s="1"/>
  <c r="S8" i="47"/>
  <c r="S11" i="47" s="1"/>
  <c r="R8" i="47"/>
  <c r="R11" i="47" s="1"/>
  <c r="Q8" i="47"/>
  <c r="Q11" i="47" s="1"/>
  <c r="P8" i="47"/>
  <c r="P11" i="47" s="1"/>
  <c r="O8" i="47"/>
  <c r="O11" i="47" s="1"/>
  <c r="N8" i="47"/>
  <c r="N11" i="47" s="1"/>
  <c r="M8" i="47"/>
  <c r="M11" i="47" s="1"/>
  <c r="L8" i="47"/>
  <c r="L11" i="47" s="1"/>
  <c r="K8" i="47"/>
  <c r="K11" i="47" s="1"/>
  <c r="J8" i="47"/>
  <c r="J11" i="47" s="1"/>
  <c r="I8" i="47"/>
  <c r="I11" i="47" s="1"/>
  <c r="H8" i="47"/>
  <c r="H11" i="47" s="1"/>
  <c r="G8" i="47"/>
  <c r="G11" i="47" s="1"/>
  <c r="F8" i="47"/>
  <c r="F11" i="47" s="1"/>
  <c r="E8" i="47"/>
  <c r="E11" i="47" s="1"/>
  <c r="D8" i="47"/>
  <c r="D11" i="47" s="1"/>
  <c r="C8" i="47"/>
  <c r="C11" i="47" s="1"/>
  <c r="C1" i="47"/>
  <c r="D1" i="47" s="1"/>
  <c r="E1" i="47" s="1"/>
  <c r="F1" i="47" s="1"/>
  <c r="G1" i="47" s="1"/>
  <c r="H1" i="47" s="1"/>
  <c r="I1" i="47" s="1"/>
  <c r="J1" i="47" s="1"/>
  <c r="K1" i="47" s="1"/>
  <c r="L1" i="47" s="1"/>
  <c r="AC9" i="31" l="1"/>
  <c r="AC44" i="31" s="1"/>
  <c r="AB9" i="31"/>
  <c r="AB44" i="31" s="1"/>
  <c r="M1" i="47"/>
  <c r="N1" i="47" s="1"/>
  <c r="O1" i="47" s="1"/>
  <c r="P1" i="47" s="1"/>
  <c r="Q1" i="47" s="1"/>
  <c r="R1" i="47" s="1"/>
  <c r="S1" i="47" s="1"/>
  <c r="T1" i="47" s="1"/>
  <c r="U1" i="47" s="1"/>
  <c r="V1" i="47" s="1"/>
  <c r="W1" i="47" s="1"/>
  <c r="X1" i="47" s="1"/>
  <c r="Y1" i="47" s="1"/>
  <c r="Z1" i="47" s="1"/>
  <c r="AA1" i="47" s="1"/>
  <c r="AB1" i="47" s="1"/>
  <c r="AC1" i="47" s="1"/>
  <c r="AD1" i="47" s="1"/>
  <c r="AE1" i="47" s="1"/>
  <c r="AF1" i="47" s="1"/>
  <c r="AG1" i="47" s="1"/>
  <c r="AH1" i="47" s="1"/>
  <c r="AI1" i="47" s="1"/>
  <c r="AJ1" i="47" s="1"/>
  <c r="AK1" i="47" s="1"/>
  <c r="AL1" i="47" s="1"/>
  <c r="AM1" i="47" s="1"/>
  <c r="AN1" i="47" s="1"/>
  <c r="AO1" i="47" s="1"/>
  <c r="AP1" i="47" s="1"/>
  <c r="AQ1" i="47" s="1"/>
  <c r="AA8" i="47"/>
  <c r="AA11" i="47" s="1"/>
  <c r="Z8" i="47"/>
  <c r="Z11" i="47" s="1"/>
  <c r="AB8" i="47" l="1"/>
  <c r="AB11" i="47" s="1"/>
  <c r="AC8" i="47" l="1"/>
  <c r="AC11" i="47" s="1"/>
  <c r="AD8" i="47" l="1"/>
  <c r="AD11" i="47" s="1"/>
  <c r="AE8" i="47" l="1"/>
  <c r="AE11" i="47" s="1"/>
  <c r="AF8" i="47" l="1"/>
  <c r="AF11" i="47" s="1"/>
  <c r="AG8" i="47" l="1"/>
  <c r="AG11" i="47" s="1"/>
  <c r="AH8" i="47" l="1"/>
  <c r="AH11" i="47" s="1"/>
  <c r="C16" i="32"/>
  <c r="M56" i="45"/>
  <c r="C9" i="45"/>
  <c r="C22" i="45" s="1"/>
  <c r="C23" i="45" s="1"/>
  <c r="AI8" i="47" l="1"/>
  <c r="AI11" i="47" s="1"/>
  <c r="G30" i="45"/>
  <c r="D30" i="45"/>
  <c r="F30" i="45"/>
  <c r="E30" i="45"/>
  <c r="C9" i="32"/>
  <c r="C44" i="45"/>
  <c r="C29" i="45"/>
  <c r="D29" i="45" s="1"/>
  <c r="E29" i="45" s="1"/>
  <c r="F29" i="45" s="1"/>
  <c r="G29" i="45" s="1"/>
  <c r="H29" i="45" s="1"/>
  <c r="I29" i="45" s="1"/>
  <c r="J29" i="45" s="1"/>
  <c r="K29" i="45" s="1"/>
  <c r="L29" i="45" s="1"/>
  <c r="M29" i="45" s="1"/>
  <c r="N29" i="45" s="1"/>
  <c r="O29" i="45" s="1"/>
  <c r="P29" i="45" s="1"/>
  <c r="Q29" i="45" s="1"/>
  <c r="R29" i="45" s="1"/>
  <c r="S29" i="45" s="1"/>
  <c r="T29" i="45" s="1"/>
  <c r="U29" i="45" s="1"/>
  <c r="V29" i="45" s="1"/>
  <c r="W29" i="45" s="1"/>
  <c r="X29" i="45" s="1"/>
  <c r="Y29" i="45" s="1"/>
  <c r="Z29" i="45" s="1"/>
  <c r="AA29" i="45" s="1"/>
  <c r="C19" i="45"/>
  <c r="D19" i="45" s="1"/>
  <c r="E19" i="45" s="1"/>
  <c r="F19" i="45" s="1"/>
  <c r="G19" i="45" s="1"/>
  <c r="H19" i="45" s="1"/>
  <c r="I19" i="45" s="1"/>
  <c r="J19" i="45" s="1"/>
  <c r="K19" i="45" s="1"/>
  <c r="L19" i="45" s="1"/>
  <c r="M19" i="45" s="1"/>
  <c r="N19" i="45" s="1"/>
  <c r="O19" i="45" s="1"/>
  <c r="P19" i="45" s="1"/>
  <c r="Q19" i="45" s="1"/>
  <c r="R19" i="45" s="1"/>
  <c r="S19" i="45" s="1"/>
  <c r="T19" i="45" s="1"/>
  <c r="U19" i="45" s="1"/>
  <c r="V19" i="45" s="1"/>
  <c r="W19" i="45" s="1"/>
  <c r="X19" i="45" s="1"/>
  <c r="Y19" i="45" s="1"/>
  <c r="Z19" i="45" s="1"/>
  <c r="AA19" i="45" s="1"/>
  <c r="C38" i="45"/>
  <c r="D38" i="45" s="1"/>
  <c r="E38" i="45" s="1"/>
  <c r="F38" i="45" s="1"/>
  <c r="G38" i="45" s="1"/>
  <c r="H38" i="45" s="1"/>
  <c r="I38" i="45" s="1"/>
  <c r="J38" i="45" s="1"/>
  <c r="K38" i="45" s="1"/>
  <c r="L38" i="45" s="1"/>
  <c r="M38" i="45" s="1"/>
  <c r="N38" i="45" s="1"/>
  <c r="O38" i="45" s="1"/>
  <c r="P38" i="45" s="1"/>
  <c r="Q38" i="45" s="1"/>
  <c r="R38" i="45" s="1"/>
  <c r="S38" i="45" s="1"/>
  <c r="T38" i="45" s="1"/>
  <c r="U38" i="45" s="1"/>
  <c r="V38" i="45" s="1"/>
  <c r="W38" i="45" s="1"/>
  <c r="X38" i="45" s="1"/>
  <c r="Y38" i="45" s="1"/>
  <c r="Z38" i="45" s="1"/>
  <c r="AA38" i="45" s="1"/>
  <c r="C43" i="45"/>
  <c r="D43" i="45" s="1"/>
  <c r="E43" i="45" s="1"/>
  <c r="F43" i="45" s="1"/>
  <c r="G43" i="45" s="1"/>
  <c r="H43" i="45" s="1"/>
  <c r="I43" i="45" s="1"/>
  <c r="J43" i="45" s="1"/>
  <c r="K43" i="45" s="1"/>
  <c r="L43" i="45" s="1"/>
  <c r="M43" i="45" s="1"/>
  <c r="N43" i="45" s="1"/>
  <c r="O43" i="45" s="1"/>
  <c r="P43" i="45" s="1"/>
  <c r="Q43" i="45" s="1"/>
  <c r="R43" i="45" s="1"/>
  <c r="S43" i="45" s="1"/>
  <c r="T43" i="45" s="1"/>
  <c r="U43" i="45" s="1"/>
  <c r="V43" i="45" s="1"/>
  <c r="W43" i="45" s="1"/>
  <c r="X43" i="45" s="1"/>
  <c r="Y43" i="45" s="1"/>
  <c r="Z43" i="45" s="1"/>
  <c r="AA43" i="45" s="1"/>
  <c r="D6" i="45"/>
  <c r="E6" i="45" s="1"/>
  <c r="F6" i="45" s="1"/>
  <c r="G6" i="45" s="1"/>
  <c r="H6" i="45" s="1"/>
  <c r="I6" i="45" s="1"/>
  <c r="J6" i="45" s="1"/>
  <c r="K6" i="45" s="1"/>
  <c r="L6" i="45" s="1"/>
  <c r="M6" i="45" s="1"/>
  <c r="N6" i="45" s="1"/>
  <c r="O6" i="45" s="1"/>
  <c r="P6" i="45" s="1"/>
  <c r="Q6" i="45" s="1"/>
  <c r="R6" i="45" s="1"/>
  <c r="S6" i="45" s="1"/>
  <c r="T6" i="45" s="1"/>
  <c r="U6" i="45" s="1"/>
  <c r="V6" i="45" s="1"/>
  <c r="W6" i="45" s="1"/>
  <c r="X6" i="45" s="1"/>
  <c r="Y6" i="45" s="1"/>
  <c r="Z6" i="45" s="1"/>
  <c r="AA6" i="45" s="1"/>
  <c r="C12" i="45"/>
  <c r="D12" i="45" s="1"/>
  <c r="E12" i="45" s="1"/>
  <c r="F12" i="45" s="1"/>
  <c r="G12" i="45" s="1"/>
  <c r="H12" i="45" s="1"/>
  <c r="I12" i="45" s="1"/>
  <c r="J12" i="45" s="1"/>
  <c r="K12" i="45" s="1"/>
  <c r="L12" i="45" s="1"/>
  <c r="M12" i="45" s="1"/>
  <c r="N12" i="45" s="1"/>
  <c r="O12" i="45" s="1"/>
  <c r="P12" i="45" s="1"/>
  <c r="Q12" i="45" s="1"/>
  <c r="R12" i="45" s="1"/>
  <c r="S12" i="45" s="1"/>
  <c r="T12" i="45" s="1"/>
  <c r="U12" i="45" s="1"/>
  <c r="V12" i="45" s="1"/>
  <c r="W12" i="45" s="1"/>
  <c r="X12" i="45" s="1"/>
  <c r="Y12" i="45" s="1"/>
  <c r="Z12" i="45" s="1"/>
  <c r="AA12" i="45" s="1"/>
  <c r="C33" i="45"/>
  <c r="D33" i="45" s="1"/>
  <c r="E33" i="45" s="1"/>
  <c r="F33" i="45" s="1"/>
  <c r="G33" i="45" s="1"/>
  <c r="H33" i="45" s="1"/>
  <c r="I33" i="45" s="1"/>
  <c r="J33" i="45" s="1"/>
  <c r="K33" i="45" s="1"/>
  <c r="L33" i="45" s="1"/>
  <c r="M33" i="45" s="1"/>
  <c r="N33" i="45" s="1"/>
  <c r="O33" i="45" s="1"/>
  <c r="P33" i="45" s="1"/>
  <c r="Q33" i="45" s="1"/>
  <c r="R33" i="45" s="1"/>
  <c r="S33" i="45" s="1"/>
  <c r="T33" i="45" s="1"/>
  <c r="U33" i="45" s="1"/>
  <c r="V33" i="45" s="1"/>
  <c r="W33" i="45" s="1"/>
  <c r="X33" i="45" s="1"/>
  <c r="Y33" i="45" s="1"/>
  <c r="Z33" i="45" s="1"/>
  <c r="AA33" i="45" s="1"/>
  <c r="AJ8" i="47" l="1"/>
  <c r="AJ11" i="47" s="1"/>
  <c r="C20" i="32"/>
  <c r="C21" i="32" s="1"/>
  <c r="C44" i="32"/>
  <c r="C48" i="45"/>
  <c r="AK8" i="47" l="1"/>
  <c r="AK11" i="47" s="1"/>
  <c r="C27" i="45"/>
  <c r="E15" i="45"/>
  <c r="C27" i="32"/>
  <c r="C46" i="32"/>
  <c r="C22" i="32"/>
  <c r="C48" i="32"/>
  <c r="AL8" i="47" l="1"/>
  <c r="AL11" i="47" s="1"/>
  <c r="C47" i="32"/>
  <c r="D13" i="32"/>
  <c r="C25" i="32"/>
  <c r="C23" i="32"/>
  <c r="C51" i="32"/>
  <c r="C46" i="45"/>
  <c r="C45" i="45"/>
  <c r="AM8" i="47" l="1"/>
  <c r="AM11" i="47" s="1"/>
  <c r="C26" i="32"/>
  <c r="C50" i="32" s="1"/>
  <c r="D14" i="32"/>
  <c r="C49" i="32"/>
  <c r="C45" i="32"/>
  <c r="C47" i="45"/>
  <c r="C49" i="45"/>
  <c r="C26" i="45"/>
  <c r="C50" i="45" s="1"/>
  <c r="C25" i="45"/>
  <c r="C51" i="45"/>
  <c r="AN8" i="47" l="1"/>
  <c r="AN11" i="47" s="1"/>
  <c r="F15" i="45"/>
  <c r="AO8" i="47" l="1"/>
  <c r="AO11" i="47" s="1"/>
  <c r="D16" i="32"/>
  <c r="D15" i="32"/>
  <c r="AQ8" i="47" l="1"/>
  <c r="AQ11" i="47" s="1"/>
  <c r="AP8" i="47"/>
  <c r="AP11" i="47" s="1"/>
  <c r="D43" i="32"/>
  <c r="C33" i="31"/>
  <c r="C12" i="31" l="1"/>
  <c r="C19" i="31"/>
  <c r="C38" i="31"/>
  <c r="C43" i="31"/>
  <c r="D29" i="32"/>
  <c r="D33" i="32"/>
  <c r="C29" i="31"/>
  <c r="D12" i="32"/>
  <c r="D38" i="32"/>
  <c r="D19" i="32"/>
  <c r="E15" i="32" l="1"/>
  <c r="N56" i="32" l="1"/>
  <c r="C16" i="31" l="1"/>
  <c r="D9" i="45" l="1"/>
  <c r="D44" i="45" l="1"/>
  <c r="E9" i="45"/>
  <c r="E44" i="45" l="1"/>
  <c r="F9" i="45"/>
  <c r="F44" i="45" l="1"/>
  <c r="G9" i="45"/>
  <c r="G21" i="45" s="1"/>
  <c r="E9" i="32"/>
  <c r="E12" i="32"/>
  <c r="E19" i="32"/>
  <c r="G44" i="45" l="1"/>
  <c r="H9" i="32"/>
  <c r="H9" i="45"/>
  <c r="H21" i="45" s="1"/>
  <c r="G9" i="32"/>
  <c r="F9" i="32"/>
  <c r="D9" i="32"/>
  <c r="D9" i="31"/>
  <c r="H44" i="45" l="1"/>
  <c r="I9" i="45"/>
  <c r="I9" i="31"/>
  <c r="I9" i="32"/>
  <c r="H9" i="31"/>
  <c r="F9" i="31"/>
  <c r="E9" i="31"/>
  <c r="G9" i="31"/>
  <c r="I44" i="45" l="1"/>
  <c r="J9" i="32"/>
  <c r="J9" i="45"/>
  <c r="J44" i="45" l="1"/>
  <c r="K9" i="45"/>
  <c r="K9" i="32"/>
  <c r="J9" i="31"/>
  <c r="K9" i="31"/>
  <c r="K44" i="45" l="1"/>
  <c r="L9" i="32"/>
  <c r="L9" i="45"/>
  <c r="L44" i="45" l="1"/>
  <c r="M9" i="32"/>
  <c r="M9" i="45"/>
  <c r="L9" i="31"/>
  <c r="M9" i="31"/>
  <c r="M44" i="45" l="1"/>
  <c r="N9" i="31"/>
  <c r="N9" i="45"/>
  <c r="N9" i="32"/>
  <c r="N44" i="45" l="1"/>
  <c r="O9" i="45"/>
  <c r="O9" i="32"/>
  <c r="O9" i="31"/>
  <c r="O44" i="45" l="1"/>
  <c r="P9" i="31"/>
  <c r="P9" i="45"/>
  <c r="P9" i="32"/>
  <c r="P44" i="45" l="1"/>
  <c r="Q9" i="32"/>
  <c r="Q9" i="45"/>
  <c r="Q44" i="45" s="1"/>
  <c r="Q9" i="31"/>
  <c r="R9" i="32" l="1"/>
  <c r="R9" i="45"/>
  <c r="R44" i="45" s="1"/>
  <c r="S9" i="45" l="1"/>
  <c r="S44" i="45" s="1"/>
  <c r="R9" i="31"/>
  <c r="S9" i="32"/>
  <c r="T9" i="31" l="1"/>
  <c r="T9" i="45"/>
  <c r="T44" i="45" s="1"/>
  <c r="T9" i="32"/>
  <c r="S9" i="31"/>
  <c r="U9" i="32" l="1"/>
  <c r="U9" i="45"/>
  <c r="U44" i="45" s="1"/>
  <c r="V9" i="45" l="1"/>
  <c r="V44" i="45" s="1"/>
  <c r="U9" i="31"/>
  <c r="V9" i="32"/>
  <c r="E43" i="32"/>
  <c r="F43" i="32" s="1"/>
  <c r="G43" i="32" s="1"/>
  <c r="H43" i="32" s="1"/>
  <c r="I43" i="32" s="1"/>
  <c r="J43" i="32" s="1"/>
  <c r="K43" i="32" s="1"/>
  <c r="L43" i="32" s="1"/>
  <c r="M43" i="32" s="1"/>
  <c r="N43" i="32" s="1"/>
  <c r="O43" i="32" s="1"/>
  <c r="P43" i="32" s="1"/>
  <c r="Q43" i="32" s="1"/>
  <c r="R43" i="32" s="1"/>
  <c r="S43" i="32" s="1"/>
  <c r="T43" i="32" s="1"/>
  <c r="U43" i="32" s="1"/>
  <c r="V43" i="32" s="1"/>
  <c r="W43" i="32" s="1"/>
  <c r="X43" i="32" s="1"/>
  <c r="Y43" i="32" s="1"/>
  <c r="Z43" i="32" s="1"/>
  <c r="AA43" i="32" s="1"/>
  <c r="AB43" i="32" s="1"/>
  <c r="E38" i="32"/>
  <c r="F38" i="32" s="1"/>
  <c r="G38" i="32" s="1"/>
  <c r="H38" i="32" s="1"/>
  <c r="I38" i="32" s="1"/>
  <c r="J38" i="32" s="1"/>
  <c r="K38" i="32" s="1"/>
  <c r="L38" i="32" s="1"/>
  <c r="M38" i="32" s="1"/>
  <c r="N38" i="32" s="1"/>
  <c r="O38" i="32" s="1"/>
  <c r="P38" i="32" s="1"/>
  <c r="Q38" i="32" s="1"/>
  <c r="R38" i="32" s="1"/>
  <c r="S38" i="32" s="1"/>
  <c r="T38" i="32" s="1"/>
  <c r="U38" i="32" s="1"/>
  <c r="V38" i="32" s="1"/>
  <c r="W38" i="32" s="1"/>
  <c r="X38" i="32" s="1"/>
  <c r="Y38" i="32" s="1"/>
  <c r="Z38" i="32" s="1"/>
  <c r="AA38" i="32" s="1"/>
  <c r="AB38" i="32" s="1"/>
  <c r="E33" i="32"/>
  <c r="F33" i="32" s="1"/>
  <c r="G33" i="32" s="1"/>
  <c r="H33" i="32" s="1"/>
  <c r="T33" i="32" s="1"/>
  <c r="U33" i="32" s="1"/>
  <c r="V33" i="32" s="1"/>
  <c r="W33" i="32" s="1"/>
  <c r="X33" i="32" s="1"/>
  <c r="Y33" i="32" s="1"/>
  <c r="Z33" i="32" s="1"/>
  <c r="AA33" i="32" s="1"/>
  <c r="AB33" i="32" s="1"/>
  <c r="E29" i="32"/>
  <c r="F29" i="32" s="1"/>
  <c r="G29" i="32" s="1"/>
  <c r="H29" i="32" s="1"/>
  <c r="I29" i="32" s="1"/>
  <c r="J29" i="32" s="1"/>
  <c r="K29" i="32" s="1"/>
  <c r="L29" i="32" s="1"/>
  <c r="M29" i="32" s="1"/>
  <c r="N29" i="32" s="1"/>
  <c r="O29" i="32" s="1"/>
  <c r="P29" i="32" s="1"/>
  <c r="Q29" i="32" s="1"/>
  <c r="R29" i="32" s="1"/>
  <c r="S29" i="32" s="1"/>
  <c r="T29" i="32" s="1"/>
  <c r="U29" i="32" s="1"/>
  <c r="V29" i="32" s="1"/>
  <c r="W29" i="32" s="1"/>
  <c r="X29" i="32" s="1"/>
  <c r="Y29" i="32" s="1"/>
  <c r="Z29" i="32" s="1"/>
  <c r="AA29" i="32" s="1"/>
  <c r="AB29" i="32" s="1"/>
  <c r="F19" i="32"/>
  <c r="G19" i="32" s="1"/>
  <c r="H19" i="32" s="1"/>
  <c r="I19" i="32" s="1"/>
  <c r="J19" i="32" s="1"/>
  <c r="K19" i="32" s="1"/>
  <c r="L19" i="32" s="1"/>
  <c r="M19" i="32" s="1"/>
  <c r="N19" i="32" s="1"/>
  <c r="O19" i="32" s="1"/>
  <c r="P19" i="32" s="1"/>
  <c r="Q19" i="32" s="1"/>
  <c r="R19" i="32" s="1"/>
  <c r="S19" i="32" s="1"/>
  <c r="T19" i="32" s="1"/>
  <c r="U19" i="32" s="1"/>
  <c r="V19" i="32" s="1"/>
  <c r="W19" i="32" s="1"/>
  <c r="X19" i="32" s="1"/>
  <c r="Y19" i="32" s="1"/>
  <c r="Z19" i="32" s="1"/>
  <c r="AA19" i="32" s="1"/>
  <c r="AB19" i="32" s="1"/>
  <c r="F12" i="32"/>
  <c r="G12" i="32" s="1"/>
  <c r="H12" i="32" s="1"/>
  <c r="I12" i="32" s="1"/>
  <c r="J12" i="32" s="1"/>
  <c r="K12" i="32" s="1"/>
  <c r="L12" i="32" s="1"/>
  <c r="M12" i="32" s="1"/>
  <c r="N12" i="32" s="1"/>
  <c r="O12" i="32" s="1"/>
  <c r="P12" i="32" s="1"/>
  <c r="Q12" i="32" s="1"/>
  <c r="R12" i="32" s="1"/>
  <c r="S12" i="32" s="1"/>
  <c r="T12" i="32" s="1"/>
  <c r="U12" i="32" s="1"/>
  <c r="V12" i="32" s="1"/>
  <c r="W12" i="32" s="1"/>
  <c r="X12" i="32" s="1"/>
  <c r="Y12" i="32" s="1"/>
  <c r="Z12" i="32" s="1"/>
  <c r="AA12" i="32" s="1"/>
  <c r="AB12" i="32" s="1"/>
  <c r="G44" i="32"/>
  <c r="E6" i="32"/>
  <c r="F6" i="32" s="1"/>
  <c r="G6" i="32" s="1"/>
  <c r="H6" i="32" s="1"/>
  <c r="I6" i="32" s="1"/>
  <c r="J6" i="32" s="1"/>
  <c r="K6" i="32" s="1"/>
  <c r="L6" i="32" s="1"/>
  <c r="M6" i="32" s="1"/>
  <c r="N6" i="32" s="1"/>
  <c r="O6" i="32" s="1"/>
  <c r="P6" i="32" s="1"/>
  <c r="Q6" i="32" s="1"/>
  <c r="R6" i="32" s="1"/>
  <c r="S6" i="32" s="1"/>
  <c r="T6" i="32" s="1"/>
  <c r="U6" i="32" s="1"/>
  <c r="V6" i="32" s="1"/>
  <c r="W6" i="32" s="1"/>
  <c r="X6" i="32" s="1"/>
  <c r="Y6" i="32" s="1"/>
  <c r="Z6" i="32" s="1"/>
  <c r="AA6" i="32" s="1"/>
  <c r="AB6" i="32" s="1"/>
  <c r="D43" i="31"/>
  <c r="E43" i="31" s="1"/>
  <c r="F43" i="31" s="1"/>
  <c r="G43" i="31" s="1"/>
  <c r="H43" i="31" s="1"/>
  <c r="I43" i="31" s="1"/>
  <c r="J43" i="31" s="1"/>
  <c r="K43" i="31" s="1"/>
  <c r="L43" i="31" s="1"/>
  <c r="M43" i="31" s="1"/>
  <c r="N43" i="31" s="1"/>
  <c r="O43" i="31" s="1"/>
  <c r="P43" i="31" s="1"/>
  <c r="Q43" i="31" s="1"/>
  <c r="R43" i="31" s="1"/>
  <c r="S43" i="31" s="1"/>
  <c r="T43" i="31" s="1"/>
  <c r="U43" i="31" s="1"/>
  <c r="V43" i="31" s="1"/>
  <c r="W43" i="31" s="1"/>
  <c r="X43" i="31" s="1"/>
  <c r="Y43" i="31" s="1"/>
  <c r="Z43" i="31" s="1"/>
  <c r="AA43" i="31" s="1"/>
  <c r="D38" i="31"/>
  <c r="E38" i="31" s="1"/>
  <c r="F38" i="31" s="1"/>
  <c r="G38" i="31" s="1"/>
  <c r="H38" i="31" s="1"/>
  <c r="I38" i="31" s="1"/>
  <c r="J38" i="31" s="1"/>
  <c r="K38" i="31" s="1"/>
  <c r="L38" i="31" s="1"/>
  <c r="M38" i="31" s="1"/>
  <c r="N38" i="31" s="1"/>
  <c r="O38" i="31" s="1"/>
  <c r="P38" i="31" s="1"/>
  <c r="Q38" i="31" s="1"/>
  <c r="R38" i="31" s="1"/>
  <c r="S38" i="31" s="1"/>
  <c r="T38" i="31" s="1"/>
  <c r="U38" i="31" s="1"/>
  <c r="V38" i="31" s="1"/>
  <c r="W38" i="31" s="1"/>
  <c r="X38" i="31" s="1"/>
  <c r="Y38" i="31" s="1"/>
  <c r="Z38" i="31" s="1"/>
  <c r="AA38" i="31" s="1"/>
  <c r="D33" i="31"/>
  <c r="E33" i="31" s="1"/>
  <c r="F33" i="31" s="1"/>
  <c r="G33" i="31" s="1"/>
  <c r="H33" i="31" s="1"/>
  <c r="I33" i="31" s="1"/>
  <c r="J33" i="31" s="1"/>
  <c r="K33" i="31" s="1"/>
  <c r="L33" i="31" s="1"/>
  <c r="M33" i="31" s="1"/>
  <c r="N33" i="31" s="1"/>
  <c r="O33" i="31" s="1"/>
  <c r="P33" i="31" s="1"/>
  <c r="Q33" i="31" s="1"/>
  <c r="R33" i="31" s="1"/>
  <c r="S33" i="31" s="1"/>
  <c r="T33" i="31" s="1"/>
  <c r="U33" i="31" s="1"/>
  <c r="V33" i="31" s="1"/>
  <c r="W33" i="31" s="1"/>
  <c r="X33" i="31" s="1"/>
  <c r="Y33" i="31" s="1"/>
  <c r="Z33" i="31" s="1"/>
  <c r="AA33" i="31" s="1"/>
  <c r="D29" i="31"/>
  <c r="E29" i="31" s="1"/>
  <c r="F29" i="31" s="1"/>
  <c r="G29" i="31" s="1"/>
  <c r="H29" i="31" s="1"/>
  <c r="I29" i="31" s="1"/>
  <c r="J29" i="31" s="1"/>
  <c r="K29" i="31" s="1"/>
  <c r="L29" i="31" s="1"/>
  <c r="M29" i="31" s="1"/>
  <c r="N29" i="31" s="1"/>
  <c r="O29" i="31" s="1"/>
  <c r="P29" i="31" s="1"/>
  <c r="Q29" i="31" s="1"/>
  <c r="R29" i="31" s="1"/>
  <c r="S29" i="31" s="1"/>
  <c r="T29" i="31" s="1"/>
  <c r="U29" i="31" s="1"/>
  <c r="V29" i="31" s="1"/>
  <c r="W29" i="31" s="1"/>
  <c r="X29" i="31" s="1"/>
  <c r="Y29" i="31" s="1"/>
  <c r="Z29" i="31" s="1"/>
  <c r="AA29" i="31" s="1"/>
  <c r="D19" i="31"/>
  <c r="E19" i="31" s="1"/>
  <c r="F19" i="31" s="1"/>
  <c r="G19" i="31" s="1"/>
  <c r="H19" i="31" s="1"/>
  <c r="I19" i="31" s="1"/>
  <c r="J19" i="31" s="1"/>
  <c r="K19" i="31" s="1"/>
  <c r="L19" i="31" s="1"/>
  <c r="M19" i="31" s="1"/>
  <c r="N19" i="31" s="1"/>
  <c r="O19" i="31" s="1"/>
  <c r="P19" i="31" s="1"/>
  <c r="Q19" i="31" s="1"/>
  <c r="R19" i="31" s="1"/>
  <c r="S19" i="31" s="1"/>
  <c r="T19" i="31" s="1"/>
  <c r="U19" i="31" s="1"/>
  <c r="V19" i="31" s="1"/>
  <c r="W19" i="31" s="1"/>
  <c r="X19" i="31" s="1"/>
  <c r="Y19" i="31" s="1"/>
  <c r="Z19" i="31" s="1"/>
  <c r="AA19" i="31" s="1"/>
  <c r="D12" i="31"/>
  <c r="E12" i="31" s="1"/>
  <c r="F12" i="31" s="1"/>
  <c r="G12" i="31" s="1"/>
  <c r="H12" i="31" s="1"/>
  <c r="I12" i="31" s="1"/>
  <c r="J12" i="31" s="1"/>
  <c r="K12" i="31" s="1"/>
  <c r="L12" i="31" s="1"/>
  <c r="M12" i="31" s="1"/>
  <c r="N12" i="31" s="1"/>
  <c r="O12" i="31" s="1"/>
  <c r="P12" i="31" s="1"/>
  <c r="Q12" i="31" s="1"/>
  <c r="R12" i="31" s="1"/>
  <c r="S12" i="31" s="1"/>
  <c r="T12" i="31" s="1"/>
  <c r="U12" i="31" s="1"/>
  <c r="V12" i="31" s="1"/>
  <c r="W12" i="31" s="1"/>
  <c r="X12" i="31" s="1"/>
  <c r="Y12" i="31" s="1"/>
  <c r="Z12" i="31" s="1"/>
  <c r="AA12" i="31" s="1"/>
  <c r="K44" i="31"/>
  <c r="F44" i="31"/>
  <c r="C9" i="31"/>
  <c r="D6" i="31"/>
  <c r="E6" i="31" s="1"/>
  <c r="F6" i="31" s="1"/>
  <c r="G6" i="31" s="1"/>
  <c r="H6" i="31" s="1"/>
  <c r="I6" i="31" s="1"/>
  <c r="J6" i="31" s="1"/>
  <c r="K6" i="31" s="1"/>
  <c r="L6" i="31" s="1"/>
  <c r="M6" i="31" s="1"/>
  <c r="N6" i="31" s="1"/>
  <c r="O6" i="31" s="1"/>
  <c r="P6" i="31" s="1"/>
  <c r="Q6" i="31" s="1"/>
  <c r="R6" i="31" s="1"/>
  <c r="S6" i="31" s="1"/>
  <c r="T6" i="31" s="1"/>
  <c r="U6" i="31" s="1"/>
  <c r="V6" i="31" s="1"/>
  <c r="W6" i="31" s="1"/>
  <c r="X6" i="31" s="1"/>
  <c r="Y6" i="31" s="1"/>
  <c r="Z6" i="31" s="1"/>
  <c r="AA6" i="31" s="1"/>
  <c r="W9" i="45" l="1"/>
  <c r="W44" i="45" s="1"/>
  <c r="W9" i="32"/>
  <c r="W44" i="32" s="1"/>
  <c r="V9" i="31"/>
  <c r="V44" i="31" s="1"/>
  <c r="N44" i="32"/>
  <c r="D44" i="32"/>
  <c r="D20" i="32"/>
  <c r="D21" i="32" s="1"/>
  <c r="H44" i="32"/>
  <c r="P44" i="32"/>
  <c r="T44" i="32"/>
  <c r="L44" i="32"/>
  <c r="E44" i="32"/>
  <c r="I44" i="32"/>
  <c r="M44" i="32"/>
  <c r="Q44" i="32"/>
  <c r="U44" i="32"/>
  <c r="F44" i="32"/>
  <c r="J44" i="32"/>
  <c r="R44" i="32"/>
  <c r="V44" i="32"/>
  <c r="K44" i="32"/>
  <c r="O44" i="32"/>
  <c r="S44" i="32"/>
  <c r="D44" i="31"/>
  <c r="L44" i="31"/>
  <c r="T44" i="31"/>
  <c r="E44" i="31"/>
  <c r="I44" i="31"/>
  <c r="M44" i="31"/>
  <c r="Q44" i="31"/>
  <c r="U44" i="31"/>
  <c r="H44" i="31"/>
  <c r="P44" i="31"/>
  <c r="C44" i="31"/>
  <c r="C20" i="31"/>
  <c r="C21" i="31" s="1"/>
  <c r="G44" i="31"/>
  <c r="O44" i="31"/>
  <c r="S44" i="31"/>
  <c r="J44" i="31"/>
  <c r="N44" i="31"/>
  <c r="R44" i="31"/>
  <c r="X9" i="32" l="1"/>
  <c r="X44" i="32" s="1"/>
  <c r="W9" i="31"/>
  <c r="W44" i="31" s="1"/>
  <c r="X9" i="45"/>
  <c r="X44" i="45" s="1"/>
  <c r="D27" i="32"/>
  <c r="D48" i="32"/>
  <c r="D46" i="32"/>
  <c r="C46" i="31"/>
  <c r="C27" i="31"/>
  <c r="C48" i="31"/>
  <c r="Y9" i="32" l="1"/>
  <c r="Y44" i="32" s="1"/>
  <c r="Y9" i="45"/>
  <c r="Y44" i="45" s="1"/>
  <c r="X9" i="31"/>
  <c r="X44" i="31" s="1"/>
  <c r="Z9" i="45" l="1"/>
  <c r="Z44" i="45" s="1"/>
  <c r="Z9" i="32"/>
  <c r="Z44" i="32" s="1"/>
  <c r="Y9" i="31"/>
  <c r="Y44" i="31" s="1"/>
  <c r="Z9" i="31" l="1"/>
  <c r="Z44" i="31" s="1"/>
  <c r="AA9" i="32"/>
  <c r="AA44" i="32" s="1"/>
  <c r="AA9" i="31"/>
  <c r="AA44" i="31" s="1"/>
  <c r="AB9" i="32" l="1"/>
  <c r="AB44" i="32" s="1"/>
  <c r="AA9" i="45"/>
  <c r="AA44" i="45" s="1"/>
  <c r="D22" i="32" l="1"/>
  <c r="E13" i="32" s="1"/>
  <c r="C15" i="31"/>
  <c r="C22" i="31" s="1"/>
  <c r="D51" i="32" l="1"/>
  <c r="E20" i="32"/>
  <c r="D47" i="32"/>
  <c r="D25" i="32"/>
  <c r="C51" i="31"/>
  <c r="C25" i="31"/>
  <c r="C47" i="31"/>
  <c r="C23" i="31"/>
  <c r="E48" i="32" l="1"/>
  <c r="D20" i="31"/>
  <c r="D48" i="31" s="1"/>
  <c r="C49" i="31"/>
  <c r="D23" i="32"/>
  <c r="C45" i="31"/>
  <c r="C26" i="31"/>
  <c r="C50" i="31" s="1"/>
  <c r="D49" i="32" l="1"/>
  <c r="E14" i="32"/>
  <c r="E21" i="32" s="1"/>
  <c r="D21" i="31"/>
  <c r="D27" i="31" s="1"/>
  <c r="D45" i="32"/>
  <c r="D26" i="32"/>
  <c r="D50" i="32" s="1"/>
  <c r="E22" i="32" l="1"/>
  <c r="D46" i="31"/>
  <c r="E27" i="32"/>
  <c r="D15" i="31" l="1"/>
  <c r="E46" i="32"/>
  <c r="D22" i="31" l="1"/>
  <c r="D51" i="31" s="1"/>
  <c r="E15" i="31"/>
  <c r="E25" i="32" l="1"/>
  <c r="E13" i="31"/>
  <c r="E20" i="31" s="1"/>
  <c r="D47" i="31"/>
  <c r="D25" i="31"/>
  <c r="E51" i="32"/>
  <c r="F15" i="32"/>
  <c r="F15" i="31"/>
  <c r="E48" i="31" l="1"/>
  <c r="G15" i="32"/>
  <c r="F13" i="32"/>
  <c r="E47" i="32"/>
  <c r="F20" i="32" l="1"/>
  <c r="F48" i="32" s="1"/>
  <c r="H15" i="32"/>
  <c r="C10" i="41" l="1"/>
  <c r="C3" i="41"/>
  <c r="D17" i="41"/>
  <c r="D30" i="31"/>
  <c r="D16" i="31" s="1"/>
  <c r="D10" i="41" l="1"/>
  <c r="D3" i="41"/>
  <c r="E30" i="32"/>
  <c r="E16" i="32" s="1"/>
  <c r="D16" i="45"/>
  <c r="D23" i="31"/>
  <c r="E14" i="31" s="1"/>
  <c r="E17" i="41"/>
  <c r="E30" i="31"/>
  <c r="E10" i="41" l="1"/>
  <c r="E3" i="41"/>
  <c r="F30" i="32"/>
  <c r="F16" i="32" s="1"/>
  <c r="E16" i="45"/>
  <c r="E16" i="31"/>
  <c r="F17" i="41"/>
  <c r="F30" i="31"/>
  <c r="F16" i="31" s="1"/>
  <c r="E21" i="31"/>
  <c r="E27" i="31" s="1"/>
  <c r="D49" i="31"/>
  <c r="D26" i="31"/>
  <c r="D50" i="31" s="1"/>
  <c r="D45" i="31"/>
  <c r="F10" i="41" l="1"/>
  <c r="F3" i="41"/>
  <c r="G30" i="32"/>
  <c r="G16" i="32" s="1"/>
  <c r="F16" i="45"/>
  <c r="E22" i="31"/>
  <c r="E46" i="31"/>
  <c r="G17" i="41"/>
  <c r="G30" i="31"/>
  <c r="G16" i="31" s="1"/>
  <c r="G10" i="41" l="1"/>
  <c r="G3" i="41"/>
  <c r="H30" i="32"/>
  <c r="G16" i="45"/>
  <c r="E23" i="31"/>
  <c r="E26" i="31" s="1"/>
  <c r="E50" i="31" s="1"/>
  <c r="E47" i="31"/>
  <c r="E25" i="31"/>
  <c r="E51" i="31"/>
  <c r="F13" i="31"/>
  <c r="H17" i="41"/>
  <c r="H30" i="31"/>
  <c r="H16" i="31" s="1"/>
  <c r="H10" i="41" l="1"/>
  <c r="H3" i="41"/>
  <c r="I17" i="41"/>
  <c r="I30" i="31"/>
  <c r="I16" i="31" s="1"/>
  <c r="F20" i="31"/>
  <c r="E45" i="31"/>
  <c r="F14" i="31"/>
  <c r="E49" i="31"/>
  <c r="I10" i="41" l="1"/>
  <c r="I3" i="41"/>
  <c r="J17" i="41"/>
  <c r="J30" i="31"/>
  <c r="F21" i="31"/>
  <c r="F48" i="31"/>
  <c r="J10" i="41" l="1"/>
  <c r="J3" i="41"/>
  <c r="F46" i="31"/>
  <c r="F27" i="31"/>
  <c r="F22" i="31"/>
  <c r="K17" i="41"/>
  <c r="K30" i="31"/>
  <c r="K10" i="41" l="1"/>
  <c r="K3" i="41"/>
  <c r="L17" i="41"/>
  <c r="L30" i="31"/>
  <c r="F23" i="31"/>
  <c r="F47" i="31"/>
  <c r="G13" i="31"/>
  <c r="F51" i="31"/>
  <c r="F25" i="31"/>
  <c r="L10" i="41" l="1"/>
  <c r="L3" i="41"/>
  <c r="M17" i="41"/>
  <c r="M30" i="31"/>
  <c r="F45" i="31"/>
  <c r="G14" i="31"/>
  <c r="F26" i="31"/>
  <c r="F50" i="31" s="1"/>
  <c r="F49" i="31"/>
  <c r="G20" i="31"/>
  <c r="M10" i="41" l="1"/>
  <c r="M3" i="41"/>
  <c r="G48" i="31"/>
  <c r="G21" i="31"/>
  <c r="N17" i="41"/>
  <c r="N30" i="31"/>
  <c r="N10" i="41" l="1"/>
  <c r="N3" i="41"/>
  <c r="O17" i="41"/>
  <c r="O30" i="31"/>
  <c r="G46" i="31"/>
  <c r="G27" i="31"/>
  <c r="O10" i="41" l="1"/>
  <c r="O3" i="41"/>
  <c r="P17" i="41"/>
  <c r="P30" i="31"/>
  <c r="P10" i="41" l="1"/>
  <c r="P3" i="41"/>
  <c r="D48" i="45"/>
  <c r="D22" i="45"/>
  <c r="Q17" i="41"/>
  <c r="Q30" i="31"/>
  <c r="Q10" i="41" l="1"/>
  <c r="Q3" i="41"/>
  <c r="D23" i="45"/>
  <c r="D26" i="45" s="1"/>
  <c r="D50" i="45" s="1"/>
  <c r="D47" i="45"/>
  <c r="D27" i="45"/>
  <c r="D46" i="45"/>
  <c r="D25" i="45"/>
  <c r="D51" i="45"/>
  <c r="R17" i="41"/>
  <c r="R30" i="31"/>
  <c r="R10" i="41" l="1"/>
  <c r="R3" i="41"/>
  <c r="D45" i="45"/>
  <c r="D49" i="45"/>
  <c r="S17" i="41"/>
  <c r="S30" i="31"/>
  <c r="S10" i="41" l="1"/>
  <c r="S3" i="41"/>
  <c r="E48" i="45"/>
  <c r="E46" i="45"/>
  <c r="T17" i="41"/>
  <c r="T30" i="31"/>
  <c r="T10" i="41" l="1"/>
  <c r="T3" i="41"/>
  <c r="E22" i="45"/>
  <c r="E25" i="45" s="1"/>
  <c r="E27" i="45"/>
  <c r="U17" i="41"/>
  <c r="U30" i="31"/>
  <c r="U10" i="41" l="1"/>
  <c r="U3" i="41"/>
  <c r="E51" i="45"/>
  <c r="E23" i="45"/>
  <c r="E49" i="45" s="1"/>
  <c r="E47" i="45"/>
  <c r="V17" i="41"/>
  <c r="V30" i="31"/>
  <c r="V10" i="41" l="1"/>
  <c r="V3" i="41"/>
  <c r="E45" i="45"/>
  <c r="E26" i="45"/>
  <c r="E50" i="45" s="1"/>
  <c r="F46" i="45"/>
  <c r="F48" i="45"/>
  <c r="W17" i="41"/>
  <c r="W30" i="31"/>
  <c r="W10" i="41" l="1"/>
  <c r="W3" i="41"/>
  <c r="F22" i="45"/>
  <c r="F27" i="45"/>
  <c r="X17" i="41"/>
  <c r="X10" i="41" l="1"/>
  <c r="X3" i="41"/>
  <c r="F23" i="45"/>
  <c r="F47" i="45"/>
  <c r="F51" i="45"/>
  <c r="F25" i="45"/>
  <c r="Y17" i="41"/>
  <c r="Y10" i="41" l="1"/>
  <c r="Y3" i="41"/>
  <c r="F26" i="45"/>
  <c r="F50" i="45" s="1"/>
  <c r="F45" i="45"/>
  <c r="F49" i="45"/>
  <c r="Z17" i="41"/>
  <c r="Z10" i="41" l="1"/>
  <c r="Z3" i="41"/>
  <c r="G48" i="45"/>
  <c r="E23" i="32" l="1"/>
  <c r="E49" i="32" s="1"/>
  <c r="E26" i="32" l="1"/>
  <c r="E50" i="32" s="1"/>
  <c r="E45" i="32"/>
  <c r="F14" i="32"/>
  <c r="F21" i="32" l="1"/>
  <c r="F46" i="32" l="1"/>
  <c r="F22" i="32"/>
  <c r="F27" i="32"/>
  <c r="F47" i="32" l="1"/>
  <c r="F51" i="32"/>
  <c r="F25" i="32"/>
  <c r="G13" i="32"/>
  <c r="G11" i="32" s="1"/>
  <c r="F23" i="32"/>
  <c r="F26" i="32" s="1"/>
  <c r="F50" i="32" l="1"/>
  <c r="G20" i="32"/>
  <c r="G21" i="32" s="1"/>
  <c r="F45" i="32"/>
  <c r="F49" i="32"/>
  <c r="G48" i="32" l="1"/>
  <c r="G46" i="32"/>
  <c r="G27" i="32" l="1"/>
  <c r="G22" i="32"/>
  <c r="G47" i="32" l="1"/>
  <c r="H13" i="32"/>
  <c r="G51" i="32"/>
  <c r="G25" i="32"/>
  <c r="G23" i="32"/>
  <c r="G45" i="32" l="1"/>
  <c r="H14" i="32"/>
  <c r="G49" i="32"/>
  <c r="H20" i="32"/>
  <c r="G26" i="32"/>
  <c r="G50" i="32" l="1"/>
  <c r="H48" i="32"/>
  <c r="H21" i="32"/>
  <c r="H46" i="32" s="1"/>
  <c r="H22" i="32" l="1"/>
  <c r="H27" i="32"/>
  <c r="H47" i="32" l="1"/>
  <c r="I13" i="32"/>
  <c r="H25" i="32"/>
  <c r="H51" i="32"/>
  <c r="I20" i="32" l="1"/>
  <c r="I48" i="32" l="1"/>
  <c r="H16" i="32" l="1"/>
  <c r="H11" i="32" l="1"/>
  <c r="H23" i="32"/>
  <c r="I14" i="32" s="1"/>
  <c r="H49" i="32" l="1"/>
  <c r="I21" i="32"/>
  <c r="I27" i="32" s="1"/>
  <c r="H26" i="32"/>
  <c r="H50" i="32" s="1"/>
  <c r="H45" i="32"/>
  <c r="I46" i="32" l="1"/>
  <c r="H40" i="45" l="1"/>
  <c r="H15" i="45" s="1"/>
  <c r="I40" i="45"/>
  <c r="I15" i="45" s="1"/>
  <c r="I30" i="45"/>
  <c r="H30" i="45"/>
  <c r="H39" i="45" l="1"/>
  <c r="H16" i="45" s="1"/>
  <c r="I39" i="45"/>
  <c r="I16" i="45" s="1"/>
  <c r="G40" i="31" l="1"/>
  <c r="G15" i="31" s="1"/>
  <c r="G40" i="45"/>
  <c r="G15" i="45" s="1"/>
  <c r="G22" i="31" l="1"/>
  <c r="H13" i="31" s="1"/>
  <c r="G51" i="31" l="1"/>
  <c r="G28" i="41"/>
  <c r="H40" i="31"/>
  <c r="H15" i="31" s="1"/>
  <c r="J40" i="32"/>
  <c r="J15" i="32" s="1"/>
  <c r="H20" i="31"/>
  <c r="G23" i="31"/>
  <c r="G26" i="31" s="1"/>
  <c r="G50" i="31" s="1"/>
  <c r="G47" i="31"/>
  <c r="G25" i="31"/>
  <c r="I40" i="32" l="1"/>
  <c r="I15" i="32" s="1"/>
  <c r="J40" i="31"/>
  <c r="J15" i="31" s="1"/>
  <c r="H28" i="41"/>
  <c r="I40" i="31"/>
  <c r="I15" i="31" s="1"/>
  <c r="G49" i="31"/>
  <c r="G45" i="31"/>
  <c r="H14" i="31"/>
  <c r="H48" i="31"/>
  <c r="H21" i="31"/>
  <c r="H46" i="31" s="1"/>
  <c r="H22" i="31" l="1"/>
  <c r="H23" i="31" s="1"/>
  <c r="H49" i="31" s="1"/>
  <c r="K40" i="31"/>
  <c r="K15" i="31" s="1"/>
  <c r="I22" i="32"/>
  <c r="I51" i="32" s="1"/>
  <c r="H47" i="31"/>
  <c r="H27" i="31"/>
  <c r="I13" i="31" l="1"/>
  <c r="I14" i="31"/>
  <c r="H51" i="31"/>
  <c r="H45" i="31"/>
  <c r="H26" i="31"/>
  <c r="H50" i="31" s="1"/>
  <c r="H25" i="31"/>
  <c r="J13" i="32"/>
  <c r="I57" i="32"/>
  <c r="I25" i="32"/>
  <c r="I47" i="32"/>
  <c r="L40" i="31"/>
  <c r="L15" i="31" s="1"/>
  <c r="I20" i="31"/>
  <c r="M40" i="31" l="1"/>
  <c r="M15" i="31" s="1"/>
  <c r="J20" i="32"/>
  <c r="I21" i="31"/>
  <c r="I22" i="31" s="1"/>
  <c r="I23" i="31" s="1"/>
  <c r="I48" i="31"/>
  <c r="N40" i="31" l="1"/>
  <c r="N15" i="31" s="1"/>
  <c r="J48" i="32"/>
  <c r="I25" i="31"/>
  <c r="I45" i="31"/>
  <c r="J14" i="31"/>
  <c r="I26" i="31"/>
  <c r="I50" i="31" s="1"/>
  <c r="I47" i="31"/>
  <c r="J13" i="31"/>
  <c r="I51" i="31"/>
  <c r="I46" i="31"/>
  <c r="I27" i="31"/>
  <c r="I49" i="31"/>
  <c r="J20" i="31" l="1"/>
  <c r="O40" i="31"/>
  <c r="O15" i="31" s="1"/>
  <c r="J21" i="31" l="1"/>
  <c r="J22" i="31" s="1"/>
  <c r="J25" i="31" s="1"/>
  <c r="J48" i="31"/>
  <c r="P40" i="31"/>
  <c r="P15" i="31" s="1"/>
  <c r="J51" i="31" l="1"/>
  <c r="J47" i="31"/>
  <c r="K13" i="31"/>
  <c r="J46" i="31"/>
  <c r="J27" i="31"/>
  <c r="Q40" i="31"/>
  <c r="Q15" i="31" s="1"/>
  <c r="K20" i="31" l="1"/>
  <c r="R40" i="31"/>
  <c r="R15" i="31" s="1"/>
  <c r="K48" i="31" l="1"/>
  <c r="S40" i="31"/>
  <c r="S15" i="31" s="1"/>
  <c r="T40" i="31" l="1"/>
  <c r="T15" i="31" s="1"/>
  <c r="U40" i="31" l="1"/>
  <c r="U15" i="31" s="1"/>
  <c r="V40" i="31" l="1"/>
  <c r="V15" i="31" s="1"/>
  <c r="X40" i="31"/>
  <c r="X15" i="31" s="1"/>
  <c r="W40" i="31" l="1"/>
  <c r="W15" i="31" s="1"/>
  <c r="Z40" i="31" l="1"/>
  <c r="Z15" i="31" s="1"/>
  <c r="Y40" i="31"/>
  <c r="Y15" i="31" s="1"/>
  <c r="AA40" i="31" l="1"/>
  <c r="AA15" i="31" s="1"/>
  <c r="H11" i="45" l="1"/>
  <c r="G22" i="45"/>
  <c r="G14" i="45"/>
  <c r="G46" i="45"/>
  <c r="G51" i="45" l="1"/>
  <c r="G23" i="45"/>
  <c r="G49" i="45" s="1"/>
  <c r="G27" i="45"/>
  <c r="G25" i="45"/>
  <c r="G47" i="45"/>
  <c r="G45" i="45" l="1"/>
  <c r="G26" i="45"/>
  <c r="G50" i="45" s="1"/>
  <c r="H46" i="45" l="1"/>
  <c r="H48" i="45"/>
  <c r="H22" i="45" l="1"/>
  <c r="H23" i="45" s="1"/>
  <c r="H49" i="45" s="1"/>
  <c r="H27" i="45"/>
  <c r="H45" i="45" l="1"/>
  <c r="H26" i="45"/>
  <c r="H50" i="45" s="1"/>
  <c r="H47" i="45"/>
  <c r="H51" i="45"/>
  <c r="H25" i="45"/>
  <c r="I20" i="45" l="1"/>
  <c r="I21" i="45" l="1"/>
  <c r="I22" i="45" s="1"/>
  <c r="I48" i="45"/>
  <c r="I27" i="45"/>
  <c r="I47" i="45" l="1"/>
  <c r="J13" i="45"/>
  <c r="I51" i="45"/>
  <c r="I46" i="45"/>
  <c r="I25" i="45"/>
  <c r="I23" i="45"/>
  <c r="I49" i="45" s="1"/>
  <c r="I26" i="45" l="1"/>
  <c r="I50" i="45" s="1"/>
  <c r="J20" i="45"/>
  <c r="I45" i="45"/>
  <c r="J14" i="45"/>
  <c r="J48" i="45" l="1"/>
  <c r="J21" i="45"/>
  <c r="J46" i="45" s="1"/>
  <c r="J27" i="45" l="1"/>
  <c r="AD39" i="31" l="1"/>
  <c r="AD16" i="31" s="1"/>
  <c r="AA28" i="41" l="1"/>
  <c r="AB39" i="31"/>
  <c r="AB16" i="31" s="1"/>
  <c r="AB28" i="41"/>
  <c r="AC39" i="31"/>
  <c r="AC16" i="31" s="1"/>
  <c r="L39" i="31"/>
  <c r="L16" i="31" s="1"/>
  <c r="K28" i="41"/>
  <c r="J39" i="31"/>
  <c r="J16" i="31" s="1"/>
  <c r="I28" i="41"/>
  <c r="N39" i="31"/>
  <c r="N16" i="31" s="1"/>
  <c r="M28" i="41"/>
  <c r="R39" i="31"/>
  <c r="R16" i="31" s="1"/>
  <c r="Q28" i="41"/>
  <c r="Z28" i="41"/>
  <c r="AA39" i="31"/>
  <c r="AA16" i="31" s="1"/>
  <c r="O39" i="31"/>
  <c r="O16" i="31" s="1"/>
  <c r="N28" i="41"/>
  <c r="T39" i="31"/>
  <c r="T16" i="31" s="1"/>
  <c r="S28" i="41"/>
  <c r="K39" i="31"/>
  <c r="K16" i="31" s="1"/>
  <c r="J28" i="41"/>
  <c r="W28" i="41"/>
  <c r="X39" i="31"/>
  <c r="X16" i="31" s="1"/>
  <c r="S39" i="31"/>
  <c r="S16" i="31" s="1"/>
  <c r="R28" i="41"/>
  <c r="U39" i="31"/>
  <c r="U16" i="31" s="1"/>
  <c r="T28" i="41"/>
  <c r="X28" i="41"/>
  <c r="Y39" i="31"/>
  <c r="Y16" i="31" s="1"/>
  <c r="P39" i="31"/>
  <c r="P16" i="31" s="1"/>
  <c r="O28" i="41"/>
  <c r="V39" i="31"/>
  <c r="V16" i="31" s="1"/>
  <c r="U28" i="41"/>
  <c r="Y28" i="41"/>
  <c r="Z39" i="31"/>
  <c r="Z16" i="31" s="1"/>
  <c r="M39" i="31"/>
  <c r="M16" i="31" s="1"/>
  <c r="L28" i="41"/>
  <c r="Q39" i="31"/>
  <c r="Q16" i="31" s="1"/>
  <c r="P28" i="41"/>
  <c r="W39" i="31"/>
  <c r="W16" i="31" s="1"/>
  <c r="V28" i="41"/>
  <c r="J23" i="31" l="1"/>
  <c r="K14" i="31" s="1"/>
  <c r="K21" i="31" l="1"/>
  <c r="K27" i="31" s="1"/>
  <c r="J49" i="31"/>
  <c r="J45" i="31"/>
  <c r="J26" i="31"/>
  <c r="J50" i="31" s="1"/>
  <c r="K22" i="31" l="1"/>
  <c r="K23" i="31" s="1"/>
  <c r="K46" i="31"/>
  <c r="K26" i="31" l="1"/>
  <c r="K50" i="31" s="1"/>
  <c r="K45" i="31"/>
  <c r="L14" i="31"/>
  <c r="K49" i="31"/>
  <c r="K47" i="31"/>
  <c r="L13" i="31"/>
  <c r="K51" i="31"/>
  <c r="K25" i="31"/>
  <c r="L20" i="31" l="1"/>
  <c r="L48" i="31" l="1"/>
  <c r="L21" i="31"/>
  <c r="L22" i="31" l="1"/>
  <c r="L46" i="31"/>
  <c r="L27" i="31"/>
  <c r="L47" i="31" l="1"/>
  <c r="M13" i="31"/>
  <c r="L51" i="31"/>
  <c r="L25" i="31"/>
  <c r="L23" i="31"/>
  <c r="L45" i="31" l="1"/>
  <c r="M14" i="31"/>
  <c r="L49" i="31"/>
  <c r="L26" i="31"/>
  <c r="L50" i="31" s="1"/>
  <c r="M20" i="31"/>
  <c r="M21" i="31" l="1"/>
  <c r="M22" i="31" s="1"/>
  <c r="M48" i="31"/>
  <c r="M25" i="31" l="1"/>
  <c r="N13" i="31"/>
  <c r="M47" i="31"/>
  <c r="M51" i="31"/>
  <c r="M23" i="31"/>
  <c r="M46" i="31"/>
  <c r="M27" i="31"/>
  <c r="M26" i="31" l="1"/>
  <c r="M50" i="31" s="1"/>
  <c r="M45" i="31"/>
  <c r="N14" i="31"/>
  <c r="M49" i="31"/>
  <c r="N20" i="31"/>
  <c r="N21" i="31" l="1"/>
  <c r="N48" i="31"/>
  <c r="N22" i="31" l="1"/>
  <c r="N46" i="31"/>
  <c r="N27" i="31"/>
  <c r="N25" i="31" l="1"/>
  <c r="N47" i="31"/>
  <c r="O13" i="31"/>
  <c r="N51" i="31"/>
  <c r="N23" i="31"/>
  <c r="O14" i="31" l="1"/>
  <c r="N45" i="31"/>
  <c r="N49" i="31"/>
  <c r="N26" i="31"/>
  <c r="N50" i="31" s="1"/>
  <c r="O20" i="31"/>
  <c r="O21" i="31" l="1"/>
  <c r="O27" i="31" s="1"/>
  <c r="O48" i="31"/>
  <c r="O22" i="31" l="1"/>
  <c r="O46" i="31"/>
  <c r="O25" i="31" l="1"/>
  <c r="P13" i="31"/>
  <c r="O47" i="31"/>
  <c r="O23" i="31"/>
  <c r="O51" i="31"/>
  <c r="P20" i="31" l="1"/>
  <c r="O26" i="31"/>
  <c r="O50" i="31" s="1"/>
  <c r="O45" i="31"/>
  <c r="P14" i="31"/>
  <c r="O49" i="31"/>
  <c r="P48" i="31" l="1"/>
  <c r="P21" i="31"/>
  <c r="P22" i="31" l="1"/>
  <c r="P46" i="31"/>
  <c r="P27" i="31"/>
  <c r="P47" i="31" l="1"/>
  <c r="Q13" i="31"/>
  <c r="P51" i="31"/>
  <c r="P25" i="31"/>
  <c r="P23" i="31"/>
  <c r="P26" i="31" s="1"/>
  <c r="P50" i="31" s="1"/>
  <c r="P49" i="31" l="1"/>
  <c r="P45" i="31"/>
  <c r="Q14" i="31"/>
  <c r="Q20" i="31"/>
  <c r="Q48" i="31" l="1"/>
  <c r="Q21" i="31"/>
  <c r="Q46" i="31" s="1"/>
  <c r="Q22" i="31" l="1"/>
  <c r="Q23" i="31" s="1"/>
  <c r="Q27" i="31"/>
  <c r="Q26" i="31" l="1"/>
  <c r="Q50" i="31" s="1"/>
  <c r="Q45" i="31"/>
  <c r="R14" i="31"/>
  <c r="Q49" i="31"/>
  <c r="R13" i="31"/>
  <c r="Q47" i="31"/>
  <c r="Q25" i="31"/>
  <c r="Q51" i="31"/>
  <c r="R20" i="31" l="1"/>
  <c r="R21" i="31" l="1"/>
  <c r="R22" i="31" s="1"/>
  <c r="R48" i="31"/>
  <c r="R23" i="31" l="1"/>
  <c r="S14" i="31" s="1"/>
  <c r="R25" i="31"/>
  <c r="S13" i="31"/>
  <c r="R47" i="31"/>
  <c r="R51" i="31"/>
  <c r="R46" i="31"/>
  <c r="R27" i="31"/>
  <c r="R26" i="31" l="1"/>
  <c r="R50" i="31" s="1"/>
  <c r="R49" i="31"/>
  <c r="R45" i="31"/>
  <c r="S20" i="31"/>
  <c r="S48" i="31" l="1"/>
  <c r="S21" i="31"/>
  <c r="S46" i="31" l="1"/>
  <c r="S27" i="31"/>
  <c r="S22" i="31"/>
  <c r="S23" i="31" l="1"/>
  <c r="S26" i="31" s="1"/>
  <c r="S50" i="31" s="1"/>
  <c r="S47" i="31"/>
  <c r="T13" i="31"/>
  <c r="S51" i="31"/>
  <c r="S25" i="31"/>
  <c r="T20" i="31" l="1"/>
  <c r="S45" i="31"/>
  <c r="T14" i="31"/>
  <c r="S49" i="31"/>
  <c r="T48" i="31" l="1"/>
  <c r="T21" i="31"/>
  <c r="T22" i="31" l="1"/>
  <c r="T46" i="31"/>
  <c r="T27" i="31"/>
  <c r="T47" i="31" l="1"/>
  <c r="U13" i="31"/>
  <c r="T51" i="31"/>
  <c r="T23" i="31"/>
  <c r="T25" i="31"/>
  <c r="T45" i="31" l="1"/>
  <c r="U14" i="31"/>
  <c r="T49" i="31"/>
  <c r="T26" i="31"/>
  <c r="T50" i="31" s="1"/>
  <c r="U20" i="31"/>
  <c r="U48" i="31" l="1"/>
  <c r="U21" i="31"/>
  <c r="U22" i="31" s="1"/>
  <c r="U47" i="31" l="1"/>
  <c r="V13" i="31"/>
  <c r="U51" i="31"/>
  <c r="U23" i="31"/>
  <c r="U25" i="31"/>
  <c r="U46" i="31"/>
  <c r="U27" i="31"/>
  <c r="U26" i="31" l="1"/>
  <c r="U50" i="31" s="1"/>
  <c r="U45" i="31"/>
  <c r="V14" i="31"/>
  <c r="U49" i="31"/>
  <c r="V20" i="31"/>
  <c r="V21" i="31" l="1"/>
  <c r="V48" i="31"/>
  <c r="V22" i="31" l="1"/>
  <c r="V46" i="31"/>
  <c r="V27" i="31"/>
  <c r="V23" i="31" l="1"/>
  <c r="V47" i="31"/>
  <c r="W13" i="31"/>
  <c r="V51" i="31"/>
  <c r="V25" i="31"/>
  <c r="V45" i="31" l="1"/>
  <c r="W14" i="31"/>
  <c r="V49" i="31"/>
  <c r="W20" i="31"/>
  <c r="V26" i="31"/>
  <c r="V50" i="31" s="1"/>
  <c r="W48" i="31" l="1"/>
  <c r="W21" i="31"/>
  <c r="W46" i="31" l="1"/>
  <c r="W27" i="31"/>
  <c r="W22" i="31"/>
  <c r="W23" i="31" s="1"/>
  <c r="W45" i="31" l="1"/>
  <c r="X14" i="31"/>
  <c r="W49" i="31"/>
  <c r="W47" i="31"/>
  <c r="X13" i="31"/>
  <c r="W51" i="31"/>
  <c r="W25" i="31"/>
  <c r="W26" i="31"/>
  <c r="W50" i="31" s="1"/>
  <c r="X20" i="31" l="1"/>
  <c r="X48" i="31" l="1"/>
  <c r="X21" i="31"/>
  <c r="X46" i="31" l="1"/>
  <c r="X27" i="31"/>
  <c r="X22" i="31"/>
  <c r="X47" i="31" l="1"/>
  <c r="Y13" i="31"/>
  <c r="X51" i="31"/>
  <c r="X25" i="31"/>
  <c r="X23" i="31"/>
  <c r="X26" i="31" s="1"/>
  <c r="X50" i="31" s="1"/>
  <c r="X45" i="31" l="1"/>
  <c r="Y14" i="31"/>
  <c r="X49" i="31"/>
  <c r="Y20" i="31"/>
  <c r="Y48" i="31" l="1"/>
  <c r="Y21" i="31"/>
  <c r="Y46" i="31" s="1"/>
  <c r="Y22" i="31" l="1"/>
  <c r="Y27" i="31"/>
  <c r="Y47" i="31" l="1"/>
  <c r="Z13" i="31"/>
  <c r="Y51" i="31"/>
  <c r="Y23" i="31"/>
  <c r="Y25" i="31"/>
  <c r="Y26" i="31" l="1"/>
  <c r="Y50" i="31" s="1"/>
  <c r="Y45" i="31"/>
  <c r="Z14" i="31"/>
  <c r="Y49" i="31"/>
  <c r="Z20" i="31"/>
  <c r="Z21" i="31" l="1"/>
  <c r="Z22" i="31" s="1"/>
  <c r="Z48" i="31"/>
  <c r="Z25" i="31" l="1"/>
  <c r="AA13" i="31"/>
  <c r="Z47" i="31"/>
  <c r="Z51" i="31"/>
  <c r="Z46" i="31"/>
  <c r="Z27" i="31"/>
  <c r="Z23" i="31"/>
  <c r="Z26" i="31" s="1"/>
  <c r="Z50" i="31" s="1"/>
  <c r="Z49" i="31" l="1"/>
  <c r="Z45" i="31"/>
  <c r="AA14" i="31"/>
  <c r="AA20" i="31"/>
  <c r="AA48" i="31" l="1"/>
  <c r="AA21" i="31"/>
  <c r="AA22" i="31" l="1"/>
  <c r="AB13" i="31" s="1"/>
  <c r="AA46" i="31"/>
  <c r="AA27" i="31"/>
  <c r="AB20" i="31" l="1"/>
  <c r="AA23" i="31"/>
  <c r="AB14" i="31" s="1"/>
  <c r="AA47" i="31"/>
  <c r="AA25" i="31"/>
  <c r="AA51" i="31"/>
  <c r="AB48" i="31" l="1"/>
  <c r="AB21" i="31"/>
  <c r="AB46" i="31" s="1"/>
  <c r="AA45" i="31"/>
  <c r="AA49" i="31"/>
  <c r="AA26" i="31"/>
  <c r="AA50" i="31" s="1"/>
  <c r="AB22" i="31" l="1"/>
  <c r="AB27" i="31"/>
  <c r="AB47" i="31" l="1"/>
  <c r="AC13" i="31"/>
  <c r="AB51" i="31"/>
  <c r="AB25" i="31"/>
  <c r="AB23" i="31"/>
  <c r="AC14" i="31" l="1"/>
  <c r="AB45" i="31"/>
  <c r="AB49" i="31"/>
  <c r="AB26" i="31"/>
  <c r="AB50" i="31" s="1"/>
  <c r="AC20" i="31"/>
  <c r="AC48" i="31" l="1"/>
  <c r="AC21" i="31"/>
  <c r="AB40" i="32"/>
  <c r="AB15" i="32" s="1"/>
  <c r="AE40" i="32"/>
  <c r="AE15" i="32" s="1"/>
  <c r="Y40" i="32"/>
  <c r="Y15" i="32" s="1"/>
  <c r="R30" i="32"/>
  <c r="Z30" i="32"/>
  <c r="W30" i="32"/>
  <c r="Q30" i="32"/>
  <c r="N30" i="32"/>
  <c r="W40" i="32"/>
  <c r="W15" i="32" s="1"/>
  <c r="AC40" i="32"/>
  <c r="AC15" i="32" s="1"/>
  <c r="AC30" i="32"/>
  <c r="L40" i="32"/>
  <c r="L15" i="32" s="1"/>
  <c r="X40" i="32"/>
  <c r="X15" i="32" s="1"/>
  <c r="S40" i="32"/>
  <c r="S15" i="32" s="1"/>
  <c r="M40" i="32"/>
  <c r="M15" i="32" s="1"/>
  <c r="M30" i="32"/>
  <c r="R40" i="32"/>
  <c r="R15" i="32" s="1"/>
  <c r="AB30" i="32"/>
  <c r="AD40" i="32"/>
  <c r="AD15" i="32" s="1"/>
  <c r="AD30" i="32"/>
  <c r="N40" i="32"/>
  <c r="N15" i="32" s="1"/>
  <c r="O40" i="32"/>
  <c r="O15" i="32" s="1"/>
  <c r="Y30" i="32"/>
  <c r="K40" i="32"/>
  <c r="K15" i="32" s="1"/>
  <c r="S30" i="32"/>
  <c r="U40" i="32"/>
  <c r="U15" i="32" s="1"/>
  <c r="P40" i="32"/>
  <c r="P15" i="32" s="1"/>
  <c r="Z40" i="32"/>
  <c r="Z15" i="32" s="1"/>
  <c r="X30" i="32"/>
  <c r="Y30" i="45"/>
  <c r="AA30" i="45"/>
  <c r="Q40" i="45"/>
  <c r="Q15" i="45" s="1"/>
  <c r="M30" i="45"/>
  <c r="AC30" i="45"/>
  <c r="U30" i="45"/>
  <c r="W30" i="45"/>
  <c r="S30" i="45"/>
  <c r="R30" i="45"/>
  <c r="P30" i="45"/>
  <c r="T30" i="45"/>
  <c r="N30" i="45"/>
  <c r="K30" i="45"/>
  <c r="J30" i="45"/>
  <c r="Z30" i="45"/>
  <c r="L30" i="45"/>
  <c r="X30" i="45"/>
  <c r="AB30" i="45"/>
  <c r="V30" i="45"/>
  <c r="O30" i="45"/>
  <c r="AD30" i="45"/>
  <c r="Q30" i="45"/>
  <c r="P30" i="32"/>
  <c r="V30" i="32"/>
  <c r="V40" i="32"/>
  <c r="V15" i="32" s="1"/>
  <c r="Q40" i="32"/>
  <c r="Q15" i="32" s="1"/>
  <c r="AA40" i="32"/>
  <c r="AA15" i="32" s="1"/>
  <c r="AE30" i="32"/>
  <c r="T30" i="32"/>
  <c r="O30" i="32"/>
  <c r="U30" i="32"/>
  <c r="AA30" i="32"/>
  <c r="AD40" i="45"/>
  <c r="AD15" i="45" s="1"/>
  <c r="V40" i="45"/>
  <c r="V15" i="45" s="1"/>
  <c r="O40" i="45"/>
  <c r="O15" i="45" s="1"/>
  <c r="T40" i="45"/>
  <c r="T15" i="45" s="1"/>
  <c r="L40" i="45"/>
  <c r="L15" i="45" s="1"/>
  <c r="N40" i="45"/>
  <c r="N15" i="45" s="1"/>
  <c r="Y40" i="45"/>
  <c r="Y15" i="45" s="1"/>
  <c r="K40" i="45"/>
  <c r="K15" i="45" s="1"/>
  <c r="P40" i="45"/>
  <c r="P15" i="45" s="1"/>
  <c r="Z40" i="45"/>
  <c r="Z15" i="45" s="1"/>
  <c r="AB40" i="45"/>
  <c r="AB15" i="45" s="1"/>
  <c r="AA40" i="45"/>
  <c r="AA15" i="45" s="1"/>
  <c r="U40" i="45"/>
  <c r="U15" i="45" s="1"/>
  <c r="S40" i="45"/>
  <c r="S15" i="45" s="1"/>
  <c r="W40" i="45"/>
  <c r="W15" i="45" s="1"/>
  <c r="M40" i="45"/>
  <c r="M15" i="45" s="1"/>
  <c r="AC40" i="45"/>
  <c r="AC15" i="45" s="1"/>
  <c r="R40" i="45"/>
  <c r="R15" i="45" s="1"/>
  <c r="X40" i="45"/>
  <c r="X15" i="45" s="1"/>
  <c r="J40" i="45"/>
  <c r="J15" i="45" s="1"/>
  <c r="J22" i="45" l="1"/>
  <c r="K13" i="45" s="1"/>
  <c r="AC27" i="31"/>
  <c r="AC46" i="31"/>
  <c r="AC22" i="31"/>
  <c r="K30" i="32"/>
  <c r="L30" i="32"/>
  <c r="N39" i="32"/>
  <c r="N16" i="32" s="1"/>
  <c r="L27" i="41"/>
  <c r="T40" i="32"/>
  <c r="T15" i="32" s="1"/>
  <c r="K20" i="45" l="1"/>
  <c r="J51" i="45"/>
  <c r="J47" i="45"/>
  <c r="J25" i="45"/>
  <c r="AD39" i="45"/>
  <c r="AD16" i="45" s="1"/>
  <c r="AC23" i="31"/>
  <c r="AC47" i="31"/>
  <c r="AD13" i="31"/>
  <c r="AC25" i="31"/>
  <c r="AC51" i="31"/>
  <c r="I30" i="32"/>
  <c r="I16" i="32" s="1"/>
  <c r="G27" i="41"/>
  <c r="AA27" i="41"/>
  <c r="AC39" i="32"/>
  <c r="AC16" i="32" s="1"/>
  <c r="J30" i="32"/>
  <c r="J16" i="32" s="1"/>
  <c r="H27" i="41"/>
  <c r="T39" i="32"/>
  <c r="T16" i="32" s="1"/>
  <c r="R27" i="41"/>
  <c r="AE39" i="32"/>
  <c r="AE16" i="32" s="1"/>
  <c r="P39" i="32"/>
  <c r="P16" i="32" s="1"/>
  <c r="N27" i="41"/>
  <c r="Y26" i="41" l="1"/>
  <c r="Z39" i="45"/>
  <c r="Z16" i="45" s="1"/>
  <c r="T26" i="41"/>
  <c r="U39" i="45"/>
  <c r="U16" i="45" s="1"/>
  <c r="I26" i="41"/>
  <c r="J39" i="45"/>
  <c r="J16" i="45" s="1"/>
  <c r="V26" i="41"/>
  <c r="W39" i="45"/>
  <c r="W16" i="45" s="1"/>
  <c r="M26" i="41"/>
  <c r="N39" i="45"/>
  <c r="N16" i="45" s="1"/>
  <c r="Z26" i="41"/>
  <c r="AA39" i="45"/>
  <c r="AA16" i="45" s="1"/>
  <c r="AC39" i="45"/>
  <c r="AC16" i="45" s="1"/>
  <c r="AB26" i="41"/>
  <c r="K26" i="41"/>
  <c r="L39" i="45"/>
  <c r="L16" i="45" s="1"/>
  <c r="L26" i="41"/>
  <c r="M39" i="45"/>
  <c r="M16" i="45" s="1"/>
  <c r="S26" i="41"/>
  <c r="T39" i="45"/>
  <c r="T16" i="45" s="1"/>
  <c r="AB39" i="45"/>
  <c r="AB16" i="45" s="1"/>
  <c r="AA26" i="41"/>
  <c r="R26" i="41"/>
  <c r="S39" i="45"/>
  <c r="S16" i="45" s="1"/>
  <c r="O26" i="41"/>
  <c r="P39" i="45"/>
  <c r="P16" i="45" s="1"/>
  <c r="U26" i="41"/>
  <c r="V39" i="45"/>
  <c r="V16" i="45" s="1"/>
  <c r="J26" i="41"/>
  <c r="K39" i="45"/>
  <c r="K16" i="45" s="1"/>
  <c r="P26" i="41"/>
  <c r="Q39" i="45"/>
  <c r="Q16" i="45" s="1"/>
  <c r="W26" i="41"/>
  <c r="X39" i="45"/>
  <c r="X16" i="45" s="1"/>
  <c r="X26" i="41"/>
  <c r="Y39" i="45"/>
  <c r="Y16" i="45" s="1"/>
  <c r="N26" i="41"/>
  <c r="O39" i="45"/>
  <c r="O16" i="45" s="1"/>
  <c r="Q26" i="41"/>
  <c r="R39" i="45"/>
  <c r="R16" i="45" s="1"/>
  <c r="K48" i="45"/>
  <c r="AD20" i="31"/>
  <c r="AD14" i="31"/>
  <c r="AC45" i="31"/>
  <c r="AC49" i="31"/>
  <c r="AC26" i="31"/>
  <c r="AC50" i="31" s="1"/>
  <c r="I11" i="32"/>
  <c r="I23" i="32"/>
  <c r="I49" i="32" s="1"/>
  <c r="AB27" i="41"/>
  <c r="AD39" i="32"/>
  <c r="AD16" i="32" s="1"/>
  <c r="S39" i="32"/>
  <c r="S16" i="32" s="1"/>
  <c r="Q27" i="41"/>
  <c r="U27" i="41"/>
  <c r="W39" i="32"/>
  <c r="W16" i="32" s="1"/>
  <c r="R39" i="32"/>
  <c r="R16" i="32" s="1"/>
  <c r="P27" i="41"/>
  <c r="U39" i="32"/>
  <c r="U16" i="32" s="1"/>
  <c r="S27" i="41"/>
  <c r="O39" i="32"/>
  <c r="O16" i="32" s="1"/>
  <c r="M27" i="41"/>
  <c r="Q39" i="32"/>
  <c r="Q16" i="32" s="1"/>
  <c r="O27" i="41"/>
  <c r="K39" i="32"/>
  <c r="K16" i="32" s="1"/>
  <c r="I27" i="41"/>
  <c r="Y27" i="41"/>
  <c r="AA39" i="32"/>
  <c r="AA16" i="32" s="1"/>
  <c r="M39" i="32"/>
  <c r="M16" i="32" s="1"/>
  <c r="K27" i="41"/>
  <c r="V39" i="32"/>
  <c r="V16" i="32" s="1"/>
  <c r="T27" i="41"/>
  <c r="X27" i="41"/>
  <c r="Z39" i="32"/>
  <c r="Z16" i="32" s="1"/>
  <c r="V27" i="41"/>
  <c r="X39" i="32"/>
  <c r="X16" i="32" s="1"/>
  <c r="W27" i="41"/>
  <c r="Y39" i="32"/>
  <c r="Y16" i="32" s="1"/>
  <c r="Z27" i="41"/>
  <c r="AB39" i="32"/>
  <c r="AB16" i="32" s="1"/>
  <c r="L39" i="32"/>
  <c r="L16" i="32" s="1"/>
  <c r="J27" i="41"/>
  <c r="J14" i="32" l="1"/>
  <c r="J11" i="32" s="1"/>
  <c r="J23" i="45"/>
  <c r="K14" i="45" s="1"/>
  <c r="AD48" i="31"/>
  <c r="AD21" i="31"/>
  <c r="I26" i="32"/>
  <c r="I50" i="32" s="1"/>
  <c r="I45" i="32"/>
  <c r="J21" i="32" l="1"/>
  <c r="J22" i="32" s="1"/>
  <c r="AD22" i="31"/>
  <c r="AD51" i="31" s="1"/>
  <c r="K21" i="45"/>
  <c r="J45" i="45"/>
  <c r="J26" i="45"/>
  <c r="J50" i="45" s="1"/>
  <c r="J49" i="45"/>
  <c r="AD27" i="31"/>
  <c r="AD46" i="31"/>
  <c r="J46" i="32"/>
  <c r="J27" i="32"/>
  <c r="AD47" i="31" l="1"/>
  <c r="J23" i="32"/>
  <c r="J26" i="32" s="1"/>
  <c r="J50" i="32" s="1"/>
  <c r="AD25" i="31"/>
  <c r="AD23" i="31"/>
  <c r="K22" i="45"/>
  <c r="K23" i="45" s="1"/>
  <c r="K49" i="45" s="1"/>
  <c r="K46" i="45"/>
  <c r="K27" i="45"/>
  <c r="J25" i="32"/>
  <c r="K13" i="32"/>
  <c r="J47" i="32"/>
  <c r="J51" i="32"/>
  <c r="J49" i="32" l="1"/>
  <c r="AD49" i="31"/>
  <c r="AD26" i="31"/>
  <c r="AD50" i="31" s="1"/>
  <c r="AD45" i="31"/>
  <c r="K14" i="32"/>
  <c r="J45" i="32"/>
  <c r="K26" i="45"/>
  <c r="K50" i="45" s="1"/>
  <c r="K45" i="45"/>
  <c r="L14" i="45"/>
  <c r="K47" i="45"/>
  <c r="L13" i="45"/>
  <c r="K51" i="45"/>
  <c r="K25" i="45"/>
  <c r="K20" i="32"/>
  <c r="L20" i="45" l="1"/>
  <c r="K48" i="32"/>
  <c r="K21" i="32"/>
  <c r="K22" i="32" s="1"/>
  <c r="K25" i="32" s="1"/>
  <c r="K23" i="32" l="1"/>
  <c r="K26" i="32" s="1"/>
  <c r="K50" i="32" s="1"/>
  <c r="L48" i="45"/>
  <c r="L21" i="45"/>
  <c r="K47" i="32"/>
  <c r="L13" i="32"/>
  <c r="K51" i="32"/>
  <c r="K46" i="32"/>
  <c r="K27" i="32"/>
  <c r="K45" i="32" l="1"/>
  <c r="K49" i="32"/>
  <c r="L14" i="32"/>
  <c r="L22" i="45"/>
  <c r="L46" i="45"/>
  <c r="L27" i="45"/>
  <c r="L20" i="32"/>
  <c r="L47" i="45" l="1"/>
  <c r="M13" i="45"/>
  <c r="L51" i="45"/>
  <c r="L25" i="45"/>
  <c r="L23" i="45"/>
  <c r="L26" i="45" s="1"/>
  <c r="L50" i="45" s="1"/>
  <c r="L48" i="32"/>
  <c r="L21" i="32"/>
  <c r="L22" i="32" s="1"/>
  <c r="L45" i="45" l="1"/>
  <c r="M14" i="45"/>
  <c r="L49" i="45"/>
  <c r="M20" i="45"/>
  <c r="L47" i="32"/>
  <c r="M13" i="32"/>
  <c r="L51" i="32"/>
  <c r="L23" i="32"/>
  <c r="L49" i="32" s="1"/>
  <c r="L25" i="32"/>
  <c r="L27" i="32"/>
  <c r="L46" i="32"/>
  <c r="M48" i="45" l="1"/>
  <c r="M21" i="45"/>
  <c r="M46" i="45" s="1"/>
  <c r="L26" i="32"/>
  <c r="L50" i="32" s="1"/>
  <c r="L45" i="32"/>
  <c r="M14" i="32"/>
  <c r="M20" i="32"/>
  <c r="M22" i="45" l="1"/>
  <c r="M27" i="45"/>
  <c r="M48" i="32"/>
  <c r="M21" i="32"/>
  <c r="M27" i="32" s="1"/>
  <c r="M23" i="45" l="1"/>
  <c r="M47" i="45"/>
  <c r="N13" i="45"/>
  <c r="M51" i="45"/>
  <c r="M25" i="45"/>
  <c r="M26" i="45"/>
  <c r="M50" i="45" s="1"/>
  <c r="M22" i="32"/>
  <c r="M46" i="32"/>
  <c r="N20" i="45" l="1"/>
  <c r="M49" i="45"/>
  <c r="M45" i="45"/>
  <c r="N14" i="45"/>
  <c r="M47" i="32"/>
  <c r="N13" i="32"/>
  <c r="M51" i="32"/>
  <c r="M23" i="32"/>
  <c r="M25" i="32"/>
  <c r="N21" i="45" l="1"/>
  <c r="N46" i="45" s="1"/>
  <c r="N48" i="45"/>
  <c r="M26" i="32"/>
  <c r="M50" i="32" s="1"/>
  <c r="M45" i="32"/>
  <c r="N14" i="32"/>
  <c r="M49" i="32"/>
  <c r="N20" i="32"/>
  <c r="N22" i="45" l="1"/>
  <c r="N25" i="45"/>
  <c r="N23" i="45"/>
  <c r="N49" i="45" s="1"/>
  <c r="N47" i="45"/>
  <c r="O13" i="45"/>
  <c r="N51" i="45"/>
  <c r="N27" i="45"/>
  <c r="N21" i="32"/>
  <c r="N22" i="32" s="1"/>
  <c r="N48" i="32"/>
  <c r="N25" i="32" l="1"/>
  <c r="N23" i="32"/>
  <c r="O14" i="32" s="1"/>
  <c r="O20" i="45"/>
  <c r="N45" i="45"/>
  <c r="O14" i="45"/>
  <c r="N26" i="45"/>
  <c r="N50" i="45" s="1"/>
  <c r="N47" i="32"/>
  <c r="O13" i="32"/>
  <c r="N51" i="32"/>
  <c r="N46" i="32"/>
  <c r="N27" i="32"/>
  <c r="N26" i="32" l="1"/>
  <c r="N50" i="32" s="1"/>
  <c r="N49" i="32"/>
  <c r="N45" i="32"/>
  <c r="O48" i="45"/>
  <c r="O21" i="45"/>
  <c r="O22" i="45" s="1"/>
  <c r="O25" i="45" s="1"/>
  <c r="O20" i="32"/>
  <c r="O47" i="45" l="1"/>
  <c r="P13" i="45"/>
  <c r="O51" i="45"/>
  <c r="O23" i="45"/>
  <c r="O27" i="45"/>
  <c r="O46" i="45"/>
  <c r="O21" i="32"/>
  <c r="O48" i="32"/>
  <c r="O22" i="32" l="1"/>
  <c r="O25" i="32" s="1"/>
  <c r="P20" i="45"/>
  <c r="O45" i="45"/>
  <c r="P14" i="45"/>
  <c r="O49" i="45"/>
  <c r="O26" i="45"/>
  <c r="O50" i="45" s="1"/>
  <c r="O46" i="32"/>
  <c r="O27" i="32"/>
  <c r="O47" i="32" l="1"/>
  <c r="P13" i="32"/>
  <c r="O51" i="32"/>
  <c r="O23" i="32"/>
  <c r="P21" i="45"/>
  <c r="P46" i="45" s="1"/>
  <c r="P48" i="45"/>
  <c r="P20" i="32"/>
  <c r="O26" i="32" l="1"/>
  <c r="O50" i="32" s="1"/>
  <c r="O45" i="32"/>
  <c r="O49" i="32"/>
  <c r="P14" i="32"/>
  <c r="P22" i="45"/>
  <c r="P23" i="45" s="1"/>
  <c r="P27" i="45"/>
  <c r="P21" i="32"/>
  <c r="P22" i="32" s="1"/>
  <c r="P48" i="32"/>
  <c r="P45" i="45" l="1"/>
  <c r="Q14" i="45"/>
  <c r="P49" i="45"/>
  <c r="P47" i="45"/>
  <c r="Q13" i="45"/>
  <c r="P51" i="45"/>
  <c r="P25" i="45"/>
  <c r="P26" i="45"/>
  <c r="P50" i="45" s="1"/>
  <c r="P47" i="32"/>
  <c r="Q13" i="32"/>
  <c r="Q20" i="32" s="1"/>
  <c r="P23" i="32"/>
  <c r="P49" i="32" s="1"/>
  <c r="P51" i="32"/>
  <c r="P25" i="32"/>
  <c r="P46" i="32"/>
  <c r="P27" i="32"/>
  <c r="Q20" i="45" l="1"/>
  <c r="P26" i="32"/>
  <c r="P50" i="32" s="1"/>
  <c r="P45" i="32"/>
  <c r="Q14" i="32"/>
  <c r="Q48" i="32"/>
  <c r="Q21" i="45" l="1"/>
  <c r="Q22" i="45" s="1"/>
  <c r="Q23" i="45" s="1"/>
  <c r="Q48" i="45"/>
  <c r="Q21" i="32"/>
  <c r="Q25" i="45" l="1"/>
  <c r="Q49" i="45"/>
  <c r="Q45" i="45"/>
  <c r="R14" i="45"/>
  <c r="Q26" i="45"/>
  <c r="Q50" i="45" s="1"/>
  <c r="Q47" i="45"/>
  <c r="R13" i="45"/>
  <c r="Q51" i="45"/>
  <c r="Q46" i="45"/>
  <c r="Q27" i="45"/>
  <c r="Q46" i="32"/>
  <c r="Q22" i="32"/>
  <c r="Q23" i="32" s="1"/>
  <c r="Q27" i="32"/>
  <c r="R20" i="45" l="1"/>
  <c r="R21" i="45" s="1"/>
  <c r="R46" i="45" s="1"/>
  <c r="Q26" i="32"/>
  <c r="Q50" i="32" s="1"/>
  <c r="Q49" i="32"/>
  <c r="R14" i="32"/>
  <c r="Q45" i="32"/>
  <c r="Q51" i="32"/>
  <c r="Q47" i="32"/>
  <c r="Q25" i="32"/>
  <c r="R13" i="32"/>
  <c r="R20" i="32" s="1"/>
  <c r="R27" i="45" l="1"/>
  <c r="R48" i="45"/>
  <c r="R22" i="45"/>
  <c r="R25" i="45" s="1"/>
  <c r="R21" i="32"/>
  <c r="R27" i="32" s="1"/>
  <c r="R48" i="32"/>
  <c r="R23" i="45" l="1"/>
  <c r="R45" i="45" s="1"/>
  <c r="R47" i="45"/>
  <c r="S13" i="45"/>
  <c r="R51" i="45"/>
  <c r="R49" i="45"/>
  <c r="R46" i="32"/>
  <c r="R22" i="32"/>
  <c r="R26" i="45" l="1"/>
  <c r="R50" i="45" s="1"/>
  <c r="S14" i="45"/>
  <c r="S20" i="45"/>
  <c r="R25" i="32"/>
  <c r="S13" i="32"/>
  <c r="S20" i="32" s="1"/>
  <c r="R47" i="32"/>
  <c r="R23" i="32"/>
  <c r="R26" i="32" s="1"/>
  <c r="R50" i="32" s="1"/>
  <c r="R51" i="32"/>
  <c r="S21" i="45" l="1"/>
  <c r="S22" i="45" s="1"/>
  <c r="S48" i="45"/>
  <c r="R45" i="32"/>
  <c r="S14" i="32"/>
  <c r="S21" i="32" s="1"/>
  <c r="R49" i="32"/>
  <c r="S48" i="32"/>
  <c r="S27" i="32" l="1"/>
  <c r="S51" i="45"/>
  <c r="S47" i="45"/>
  <c r="T13" i="45"/>
  <c r="S25" i="45"/>
  <c r="S23" i="45"/>
  <c r="S49" i="45" s="1"/>
  <c r="S46" i="45"/>
  <c r="S27" i="45"/>
  <c r="S22" i="32"/>
  <c r="S23" i="32" s="1"/>
  <c r="S46" i="32"/>
  <c r="S49" i="32" l="1"/>
  <c r="T14" i="32"/>
  <c r="S26" i="32"/>
  <c r="S50" i="32" s="1"/>
  <c r="S45" i="32"/>
  <c r="S26" i="45"/>
  <c r="S50" i="45" s="1"/>
  <c r="S45" i="45"/>
  <c r="T14" i="45"/>
  <c r="T20" i="45"/>
  <c r="S47" i="32"/>
  <c r="S51" i="32"/>
  <c r="S25" i="32"/>
  <c r="T13" i="32"/>
  <c r="T20" i="32" s="1"/>
  <c r="T48" i="32" s="1"/>
  <c r="T21" i="32" l="1"/>
  <c r="T22" i="32" s="1"/>
  <c r="T21" i="45"/>
  <c r="T48" i="45"/>
  <c r="T27" i="32" l="1"/>
  <c r="T46" i="32"/>
  <c r="T22" i="45"/>
  <c r="T46" i="45"/>
  <c r="T27" i="45"/>
  <c r="T25" i="32"/>
  <c r="T47" i="32"/>
  <c r="U13" i="32"/>
  <c r="T51" i="32"/>
  <c r="T23" i="32"/>
  <c r="T23" i="45" l="1"/>
  <c r="T26" i="45" s="1"/>
  <c r="T50" i="45" s="1"/>
  <c r="T47" i="45"/>
  <c r="U13" i="45"/>
  <c r="T51" i="45"/>
  <c r="T25" i="45"/>
  <c r="T45" i="32"/>
  <c r="U14" i="32"/>
  <c r="T49" i="32"/>
  <c r="T26" i="32"/>
  <c r="T50" i="32" s="1"/>
  <c r="U20" i="32"/>
  <c r="U20" i="45" l="1"/>
  <c r="T49" i="45"/>
  <c r="T45" i="45"/>
  <c r="U14" i="45"/>
  <c r="U48" i="32"/>
  <c r="U21" i="32"/>
  <c r="U22" i="32" s="1"/>
  <c r="U21" i="45" l="1"/>
  <c r="U48" i="45"/>
  <c r="U47" i="32"/>
  <c r="V13" i="32"/>
  <c r="U51" i="32"/>
  <c r="U25" i="32"/>
  <c r="U23" i="32"/>
  <c r="U46" i="32"/>
  <c r="U27" i="32"/>
  <c r="U22" i="45" l="1"/>
  <c r="U46" i="45"/>
  <c r="U27" i="45"/>
  <c r="U45" i="32"/>
  <c r="V14" i="32"/>
  <c r="U49" i="32"/>
  <c r="U26" i="32"/>
  <c r="U50" i="32" s="1"/>
  <c r="V20" i="32"/>
  <c r="U47" i="45" l="1"/>
  <c r="V13" i="45"/>
  <c r="U51" i="45"/>
  <c r="U25" i="45"/>
  <c r="U23" i="45"/>
  <c r="U26" i="45" s="1"/>
  <c r="U50" i="45" s="1"/>
  <c r="V48" i="32"/>
  <c r="V21" i="32"/>
  <c r="V22" i="32" s="1"/>
  <c r="U49" i="45" l="1"/>
  <c r="U45" i="45"/>
  <c r="V14" i="45"/>
  <c r="V20" i="45"/>
  <c r="V47" i="32"/>
  <c r="W13" i="32"/>
  <c r="V51" i="32"/>
  <c r="V25" i="32"/>
  <c r="V23" i="32"/>
  <c r="V49" i="32" s="1"/>
  <c r="V46" i="32"/>
  <c r="V27" i="32"/>
  <c r="V48" i="45" l="1"/>
  <c r="V21" i="45"/>
  <c r="V22" i="45" s="1"/>
  <c r="V25" i="45" s="1"/>
  <c r="V45" i="32"/>
  <c r="W14" i="32"/>
  <c r="V26" i="32"/>
  <c r="V50" i="32" s="1"/>
  <c r="W20" i="32"/>
  <c r="V23" i="45" l="1"/>
  <c r="V47" i="45"/>
  <c r="W13" i="45"/>
  <c r="V51" i="45"/>
  <c r="V46" i="45"/>
  <c r="V27" i="45"/>
  <c r="W48" i="32"/>
  <c r="W21" i="32"/>
  <c r="W20" i="45" l="1"/>
  <c r="W14" i="45"/>
  <c r="V45" i="45"/>
  <c r="V26" i="45"/>
  <c r="V50" i="45" s="1"/>
  <c r="V49" i="45"/>
  <c r="W22" i="32"/>
  <c r="W23" i="32" s="1"/>
  <c r="W46" i="32"/>
  <c r="W27" i="32"/>
  <c r="W21" i="45" l="1"/>
  <c r="W46" i="45" s="1"/>
  <c r="W48" i="45"/>
  <c r="W26" i="32"/>
  <c r="W50" i="32" s="1"/>
  <c r="W45" i="32"/>
  <c r="X14" i="32"/>
  <c r="W49" i="32"/>
  <c r="W47" i="32"/>
  <c r="X13" i="32"/>
  <c r="W51" i="32"/>
  <c r="W25" i="32"/>
  <c r="W22" i="45" l="1"/>
  <c r="W27" i="45"/>
  <c r="X20" i="32"/>
  <c r="W47" i="45" l="1"/>
  <c r="X13" i="45"/>
  <c r="W51" i="45"/>
  <c r="W25" i="45"/>
  <c r="W23" i="45"/>
  <c r="X21" i="32"/>
  <c r="X27" i="32" s="1"/>
  <c r="X48" i="32"/>
  <c r="W45" i="45" l="1"/>
  <c r="X14" i="45"/>
  <c r="W49" i="45"/>
  <c r="W26" i="45"/>
  <c r="W50" i="45" s="1"/>
  <c r="X20" i="45"/>
  <c r="X22" i="32"/>
  <c r="X46" i="32"/>
  <c r="X21" i="45" l="1"/>
  <c r="X46" i="45" s="1"/>
  <c r="X48" i="45"/>
  <c r="X47" i="32"/>
  <c r="Y13" i="32"/>
  <c r="X23" i="32"/>
  <c r="X26" i="32" s="1"/>
  <c r="X50" i="32" s="1"/>
  <c r="X25" i="32"/>
  <c r="X51" i="32"/>
  <c r="X22" i="45" l="1"/>
  <c r="X23" i="45" s="1"/>
  <c r="X27" i="45"/>
  <c r="Y20" i="32"/>
  <c r="Y14" i="32"/>
  <c r="X45" i="32"/>
  <c r="X49" i="32"/>
  <c r="X26" i="45" l="1"/>
  <c r="X50" i="45" s="1"/>
  <c r="X49" i="45"/>
  <c r="X51" i="45"/>
  <c r="X25" i="45"/>
  <c r="Y13" i="45"/>
  <c r="X47" i="45"/>
  <c r="Y20" i="45"/>
  <c r="X45" i="45"/>
  <c r="Y14" i="45"/>
  <c r="Y48" i="32"/>
  <c r="Y21" i="32"/>
  <c r="Y21" i="45" l="1"/>
  <c r="Y46" i="45" s="1"/>
  <c r="Y48" i="45"/>
  <c r="Y22" i="32"/>
  <c r="Y23" i="32" s="1"/>
  <c r="Y49" i="32" s="1"/>
  <c r="Y46" i="32"/>
  <c r="Y27" i="32"/>
  <c r="Y22" i="45" l="1"/>
  <c r="Y27" i="45"/>
  <c r="Y26" i="32"/>
  <c r="Y50" i="32" s="1"/>
  <c r="Y45" i="32"/>
  <c r="Z14" i="32"/>
  <c r="Z13" i="32"/>
  <c r="Y47" i="32"/>
  <c r="Y51" i="32"/>
  <c r="Y25" i="32"/>
  <c r="Y23" i="45" l="1"/>
  <c r="Y47" i="45"/>
  <c r="Z13" i="45"/>
  <c r="Y51" i="45"/>
  <c r="Y25" i="45"/>
  <c r="Y26" i="45"/>
  <c r="Y50" i="45" s="1"/>
  <c r="Z20" i="32"/>
  <c r="Z20" i="45" l="1"/>
  <c r="Y45" i="45"/>
  <c r="Z14" i="45"/>
  <c r="Y49" i="45"/>
  <c r="Z48" i="32"/>
  <c r="Z21" i="32"/>
  <c r="Z48" i="45" l="1"/>
  <c r="Z21" i="45"/>
  <c r="Z22" i="32"/>
  <c r="Z46" i="32"/>
  <c r="Z27" i="32"/>
  <c r="Z22" i="45" l="1"/>
  <c r="Z47" i="45" s="1"/>
  <c r="Z27" i="45"/>
  <c r="Z46" i="45"/>
  <c r="Z25" i="32"/>
  <c r="AA13" i="32"/>
  <c r="Z47" i="32"/>
  <c r="Z51" i="32"/>
  <c r="Z23" i="32"/>
  <c r="Z51" i="45" l="1"/>
  <c r="AA13" i="45"/>
  <c r="AA20" i="45" s="1"/>
  <c r="Z25" i="45"/>
  <c r="Z23" i="45"/>
  <c r="Z49" i="32"/>
  <c r="Z45" i="32"/>
  <c r="AA14" i="32"/>
  <c r="AA20" i="32"/>
  <c r="Z26" i="32"/>
  <c r="Z50" i="32" s="1"/>
  <c r="Z49" i="45" l="1"/>
  <c r="Z45" i="45"/>
  <c r="AA14" i="45"/>
  <c r="Z26" i="45"/>
  <c r="Z50" i="45" s="1"/>
  <c r="AA48" i="45"/>
  <c r="AA21" i="45"/>
  <c r="AA22" i="45" s="1"/>
  <c r="AA23" i="45" s="1"/>
  <c r="AA21" i="32"/>
  <c r="AA46" i="32" s="1"/>
  <c r="AA48" i="32"/>
  <c r="AA25" i="45" l="1"/>
  <c r="AA22" i="32"/>
  <c r="AA23" i="32" s="1"/>
  <c r="AB14" i="32" s="1"/>
  <c r="AA27" i="32"/>
  <c r="AA45" i="45"/>
  <c r="AB14" i="45"/>
  <c r="AA26" i="45"/>
  <c r="AA50" i="45" s="1"/>
  <c r="AA47" i="45"/>
  <c r="AB13" i="45"/>
  <c r="AA51" i="45"/>
  <c r="AA46" i="45"/>
  <c r="AA27" i="45"/>
  <c r="AA49" i="45"/>
  <c r="AA26" i="32" l="1"/>
  <c r="AA50" i="32" s="1"/>
  <c r="AA25" i="32"/>
  <c r="AA45" i="32"/>
  <c r="AA51" i="32"/>
  <c r="AB13" i="32"/>
  <c r="AB20" i="32" s="1"/>
  <c r="AA47" i="32"/>
  <c r="AA49" i="32"/>
  <c r="AB20" i="45"/>
  <c r="AB48" i="45" l="1"/>
  <c r="AB21" i="45"/>
  <c r="AB22" i="45" s="1"/>
  <c r="AB23" i="45" s="1"/>
  <c r="AB48" i="32"/>
  <c r="AB21" i="32"/>
  <c r="AB45" i="45" l="1"/>
  <c r="AC14" i="45"/>
  <c r="AB26" i="45"/>
  <c r="AB50" i="45" s="1"/>
  <c r="AB47" i="45"/>
  <c r="AC13" i="45"/>
  <c r="AB51" i="45"/>
  <c r="AB25" i="45"/>
  <c r="AB46" i="45"/>
  <c r="AB27" i="45"/>
  <c r="AB49" i="45"/>
  <c r="AB46" i="32"/>
  <c r="AB27" i="32"/>
  <c r="AB22" i="32"/>
  <c r="AC13" i="32" s="1"/>
  <c r="AC20" i="45" l="1"/>
  <c r="AC20" i="32"/>
  <c r="AB47" i="32"/>
  <c r="AB51" i="32"/>
  <c r="AB25" i="32"/>
  <c r="AB23" i="32"/>
  <c r="AC14" i="32" s="1"/>
  <c r="AC48" i="45" l="1"/>
  <c r="AC21" i="45"/>
  <c r="AC48" i="32"/>
  <c r="AC21" i="32"/>
  <c r="AC46" i="32" s="1"/>
  <c r="AB26" i="32"/>
  <c r="AB50" i="32" s="1"/>
  <c r="AB45" i="32"/>
  <c r="AB49" i="32"/>
  <c r="AC22" i="45" l="1"/>
  <c r="AC46" i="45"/>
  <c r="AC27" i="45"/>
  <c r="AC22" i="32"/>
  <c r="AC27" i="32"/>
  <c r="AC23" i="32" l="1"/>
  <c r="AC49" i="32" s="1"/>
  <c r="AC47" i="45"/>
  <c r="AD13" i="45"/>
  <c r="AC51" i="45"/>
  <c r="AC25" i="45"/>
  <c r="AC23" i="45"/>
  <c r="AD13" i="32"/>
  <c r="AC47" i="32"/>
  <c r="AC51" i="32"/>
  <c r="AC25" i="32"/>
  <c r="AC45" i="32" l="1"/>
  <c r="AD14" i="32"/>
  <c r="AC26" i="32"/>
  <c r="AC50" i="32" s="1"/>
  <c r="AC26" i="45"/>
  <c r="AC50" i="45" s="1"/>
  <c r="AC45" i="45"/>
  <c r="AD14" i="45"/>
  <c r="AC49" i="45"/>
  <c r="AD20" i="45"/>
  <c r="AD20" i="32"/>
  <c r="AD21" i="45" l="1"/>
  <c r="AD46" i="45" s="1"/>
  <c r="AD48" i="45"/>
  <c r="AD22" i="45"/>
  <c r="AD25" i="45" s="1"/>
  <c r="AD27" i="45"/>
  <c r="AD21" i="32"/>
  <c r="AD22" i="32" s="1"/>
  <c r="AD48" i="32"/>
  <c r="AD51" i="45" l="1"/>
  <c r="AD25" i="32"/>
  <c r="AD51" i="32"/>
  <c r="AD27" i="32"/>
  <c r="AD23" i="32"/>
  <c r="AE14" i="32" s="1"/>
  <c r="AD23" i="45"/>
  <c r="AD47" i="45"/>
  <c r="AE13" i="32"/>
  <c r="AD47" i="32"/>
  <c r="AD46" i="32"/>
  <c r="AD49" i="32" l="1"/>
  <c r="AD45" i="32"/>
  <c r="AD26" i="32"/>
  <c r="AD50" i="32" s="1"/>
  <c r="AD49" i="45"/>
  <c r="AD45" i="45"/>
  <c r="AD26" i="45"/>
  <c r="AD50" i="45" s="1"/>
  <c r="AE20" i="32"/>
  <c r="AE21" i="32" s="1"/>
  <c r="AE46" i="32" s="1"/>
  <c r="AE27" i="32" l="1"/>
  <c r="AE48" i="32"/>
  <c r="AE22" i="32"/>
  <c r="AE47" i="32" l="1"/>
  <c r="AE51" i="32"/>
  <c r="AE23" i="32"/>
  <c r="AE25" i="32"/>
  <c r="AE45" i="32" l="1"/>
  <c r="AE49" i="32"/>
  <c r="AE26" i="32"/>
  <c r="AE50" i="32" s="1"/>
</calcChain>
</file>

<file path=xl/sharedStrings.xml><?xml version="1.0" encoding="utf-8"?>
<sst xmlns="http://schemas.openxmlformats.org/spreadsheetml/2006/main" count="251" uniqueCount="92">
  <si>
    <t>RPS Target (%)</t>
  </si>
  <si>
    <t>RPS Requirement (MWh)</t>
  </si>
  <si>
    <t>RPS Requirement</t>
  </si>
  <si>
    <t>Available Resources</t>
  </si>
  <si>
    <t>Use of Available Resources</t>
  </si>
  <si>
    <t>Unbundled Bank (T-1)</t>
  </si>
  <si>
    <t>Bundled Bank (T-1)</t>
  </si>
  <si>
    <t>Unbundled (T-0)</t>
  </si>
  <si>
    <t>Bundled (T-0)</t>
  </si>
  <si>
    <t>Percentage Unbundled Surrendered</t>
  </si>
  <si>
    <t>Net Compliance Position</t>
  </si>
  <si>
    <t>Unused Bank</t>
  </si>
  <si>
    <t>New REC Purchases (MWh)</t>
  </si>
  <si>
    <t>Existing Resource Bundled RECs (MWh)</t>
  </si>
  <si>
    <t>RPS Compliance Chart Data (GWh)</t>
  </si>
  <si>
    <t>Requirement</t>
  </si>
  <si>
    <t>Bundled Surrendered</t>
  </si>
  <si>
    <t>Bundled Bank Surrendered</t>
  </si>
  <si>
    <t>Unbundled Bank Surrendered</t>
  </si>
  <si>
    <t>Shortfall</t>
  </si>
  <si>
    <t>Year-end Bundled Bank Balance</t>
  </si>
  <si>
    <t>Year-end Unbundled Bank Balance</t>
  </si>
  <si>
    <t>ID</t>
  </si>
  <si>
    <t>WY</t>
  </si>
  <si>
    <t>WA</t>
  </si>
  <si>
    <t>OR</t>
  </si>
  <si>
    <t>UT</t>
  </si>
  <si>
    <t>Unbundled Bank (Unlimited)</t>
  </si>
  <si>
    <t>Bundled Bank (Unlimited)</t>
  </si>
  <si>
    <t>CA</t>
  </si>
  <si>
    <t>Total</t>
  </si>
  <si>
    <t>MWh</t>
  </si>
  <si>
    <t>Retail Sales Post-DSM (MWh)</t>
  </si>
  <si>
    <t>Unbundled Surrendered</t>
  </si>
  <si>
    <t>Allocated Energy by SG Factor</t>
  </si>
  <si>
    <t>Base Portfolio Resources (MWh)</t>
  </si>
  <si>
    <t>Assume base case portfolio included</t>
  </si>
  <si>
    <t>OR (T-0)</t>
  </si>
  <si>
    <t>2016 Retail Sales (MWh)</t>
  </si>
  <si>
    <t>2017 Retail Sales (MWh)</t>
  </si>
  <si>
    <t>CP3</t>
  </si>
  <si>
    <t>CP4</t>
  </si>
  <si>
    <t>RPS Targets (Percentages)</t>
  </si>
  <si>
    <t>Oregon</t>
  </si>
  <si>
    <t>Washington</t>
  </si>
  <si>
    <t>California</t>
  </si>
  <si>
    <t>INCREMENTAL</t>
  </si>
  <si>
    <t>BIG FORK</t>
  </si>
  <si>
    <t>COPCO 1</t>
  </si>
  <si>
    <t>CUTLER</t>
  </si>
  <si>
    <t>JC BOYLE</t>
  </si>
  <si>
    <t>LEMOLO 1</t>
  </si>
  <si>
    <t>LEMOLO 2</t>
  </si>
  <si>
    <t>ONEIDA</t>
  </si>
  <si>
    <t>PIONEER</t>
  </si>
  <si>
    <t>PROSPECT 2</t>
  </si>
  <si>
    <t>PROSPECT 3</t>
  </si>
  <si>
    <t>YALE</t>
  </si>
  <si>
    <t>Check</t>
  </si>
  <si>
    <t>s/b  0.00</t>
  </si>
  <si>
    <t>Actual</t>
  </si>
  <si>
    <t>Forecast</t>
  </si>
  <si>
    <t>Actuals</t>
  </si>
  <si>
    <t>x</t>
  </si>
  <si>
    <t>Bank</t>
  </si>
  <si>
    <t>BASE</t>
  </si>
  <si>
    <t>PROXY</t>
  </si>
  <si>
    <t>OR - Bundled</t>
  </si>
  <si>
    <t>CA - Bundled</t>
  </si>
  <si>
    <t>WA - Bundled</t>
  </si>
  <si>
    <t>Unbundled</t>
  </si>
  <si>
    <t>OR - Unbundled</t>
  </si>
  <si>
    <t>CA - Unbundled</t>
  </si>
  <si>
    <t>WA - Unbundled</t>
  </si>
  <si>
    <t>IRP DATA</t>
  </si>
  <si>
    <t>A -Linked to Base</t>
  </si>
  <si>
    <t>A - Linked to Proxy</t>
  </si>
  <si>
    <t>A - Linked to Targets</t>
  </si>
  <si>
    <t>A - Linked to Retail Sales</t>
  </si>
  <si>
    <t>A - Linked to Base (Unbundled)</t>
  </si>
  <si>
    <t>A - Linked to Base (Bundled)</t>
  </si>
  <si>
    <t>ACTUALS</t>
  </si>
  <si>
    <t>Figure</t>
  </si>
  <si>
    <t>IRP RE Inputs</t>
  </si>
  <si>
    <t>Retail Sales</t>
  </si>
  <si>
    <t>Inc Hydro</t>
  </si>
  <si>
    <t>Oregon RPS</t>
  </si>
  <si>
    <t>Washington RPS</t>
  </si>
  <si>
    <t>California RPS</t>
  </si>
  <si>
    <t>Targets</t>
  </si>
  <si>
    <t>``</t>
  </si>
  <si>
    <t>2025--2044 Updated 12-23-24 OR-CA-WA IRP PP 106957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</si>
</sst>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[$-409]mmmm\-yy;@"/>
    <numFmt numFmtId="166" formatCode="[$-409]mmm\-yy;@"/>
    <numFmt numFmtId="167" formatCode="0_);\(0\)"/>
    <numFmt numFmtId="168" formatCode="_(* #,##0_);_(* \(#,##0\);_(* &quot;-&quot;??_);_(@_)"/>
    <numFmt numFmtId="169" formatCode="_(* #,##0_);[Red]_(* \(#,##0\);_(* &quot;-&quot;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theme="1"/>
      <name val="Times New Roman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3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5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24" borderId="0" applyNumberFormat="0" applyBorder="0" applyAlignment="0" applyProtection="0"/>
    <xf numFmtId="0" fontId="4" fillId="17" borderId="0" applyNumberFormat="0" applyBorder="0" applyAlignment="0" applyProtection="0"/>
    <xf numFmtId="0" fontId="4" fillId="25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2" applyNumberFormat="0" applyAlignment="0" applyProtection="0"/>
    <xf numFmtId="0" fontId="7" fillId="3" borderId="2" applyNumberFormat="0" applyAlignment="0" applyProtection="0"/>
    <xf numFmtId="0" fontId="8" fillId="26" borderId="3" applyNumberFormat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2" applyNumberFormat="0" applyAlignment="0" applyProtection="0"/>
    <xf numFmtId="0" fontId="20" fillId="0" borderId="9" applyNumberFormat="0" applyFill="0" applyAlignment="0" applyProtection="0"/>
    <xf numFmtId="0" fontId="21" fillId="14" borderId="0" applyNumberFormat="0" applyBorder="0" applyAlignment="0" applyProtection="0"/>
    <xf numFmtId="165" fontId="1" fillId="0" borderId="0"/>
    <xf numFmtId="0" fontId="1" fillId="0" borderId="0"/>
    <xf numFmtId="0" fontId="2" fillId="0" borderId="0"/>
    <xf numFmtId="0" fontId="22" fillId="0" borderId="0"/>
    <xf numFmtId="0" fontId="9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9" fillId="0" borderId="0"/>
    <xf numFmtId="41" fontId="2" fillId="0" borderId="0"/>
    <xf numFmtId="0" fontId="2" fillId="0" borderId="0"/>
    <xf numFmtId="0" fontId="10" fillId="0" borderId="0"/>
    <xf numFmtId="0" fontId="2" fillId="7" borderId="10" applyNumberFormat="0" applyFont="0" applyAlignment="0" applyProtection="0"/>
    <xf numFmtId="0" fontId="23" fillId="11" borderId="11" applyNumberFormat="0" applyAlignment="0" applyProtection="0"/>
    <xf numFmtId="0" fontId="23" fillId="3" borderId="11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6" fillId="0" borderId="13" applyNumberFormat="0" applyFill="0" applyAlignment="0" applyProtection="0"/>
    <xf numFmtId="0" fontId="27" fillId="0" borderId="0" applyNumberFormat="0" applyFill="0" applyBorder="0" applyAlignment="0" applyProtection="0"/>
    <xf numFmtId="166" fontId="22" fillId="0" borderId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0" fillId="0" borderId="0" xfId="91" applyFont="1" applyFill="1"/>
    <xf numFmtId="0" fontId="31" fillId="0" borderId="0" xfId="0" applyFont="1"/>
    <xf numFmtId="0" fontId="32" fillId="0" borderId="0" xfId="0" applyFont="1"/>
    <xf numFmtId="0" fontId="29" fillId="0" borderId="0" xfId="0" applyFont="1"/>
    <xf numFmtId="169" fontId="30" fillId="0" borderId="0" xfId="91" applyNumberFormat="1" applyFont="1" applyFill="1" applyAlignment="1">
      <alignment horizontal="left" vertical="center"/>
    </xf>
    <xf numFmtId="1" fontId="30" fillId="0" borderId="0" xfId="91" applyNumberFormat="1" applyFont="1" applyFill="1"/>
    <xf numFmtId="1" fontId="31" fillId="0" borderId="0" xfId="0" applyNumberFormat="1" applyFont="1"/>
    <xf numFmtId="3" fontId="31" fillId="0" borderId="0" xfId="0" applyNumberFormat="1" applyFont="1" applyAlignment="1">
      <alignment horizontal="center"/>
    </xf>
    <xf numFmtId="3" fontId="31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3" fillId="0" borderId="1" xfId="0" applyFont="1" applyBorder="1"/>
    <xf numFmtId="9" fontId="31" fillId="0" borderId="0" xfId="0" applyNumberFormat="1" applyFont="1" applyAlignment="1">
      <alignment horizontal="center"/>
    </xf>
    <xf numFmtId="0" fontId="31" fillId="0" borderId="0" xfId="0" applyFont="1" applyAlignment="1">
      <alignment horizontal="right"/>
    </xf>
    <xf numFmtId="168" fontId="31" fillId="0" borderId="0" xfId="92" applyNumberFormat="1" applyFont="1" applyFill="1"/>
    <xf numFmtId="3" fontId="31" fillId="0" borderId="0" xfId="0" applyNumberFormat="1" applyFont="1"/>
    <xf numFmtId="0" fontId="34" fillId="0" borderId="0" xfId="0" applyFont="1"/>
    <xf numFmtId="164" fontId="31" fillId="0" borderId="0" xfId="1" applyNumberFormat="1" applyFont="1" applyFill="1" applyAlignment="1">
      <alignment horizontal="center"/>
    </xf>
    <xf numFmtId="37" fontId="31" fillId="0" borderId="0" xfId="0" applyNumberFormat="1" applyFont="1" applyAlignment="1">
      <alignment horizontal="center"/>
    </xf>
    <xf numFmtId="167" fontId="31" fillId="0" borderId="0" xfId="0" applyNumberFormat="1" applyFont="1"/>
    <xf numFmtId="10" fontId="31" fillId="0" borderId="0" xfId="1" applyNumberFormat="1" applyFont="1" applyFill="1"/>
    <xf numFmtId="0" fontId="31" fillId="0" borderId="1" xfId="0" applyFont="1" applyBorder="1"/>
    <xf numFmtId="10" fontId="31" fillId="0" borderId="0" xfId="0" applyNumberFormat="1" applyFont="1" applyAlignment="1">
      <alignment horizontal="center"/>
    </xf>
    <xf numFmtId="37" fontId="31" fillId="0" borderId="0" xfId="0" applyNumberFormat="1" applyFont="1"/>
    <xf numFmtId="37" fontId="31" fillId="0" borderId="0" xfId="0" quotePrefix="1" applyNumberFormat="1" applyFont="1"/>
    <xf numFmtId="168" fontId="31" fillId="0" borderId="0" xfId="0" applyNumberFormat="1" applyFont="1"/>
    <xf numFmtId="0" fontId="32" fillId="0" borderId="1" xfId="0" applyFont="1" applyBorder="1"/>
    <xf numFmtId="3" fontId="31" fillId="0" borderId="0" xfId="0" applyNumberFormat="1" applyFont="1" applyAlignment="1">
      <alignment horizontal="left"/>
    </xf>
    <xf numFmtId="0" fontId="29" fillId="0" borderId="15" xfId="0" applyFont="1" applyBorder="1"/>
    <xf numFmtId="164" fontId="29" fillId="0" borderId="1" xfId="1" applyNumberFormat="1" applyFont="1" applyFill="1" applyBorder="1" applyAlignment="1">
      <alignment horizontal="center"/>
    </xf>
    <xf numFmtId="10" fontId="29" fillId="0" borderId="1" xfId="1" applyNumberFormat="1" applyFont="1" applyFill="1" applyBorder="1" applyAlignment="1">
      <alignment horizontal="center"/>
    </xf>
    <xf numFmtId="0" fontId="35" fillId="0" borderId="14" xfId="0" applyFont="1" applyBorder="1"/>
    <xf numFmtId="0" fontId="35" fillId="0" borderId="1" xfId="0" applyFont="1" applyBorder="1" applyAlignment="1">
      <alignment horizontal="center"/>
    </xf>
    <xf numFmtId="0" fontId="29" fillId="0" borderId="16" xfId="0" applyFont="1" applyBorder="1"/>
    <xf numFmtId="3" fontId="29" fillId="0" borderId="1" xfId="1" applyNumberFormat="1" applyFont="1" applyFill="1" applyBorder="1"/>
    <xf numFmtId="0" fontId="36" fillId="0" borderId="1" xfId="0" applyFont="1" applyBorder="1" applyAlignment="1">
      <alignment horizontal="center"/>
    </xf>
    <xf numFmtId="10" fontId="31" fillId="0" borderId="0" xfId="0" applyNumberFormat="1" applyFont="1"/>
    <xf numFmtId="10" fontId="36" fillId="0" borderId="0" xfId="0" applyNumberFormat="1" applyFont="1"/>
    <xf numFmtId="0" fontId="31" fillId="0" borderId="0" xfId="0" applyFont="1" applyAlignment="1">
      <alignment wrapText="1"/>
    </xf>
    <xf numFmtId="1" fontId="31" fillId="0" borderId="0" xfId="0" applyNumberFormat="1" applyFont="1" applyAlignment="1">
      <alignment wrapText="1"/>
    </xf>
    <xf numFmtId="0" fontId="31" fillId="0" borderId="0" xfId="0" applyFont="1" applyBorder="1"/>
    <xf numFmtId="0" fontId="31" fillId="0" borderId="0" xfId="0" applyFont="1" applyBorder="1" applyAlignment="1">
      <alignment horizontal="center"/>
    </xf>
  </cellXfs>
  <cellStyles count="93">
    <cellStyle name="20% - Accent1 2" xfId="4" xr:uid="{00000000-0005-0000-0000-000000000000}"/>
    <cellStyle name="20% - Accent1 3" xfId="5" xr:uid="{00000000-0005-0000-0000-000001000000}"/>
    <cellStyle name="20% - Accent2 2" xfId="6" xr:uid="{00000000-0005-0000-0000-000002000000}"/>
    <cellStyle name="20% - Accent2 3" xfId="7" xr:uid="{00000000-0005-0000-0000-000003000000}"/>
    <cellStyle name="20% - Accent3 2" xfId="8" xr:uid="{00000000-0005-0000-0000-000004000000}"/>
    <cellStyle name="20% - Accent3 3" xfId="9" xr:uid="{00000000-0005-0000-0000-000005000000}"/>
    <cellStyle name="20% - Accent4 2" xfId="10" xr:uid="{00000000-0005-0000-0000-000006000000}"/>
    <cellStyle name="20% - Accent4 3" xfId="11" xr:uid="{00000000-0005-0000-0000-000007000000}"/>
    <cellStyle name="20% - Accent5 2" xfId="12" xr:uid="{00000000-0005-0000-0000-000008000000}"/>
    <cellStyle name="20% - Accent6 2" xfId="13" xr:uid="{00000000-0005-0000-0000-000009000000}"/>
    <cellStyle name="40% - Accent1 2" xfId="14" xr:uid="{00000000-0005-0000-0000-00000A000000}"/>
    <cellStyle name="40% - Accent1 3" xfId="15" xr:uid="{00000000-0005-0000-0000-00000B000000}"/>
    <cellStyle name="40% - Accent2 2" xfId="16" xr:uid="{00000000-0005-0000-0000-00000C000000}"/>
    <cellStyle name="40% - Accent3 2" xfId="17" xr:uid="{00000000-0005-0000-0000-00000D000000}"/>
    <cellStyle name="40% - Accent3 3" xfId="18" xr:uid="{00000000-0005-0000-0000-00000E000000}"/>
    <cellStyle name="40% - Accent4 2" xfId="19" xr:uid="{00000000-0005-0000-0000-00000F000000}"/>
    <cellStyle name="40% - Accent4 3" xfId="20" xr:uid="{00000000-0005-0000-0000-000010000000}"/>
    <cellStyle name="40% - Accent5 2" xfId="21" xr:uid="{00000000-0005-0000-0000-000011000000}"/>
    <cellStyle name="40% - Accent6 2" xfId="22" xr:uid="{00000000-0005-0000-0000-000012000000}"/>
    <cellStyle name="40% - Accent6 3" xfId="23" xr:uid="{00000000-0005-0000-0000-000013000000}"/>
    <cellStyle name="60% - Accent1 2" xfId="24" xr:uid="{00000000-0005-0000-0000-000014000000}"/>
    <cellStyle name="60% - Accent1 3" xfId="25" xr:uid="{00000000-0005-0000-0000-000015000000}"/>
    <cellStyle name="60% - Accent2 2" xfId="26" xr:uid="{00000000-0005-0000-0000-000016000000}"/>
    <cellStyle name="60% - Accent3 2" xfId="27" xr:uid="{00000000-0005-0000-0000-000017000000}"/>
    <cellStyle name="60% - Accent3 3" xfId="28" xr:uid="{00000000-0005-0000-0000-000018000000}"/>
    <cellStyle name="60% - Accent4 2" xfId="29" xr:uid="{00000000-0005-0000-0000-000019000000}"/>
    <cellStyle name="60% - Accent4 3" xfId="30" xr:uid="{00000000-0005-0000-0000-00001A000000}"/>
    <cellStyle name="60% - Accent5 2" xfId="31" xr:uid="{00000000-0005-0000-0000-00001B000000}"/>
    <cellStyle name="60% - Accent6 2" xfId="32" xr:uid="{00000000-0005-0000-0000-00001C000000}"/>
    <cellStyle name="60% - Accent6 3" xfId="33" xr:uid="{00000000-0005-0000-0000-00001D000000}"/>
    <cellStyle name="Accent1 2" xfId="34" xr:uid="{00000000-0005-0000-0000-00001E000000}"/>
    <cellStyle name="Accent1 3" xfId="35" xr:uid="{00000000-0005-0000-0000-00001F000000}"/>
    <cellStyle name="Accent2 2" xfId="36" xr:uid="{00000000-0005-0000-0000-000020000000}"/>
    <cellStyle name="Accent2 3" xfId="37" xr:uid="{00000000-0005-0000-0000-000021000000}"/>
    <cellStyle name="Accent3 2" xfId="38" xr:uid="{00000000-0005-0000-0000-000022000000}"/>
    <cellStyle name="Accent3 3" xfId="39" xr:uid="{00000000-0005-0000-0000-000023000000}"/>
    <cellStyle name="Accent4 2" xfId="40" xr:uid="{00000000-0005-0000-0000-000024000000}"/>
    <cellStyle name="Accent4 3" xfId="41" xr:uid="{00000000-0005-0000-0000-000025000000}"/>
    <cellStyle name="Accent5 2" xfId="42" xr:uid="{00000000-0005-0000-0000-000026000000}"/>
    <cellStyle name="Accent6 2" xfId="43" xr:uid="{00000000-0005-0000-0000-000027000000}"/>
    <cellStyle name="Bad 2" xfId="44" xr:uid="{00000000-0005-0000-0000-000028000000}"/>
    <cellStyle name="Bad 3" xfId="45" xr:uid="{00000000-0005-0000-0000-000029000000}"/>
    <cellStyle name="Calculation 2" xfId="46" xr:uid="{00000000-0005-0000-0000-00002A000000}"/>
    <cellStyle name="Calculation 3" xfId="47" xr:uid="{00000000-0005-0000-0000-00002B000000}"/>
    <cellStyle name="Check Cell 2" xfId="48" xr:uid="{00000000-0005-0000-0000-00002C000000}"/>
    <cellStyle name="Comma" xfId="92" builtinId="3"/>
    <cellStyle name="Comma 2" xfId="3" xr:uid="{00000000-0005-0000-0000-00002D000000}"/>
    <cellStyle name="Comma 2 2" xfId="49" xr:uid="{00000000-0005-0000-0000-00002E000000}"/>
    <cellStyle name="Comma 3" xfId="50" xr:uid="{00000000-0005-0000-0000-00002F000000}"/>
    <cellStyle name="Comma 4" xfId="51" xr:uid="{00000000-0005-0000-0000-000030000000}"/>
    <cellStyle name="Comma 5" xfId="52" xr:uid="{00000000-0005-0000-0000-000031000000}"/>
    <cellStyle name="Explanatory Text 2" xfId="53" xr:uid="{00000000-0005-0000-0000-000032000000}"/>
    <cellStyle name="Good 2" xfId="54" xr:uid="{00000000-0005-0000-0000-000033000000}"/>
    <cellStyle name="Heading 1 2" xfId="55" xr:uid="{00000000-0005-0000-0000-000034000000}"/>
    <cellStyle name="Heading 1 3" xfId="56" xr:uid="{00000000-0005-0000-0000-000035000000}"/>
    <cellStyle name="Heading 2 2" xfId="57" xr:uid="{00000000-0005-0000-0000-000036000000}"/>
    <cellStyle name="Heading 2 3" xfId="58" xr:uid="{00000000-0005-0000-0000-000037000000}"/>
    <cellStyle name="Heading 3 2" xfId="59" xr:uid="{00000000-0005-0000-0000-000038000000}"/>
    <cellStyle name="Heading 3 3" xfId="60" xr:uid="{00000000-0005-0000-0000-000039000000}"/>
    <cellStyle name="Heading 4 2" xfId="61" xr:uid="{00000000-0005-0000-0000-00003A000000}"/>
    <cellStyle name="Heading 4 3" xfId="62" xr:uid="{00000000-0005-0000-0000-00003B000000}"/>
    <cellStyle name="Hyperlink" xfId="91" builtinId="8"/>
    <cellStyle name="Input 2" xfId="63" xr:uid="{00000000-0005-0000-0000-00003D000000}"/>
    <cellStyle name="Linked Cell 2" xfId="64" xr:uid="{00000000-0005-0000-0000-00003E000000}"/>
    <cellStyle name="Neutral 2" xfId="65" xr:uid="{00000000-0005-0000-0000-00003F000000}"/>
    <cellStyle name="Normal" xfId="0" builtinId="0"/>
    <cellStyle name="Normal 14" xfId="66" xr:uid="{00000000-0005-0000-0000-000041000000}"/>
    <cellStyle name="Normal 2" xfId="2" xr:uid="{00000000-0005-0000-0000-000042000000}"/>
    <cellStyle name="Normal 2 2" xfId="67" xr:uid="{00000000-0005-0000-0000-000043000000}"/>
    <cellStyle name="Normal 2 3" xfId="68" xr:uid="{00000000-0005-0000-0000-000044000000}"/>
    <cellStyle name="Normal 2 4" xfId="69" xr:uid="{00000000-0005-0000-0000-000045000000}"/>
    <cellStyle name="Normal 2 5" xfId="70" xr:uid="{00000000-0005-0000-0000-000046000000}"/>
    <cellStyle name="Normal 2 6" xfId="90" xr:uid="{00000000-0005-0000-0000-000047000000}"/>
    <cellStyle name="Normal 3" xfId="71" xr:uid="{00000000-0005-0000-0000-000048000000}"/>
    <cellStyle name="Normal 4" xfId="72" xr:uid="{00000000-0005-0000-0000-000049000000}"/>
    <cellStyle name="Normal 5" xfId="73" xr:uid="{00000000-0005-0000-0000-00004A000000}"/>
    <cellStyle name="Normal 5 2" xfId="74" xr:uid="{00000000-0005-0000-0000-00004B000000}"/>
    <cellStyle name="Normal 6" xfId="75" xr:uid="{00000000-0005-0000-0000-00004C000000}"/>
    <cellStyle name="Normal 7" xfId="76" xr:uid="{00000000-0005-0000-0000-00004D000000}"/>
    <cellStyle name="Normal 8" xfId="77" xr:uid="{00000000-0005-0000-0000-00004E000000}"/>
    <cellStyle name="Normal 9" xfId="78" xr:uid="{00000000-0005-0000-0000-00004F000000}"/>
    <cellStyle name="Note 2" xfId="79" xr:uid="{00000000-0005-0000-0000-000050000000}"/>
    <cellStyle name="Output 2" xfId="80" xr:uid="{00000000-0005-0000-0000-000051000000}"/>
    <cellStyle name="Output 3" xfId="81" xr:uid="{00000000-0005-0000-0000-000052000000}"/>
    <cellStyle name="Percent" xfId="1" builtinId="5"/>
    <cellStyle name="Percent 2" xfId="82" xr:uid="{00000000-0005-0000-0000-000054000000}"/>
    <cellStyle name="Percent 3" xfId="83" xr:uid="{00000000-0005-0000-0000-000055000000}"/>
    <cellStyle name="Percent 5" xfId="84" xr:uid="{00000000-0005-0000-0000-000056000000}"/>
    <cellStyle name="Title 2" xfId="85" xr:uid="{00000000-0005-0000-0000-000057000000}"/>
    <cellStyle name="Title 3" xfId="86" xr:uid="{00000000-0005-0000-0000-000058000000}"/>
    <cellStyle name="Total 2" xfId="87" xr:uid="{00000000-0005-0000-0000-000059000000}"/>
    <cellStyle name="Total 3" xfId="88" xr:uid="{00000000-0005-0000-0000-00005A000000}"/>
    <cellStyle name="Warning Text 2" xfId="89" xr:uid="{00000000-0005-0000-0000-00005B000000}"/>
  </cellStyles>
  <dxfs count="0"/>
  <tableStyles count="0" defaultTableStyle="TableStyleMedium2" defaultPivotStyle="PivotStyleLight16"/>
  <colors>
    <mruColors>
      <color rgb="FF00FFFF"/>
      <color rgb="FF00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California RPS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84184776902887"/>
          <c:y val="0.10612830350175116"/>
          <c:w val="0.86869148556430442"/>
          <c:h val="0.5326664582682088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'California RPS'!$B$47</c:f>
              <c:strCache>
                <c:ptCount val="1"/>
                <c:pt idx="0">
                  <c:v>Unbundled Surrendered</c:v>
                </c:pt>
              </c:strCache>
            </c:strRef>
          </c:tx>
          <c:spPr>
            <a:pattFill prst="ltDnDiag">
              <a:fgClr>
                <a:schemeClr val="tx2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val>
            <c:numRef>
              <c:f>'California RPS'!$K$47:$AE$47</c:f>
              <c:numCache>
                <c:formatCode>#,##0</c:formatCode>
                <c:ptCount val="21"/>
                <c:pt idx="0">
                  <c:v>86.240800321501069</c:v>
                </c:pt>
                <c:pt idx="1">
                  <c:v>85.520264545645915</c:v>
                </c:pt>
                <c:pt idx="2">
                  <c:v>84.896139117218766</c:v>
                </c:pt>
                <c:pt idx="3">
                  <c:v>81.739536609821982</c:v>
                </c:pt>
                <c:pt idx="4">
                  <c:v>80.7925544806575</c:v>
                </c:pt>
                <c:pt idx="5">
                  <c:v>90.290744945766932</c:v>
                </c:pt>
                <c:pt idx="6">
                  <c:v>209.79533569879564</c:v>
                </c:pt>
                <c:pt idx="7">
                  <c:v>180.7788923610612</c:v>
                </c:pt>
                <c:pt idx="8">
                  <c:v>167.72439815966774</c:v>
                </c:pt>
                <c:pt idx="9">
                  <c:v>180.00253855422778</c:v>
                </c:pt>
                <c:pt idx="10">
                  <c:v>180.3658349958896</c:v>
                </c:pt>
                <c:pt idx="11">
                  <c:v>183.27879214305383</c:v>
                </c:pt>
                <c:pt idx="12">
                  <c:v>175.624</c:v>
                </c:pt>
                <c:pt idx="13">
                  <c:v>186.26300000000001</c:v>
                </c:pt>
                <c:pt idx="14">
                  <c:v>187.501</c:v>
                </c:pt>
                <c:pt idx="15">
                  <c:v>203.536</c:v>
                </c:pt>
                <c:pt idx="16">
                  <c:v>210.6</c:v>
                </c:pt>
                <c:pt idx="17">
                  <c:v>168.934</c:v>
                </c:pt>
                <c:pt idx="18">
                  <c:v>147.53800000000001</c:v>
                </c:pt>
                <c:pt idx="19">
                  <c:v>160.13200000000001</c:v>
                </c:pt>
                <c:pt idx="20">
                  <c:v>154.727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9-488C-B9C4-A2B239D0A3E0}"/>
            </c:ext>
          </c:extLst>
        </c:ser>
        <c:ser>
          <c:idx val="2"/>
          <c:order val="2"/>
          <c:tx>
            <c:strRef>
              <c:f>'California RPS'!$B$45</c:f>
              <c:strCache>
                <c:ptCount val="1"/>
                <c:pt idx="0">
                  <c:v>Bundled Surrendered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'California RPS'!$K$45:$AE$45</c:f>
              <c:numCache>
                <c:formatCode>#,##0</c:formatCode>
                <c:ptCount val="21"/>
                <c:pt idx="0">
                  <c:v>105.79803840912535</c:v>
                </c:pt>
                <c:pt idx="1">
                  <c:v>99.879643876744964</c:v>
                </c:pt>
                <c:pt idx="2">
                  <c:v>109.55198843734338</c:v>
                </c:pt>
                <c:pt idx="3">
                  <c:v>144.16296624246579</c:v>
                </c:pt>
                <c:pt idx="4">
                  <c:v>171.70550077625066</c:v>
                </c:pt>
                <c:pt idx="5">
                  <c:v>232.54567389757412</c:v>
                </c:pt>
                <c:pt idx="6">
                  <c:v>225.58564869890537</c:v>
                </c:pt>
                <c:pt idx="7">
                  <c:v>251.79188506994646</c:v>
                </c:pt>
                <c:pt idx="8">
                  <c:v>259.87876351697918</c:v>
                </c:pt>
                <c:pt idx="9">
                  <c:v>244.29270423247164</c:v>
                </c:pt>
                <c:pt idx="10">
                  <c:v>241.26034563527998</c:v>
                </c:pt>
                <c:pt idx="11">
                  <c:v>236.88702276943474</c:v>
                </c:pt>
                <c:pt idx="12">
                  <c:v>242.12714114230599</c:v>
                </c:pt>
                <c:pt idx="13">
                  <c:v>230.54108469430224</c:v>
                </c:pt>
                <c:pt idx="14">
                  <c:v>228.66339334598032</c:v>
                </c:pt>
                <c:pt idx="15">
                  <c:v>213.87112006177554</c:v>
                </c:pt>
                <c:pt idx="16">
                  <c:v>205.44074326100397</c:v>
                </c:pt>
                <c:pt idx="17">
                  <c:v>247.73389899766539</c:v>
                </c:pt>
                <c:pt idx="18">
                  <c:v>269.43229886068985</c:v>
                </c:pt>
                <c:pt idx="19">
                  <c:v>258.70940016499958</c:v>
                </c:pt>
                <c:pt idx="20">
                  <c:v>263.79501444171979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69-488C-B9C4-A2B239D0A3E0}"/>
            </c:ext>
          </c:extLst>
        </c:ser>
        <c:ser>
          <c:idx val="5"/>
          <c:order val="3"/>
          <c:tx>
            <c:strRef>
              <c:f>'California RPS'!$B$48</c:f>
              <c:strCache>
                <c:ptCount val="1"/>
                <c:pt idx="0">
                  <c:v>Unbundled Bank Surrendered</c:v>
                </c:pt>
              </c:strCache>
            </c:strRef>
          </c:tx>
          <c:spPr>
            <a:pattFill prst="ltDnDiag">
              <a:fgClr>
                <a:schemeClr val="accent3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val>
            <c:numRef>
              <c:f>'California RPS'!$K$48:$AE$48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69-488C-B9C4-A2B239D0A3E0}"/>
            </c:ext>
          </c:extLst>
        </c:ser>
        <c:ser>
          <c:idx val="3"/>
          <c:order val="4"/>
          <c:tx>
            <c:strRef>
              <c:f>'California RPS'!$B$46</c:f>
              <c:strCache>
                <c:ptCount val="1"/>
                <c:pt idx="0">
                  <c:v>Bundled Bank Surrendered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'California RPS'!$K$46:$AE$46</c:f>
              <c:numCache>
                <c:formatCode>#,##0</c:formatCode>
                <c:ptCount val="21"/>
                <c:pt idx="0">
                  <c:v>163.68120097129724</c:v>
                </c:pt>
                <c:pt idx="1">
                  <c:v>189.13247451948322</c:v>
                </c:pt>
                <c:pt idx="2">
                  <c:v>197.03037559965981</c:v>
                </c:pt>
                <c:pt idx="3">
                  <c:v>183.20999902136649</c:v>
                </c:pt>
                <c:pt idx="4">
                  <c:v>171.25829027294878</c:v>
                </c:pt>
                <c:pt idx="5">
                  <c:v>116.50613729446631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2.5137063657166436E-4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69-488C-B9C4-A2B239D0A3E0}"/>
            </c:ext>
          </c:extLst>
        </c:ser>
        <c:ser>
          <c:idx val="7"/>
          <c:order val="5"/>
          <c:tx>
            <c:strRef>
              <c:f>'California RPS'!$B$51</c:f>
              <c:strCache>
                <c:ptCount val="1"/>
                <c:pt idx="0">
                  <c:v>Year-end Unbundled Bank Balance</c:v>
                </c:pt>
              </c:strCache>
            </c:strRef>
          </c:tx>
          <c:spPr>
            <a:pattFill prst="ltDnDiag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val>
            <c:numRef>
              <c:f>'California RPS'!$K$51:$AE$51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69-488C-B9C4-A2B239D0A3E0}"/>
            </c:ext>
          </c:extLst>
        </c:ser>
        <c:ser>
          <c:idx val="6"/>
          <c:order val="6"/>
          <c:tx>
            <c:strRef>
              <c:f>'California RPS'!$B$49</c:f>
              <c:strCache>
                <c:ptCount val="1"/>
                <c:pt idx="0">
                  <c:v>Year-end Bundled Bank Balance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'California RPS'!$K$49:$AE$49</c:f>
              <c:numCache>
                <c:formatCode>#,##0</c:formatCode>
                <c:ptCount val="21"/>
                <c:pt idx="0">
                  <c:v>189.13247451948322</c:v>
                </c:pt>
                <c:pt idx="1">
                  <c:v>197.03037559965981</c:v>
                </c:pt>
                <c:pt idx="2">
                  <c:v>183.20999902136649</c:v>
                </c:pt>
                <c:pt idx="3">
                  <c:v>171.25829027294878</c:v>
                </c:pt>
                <c:pt idx="4">
                  <c:v>116.50613729446631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2.5137063657166436E-4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69-488C-B9C4-A2B239D0A3E0}"/>
            </c:ext>
          </c:extLst>
        </c:ser>
        <c:ser>
          <c:idx val="0"/>
          <c:order val="7"/>
          <c:tx>
            <c:strRef>
              <c:f>'California RPS'!$B$50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'California RPS'!$K$50:$AE$50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7.4847858515568081E-5</c:v>
                </c:pt>
                <c:pt idx="6">
                  <c:v>2.0223596919095144E-4</c:v>
                </c:pt>
                <c:pt idx="7">
                  <c:v>8.5752737708389765E-5</c:v>
                </c:pt>
                <c:pt idx="8">
                  <c:v>0</c:v>
                </c:pt>
                <c:pt idx="9">
                  <c:v>1.353687077423092E-2</c:v>
                </c:pt>
                <c:pt idx="10">
                  <c:v>1.3807955252472311E-2</c:v>
                </c:pt>
                <c:pt idx="11">
                  <c:v>0.49425003152404678</c:v>
                </c:pt>
                <c:pt idx="12">
                  <c:v>0.50444151753099864</c:v>
                </c:pt>
                <c:pt idx="13">
                  <c:v>0.48398979554395194</c:v>
                </c:pt>
                <c:pt idx="14">
                  <c:v>0.50278202304849406</c:v>
                </c:pt>
                <c:pt idx="15">
                  <c:v>0.48645611983799608</c:v>
                </c:pt>
                <c:pt idx="16">
                  <c:v>0.46416011786001038</c:v>
                </c:pt>
                <c:pt idx="17">
                  <c:v>0.48817419682483887</c:v>
                </c:pt>
                <c:pt idx="18">
                  <c:v>0.4753369023083942</c:v>
                </c:pt>
                <c:pt idx="19">
                  <c:v>0.46373644052469171</c:v>
                </c:pt>
                <c:pt idx="20">
                  <c:v>0.47591255521657877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69-488C-B9C4-A2B239D0A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382970280"/>
        <c:axId val="382967536"/>
      </c:barChart>
      <c:lineChart>
        <c:grouping val="standard"/>
        <c:varyColors val="0"/>
        <c:ser>
          <c:idx val="1"/>
          <c:order val="0"/>
          <c:tx>
            <c:strRef>
              <c:f>'California RPS'!$B$44</c:f>
              <c:strCache>
                <c:ptCount val="1"/>
                <c:pt idx="0">
                  <c:v>Requirement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'California RPS'!$K$43:$AE$43</c:f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'California RPS'!$K$44:$AE$44</c:f>
              <c:numCache>
                <c:formatCode>#,##0</c:formatCode>
                <c:ptCount val="21"/>
                <c:pt idx="0">
                  <c:v>355.72003970192367</c:v>
                </c:pt>
                <c:pt idx="1">
                  <c:v>374.53238294187412</c:v>
                </c:pt>
                <c:pt idx="2">
                  <c:v>391.47850315422198</c:v>
                </c:pt>
                <c:pt idx="3">
                  <c:v>409.1125018736542</c:v>
                </c:pt>
                <c:pt idx="4">
                  <c:v>423.75634552985696</c:v>
                </c:pt>
                <c:pt idx="5">
                  <c:v>439.34263098566589</c:v>
                </c:pt>
                <c:pt idx="6">
                  <c:v>435.38118663367015</c:v>
                </c:pt>
                <c:pt idx="7">
                  <c:v>432.57086318374536</c:v>
                </c:pt>
                <c:pt idx="8">
                  <c:v>427.60316167664689</c:v>
                </c:pt>
                <c:pt idx="9">
                  <c:v>424.30903102811027</c:v>
                </c:pt>
                <c:pt idx="10">
                  <c:v>421.63998858642208</c:v>
                </c:pt>
                <c:pt idx="11">
                  <c:v>420.66006494401262</c:v>
                </c:pt>
                <c:pt idx="12">
                  <c:v>418.25558265983699</c:v>
                </c:pt>
                <c:pt idx="13">
                  <c:v>417.28807448984617</c:v>
                </c:pt>
                <c:pt idx="14">
                  <c:v>416.66717536902883</c:v>
                </c:pt>
                <c:pt idx="15">
                  <c:v>417.89357618161353</c:v>
                </c:pt>
                <c:pt idx="16">
                  <c:v>416.50490337886401</c:v>
                </c:pt>
                <c:pt idx="17">
                  <c:v>417.1560731944902</c:v>
                </c:pt>
                <c:pt idx="18">
                  <c:v>417.44563576299828</c:v>
                </c:pt>
                <c:pt idx="19">
                  <c:v>419.3051366055243</c:v>
                </c:pt>
                <c:pt idx="20">
                  <c:v>418.99792699693637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B69-488C-B9C4-A2B239D0A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970280"/>
        <c:axId val="382967536"/>
      </c:lineChart>
      <c:catAx>
        <c:axId val="382970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382967536"/>
        <c:crosses val="autoZero"/>
        <c:auto val="1"/>
        <c:lblAlgn val="ctr"/>
        <c:lblOffset val="100"/>
        <c:noMultiLvlLbl val="0"/>
      </c:catAx>
      <c:valAx>
        <c:axId val="382967536"/>
        <c:scaling>
          <c:orientation val="minMax"/>
          <c:max val="8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RECs (Thousands)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82970280"/>
        <c:crosses val="autoZero"/>
        <c:crossBetween val="between"/>
        <c:majorUnit val="200"/>
      </c:valAx>
    </c:plotArea>
    <c:legend>
      <c:legendPos val="b"/>
      <c:layout>
        <c:manualLayout>
          <c:xMode val="edge"/>
          <c:yMode val="edge"/>
          <c:x val="2.9043401574803149E-2"/>
          <c:y val="0.78137388179743672"/>
          <c:w val="0.95257969553805777"/>
          <c:h val="0.18338383288681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Washington RPS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84184776902887"/>
          <c:y val="0.10612830350175116"/>
          <c:w val="0.86869148556430442"/>
          <c:h val="0.52402252951402239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'Washington RPS'!$B$47</c:f>
              <c:strCache>
                <c:ptCount val="1"/>
                <c:pt idx="0">
                  <c:v>Unbundled Surrendered</c:v>
                </c:pt>
              </c:strCache>
            </c:strRef>
          </c:tx>
          <c:spPr>
            <a:pattFill prst="ltDnDiag">
              <a:fgClr>
                <a:schemeClr val="tx2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val>
            <c:numRef>
              <c:f>'Washington RPS'!$J$47:$AD$47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1-45BD-A87C-177167768BCF}"/>
            </c:ext>
          </c:extLst>
        </c:ser>
        <c:ser>
          <c:idx val="2"/>
          <c:order val="2"/>
          <c:tx>
            <c:strRef>
              <c:f>'Washington RPS'!$B$45</c:f>
              <c:strCache>
                <c:ptCount val="1"/>
                <c:pt idx="0">
                  <c:v>Bundled Surrendered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'Washington RPS'!$J$45:$AD$45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61-45BD-A87C-177167768BCF}"/>
            </c:ext>
          </c:extLst>
        </c:ser>
        <c:ser>
          <c:idx val="5"/>
          <c:order val="3"/>
          <c:tx>
            <c:strRef>
              <c:f>'Washington RPS'!$B$48</c:f>
              <c:strCache>
                <c:ptCount val="1"/>
                <c:pt idx="0">
                  <c:v>Unbundled Bank Surrendered</c:v>
                </c:pt>
              </c:strCache>
            </c:strRef>
          </c:tx>
          <c:spPr>
            <a:pattFill prst="ltDnDiag">
              <a:fgClr>
                <a:schemeClr val="accent3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val>
            <c:numRef>
              <c:f>'Washington RPS'!$J$48:$AD$48</c:f>
              <c:numCache>
                <c:formatCode>#,##0</c:formatCode>
                <c:ptCount val="21"/>
                <c:pt idx="0">
                  <c:v>92.224910170489878</c:v>
                </c:pt>
                <c:pt idx="1">
                  <c:v>84.96981660598</c:v>
                </c:pt>
                <c:pt idx="2">
                  <c:v>83.14424357229997</c:v>
                </c:pt>
                <c:pt idx="3">
                  <c:v>79.124103677740038</c:v>
                </c:pt>
                <c:pt idx="4">
                  <c:v>59.49686854664003</c:v>
                </c:pt>
                <c:pt idx="5">
                  <c:v>55.916969178979983</c:v>
                </c:pt>
                <c:pt idx="6">
                  <c:v>75.337900740631611</c:v>
                </c:pt>
                <c:pt idx="7">
                  <c:v>74.750786173886453</c:v>
                </c:pt>
                <c:pt idx="8">
                  <c:v>74.146701169230482</c:v>
                </c:pt>
                <c:pt idx="9">
                  <c:v>73.455635977720817</c:v>
                </c:pt>
                <c:pt idx="10">
                  <c:v>72.939292344561764</c:v>
                </c:pt>
                <c:pt idx="11">
                  <c:v>72.261162270420343</c:v>
                </c:pt>
                <c:pt idx="12">
                  <c:v>32.535788297706141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61-45BD-A87C-177167768BCF}"/>
            </c:ext>
          </c:extLst>
        </c:ser>
        <c:ser>
          <c:idx val="3"/>
          <c:order val="4"/>
          <c:tx>
            <c:strRef>
              <c:f>'Washington RPS'!$B$46</c:f>
              <c:strCache>
                <c:ptCount val="1"/>
                <c:pt idx="0">
                  <c:v>Bundled Bank Surrendered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'Washington RPS'!$J$46:$AD$46</c:f>
              <c:numCache>
                <c:formatCode>#,##0</c:formatCode>
                <c:ptCount val="21"/>
                <c:pt idx="0">
                  <c:v>523.20914412061541</c:v>
                </c:pt>
                <c:pt idx="1">
                  <c:v>526.95583768964082</c:v>
                </c:pt>
                <c:pt idx="2">
                  <c:v>529.34138595738534</c:v>
                </c:pt>
                <c:pt idx="3">
                  <c:v>543.19427061956208</c:v>
                </c:pt>
                <c:pt idx="4">
                  <c:v>583.2717604634347</c:v>
                </c:pt>
                <c:pt idx="5">
                  <c:v>594.74839161844818</c:v>
                </c:pt>
                <c:pt idx="6">
                  <c:v>571.39165995180235</c:v>
                </c:pt>
                <c:pt idx="7">
                  <c:v>568.5095160853275</c:v>
                </c:pt>
                <c:pt idx="8">
                  <c:v>565.9663266859344</c:v>
                </c:pt>
                <c:pt idx="9">
                  <c:v>562.68635684911624</c:v>
                </c:pt>
                <c:pt idx="10">
                  <c:v>558.78873268827624</c:v>
                </c:pt>
                <c:pt idx="11">
                  <c:v>556.82437067275384</c:v>
                </c:pt>
                <c:pt idx="12">
                  <c:v>596.37131453975246</c:v>
                </c:pt>
                <c:pt idx="13">
                  <c:v>629.39201928987666</c:v>
                </c:pt>
                <c:pt idx="14">
                  <c:v>630.22932343592288</c:v>
                </c:pt>
                <c:pt idx="15">
                  <c:v>632.88049520711832</c:v>
                </c:pt>
                <c:pt idx="16">
                  <c:v>637.29980742272369</c:v>
                </c:pt>
                <c:pt idx="17">
                  <c:v>641.23925731389681</c:v>
                </c:pt>
                <c:pt idx="18">
                  <c:v>644.76867894514896</c:v>
                </c:pt>
                <c:pt idx="19">
                  <c:v>649.45121600085361</c:v>
                </c:pt>
                <c:pt idx="20">
                  <c:v>655.14742059676917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61-45BD-A87C-177167768BCF}"/>
            </c:ext>
          </c:extLst>
        </c:ser>
        <c:ser>
          <c:idx val="7"/>
          <c:order val="5"/>
          <c:tx>
            <c:strRef>
              <c:f>'Washington RPS'!$B$51</c:f>
              <c:strCache>
                <c:ptCount val="1"/>
                <c:pt idx="0">
                  <c:v>Year-end Unbundled Bank Balance</c:v>
                </c:pt>
              </c:strCache>
            </c:strRef>
          </c:tx>
          <c:spPr>
            <a:pattFill prst="ltDnDiag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val>
            <c:numRef>
              <c:f>'Washington RPS'!$J$51:$AD$51</c:f>
              <c:numCache>
                <c:formatCode>#,##0</c:formatCode>
                <c:ptCount val="21"/>
                <c:pt idx="0">
                  <c:v>84.96981660598</c:v>
                </c:pt>
                <c:pt idx="1">
                  <c:v>83.14424357229997</c:v>
                </c:pt>
                <c:pt idx="2">
                  <c:v>79.124103677740038</c:v>
                </c:pt>
                <c:pt idx="3">
                  <c:v>59.49686854664003</c:v>
                </c:pt>
                <c:pt idx="4">
                  <c:v>55.916969178979983</c:v>
                </c:pt>
                <c:pt idx="5">
                  <c:v>75.337900740631611</c:v>
                </c:pt>
                <c:pt idx="6">
                  <c:v>74.750786173886453</c:v>
                </c:pt>
                <c:pt idx="7">
                  <c:v>74.146701169230482</c:v>
                </c:pt>
                <c:pt idx="8">
                  <c:v>73.455635977720817</c:v>
                </c:pt>
                <c:pt idx="9">
                  <c:v>72.939292344561764</c:v>
                </c:pt>
                <c:pt idx="10">
                  <c:v>72.261162270420343</c:v>
                </c:pt>
                <c:pt idx="11">
                  <c:v>32.535788297706141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61-45BD-A87C-177167768BCF}"/>
            </c:ext>
          </c:extLst>
        </c:ser>
        <c:ser>
          <c:idx val="6"/>
          <c:order val="6"/>
          <c:tx>
            <c:strRef>
              <c:f>'Washington RPS'!$B$49</c:f>
              <c:strCache>
                <c:ptCount val="1"/>
                <c:pt idx="0">
                  <c:v>Year-end Bundled Bank Balance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'Washington RPS'!$J$49:$AD$49</c:f>
              <c:numCache>
                <c:formatCode>#,##0</c:formatCode>
                <c:ptCount val="21"/>
                <c:pt idx="0">
                  <c:v>1218.0491397382355</c:v>
                </c:pt>
                <c:pt idx="1">
                  <c:v>1402.3072845863419</c:v>
                </c:pt>
                <c:pt idx="2">
                  <c:v>1459.2152603832619</c:v>
                </c:pt>
                <c:pt idx="3">
                  <c:v>1552.2063878758443</c:v>
                </c:pt>
                <c:pt idx="4">
                  <c:v>1775.1809025190908</c:v>
                </c:pt>
                <c:pt idx="5">
                  <c:v>2071.8456876382061</c:v>
                </c:pt>
                <c:pt idx="6">
                  <c:v>2295.6398811711306</c:v>
                </c:pt>
                <c:pt idx="7">
                  <c:v>2560.768765161165</c:v>
                </c:pt>
                <c:pt idx="8">
                  <c:v>2779.5089052464878</c:v>
                </c:pt>
                <c:pt idx="9">
                  <c:v>2813.9946269214302</c:v>
                </c:pt>
                <c:pt idx="10">
                  <c:v>2815.169349740233</c:v>
                </c:pt>
                <c:pt idx="11">
                  <c:v>3605.3931183037535</c:v>
                </c:pt>
                <c:pt idx="12">
                  <c:v>4390.7419298311343</c:v>
                </c:pt>
                <c:pt idx="13">
                  <c:v>4385.7928468474038</c:v>
                </c:pt>
                <c:pt idx="14">
                  <c:v>4389.5746768715589</c:v>
                </c:pt>
                <c:pt idx="15">
                  <c:v>4391.1575953046904</c:v>
                </c:pt>
                <c:pt idx="16">
                  <c:v>4403.7998991627146</c:v>
                </c:pt>
                <c:pt idx="17">
                  <c:v>4495.5202765940876</c:v>
                </c:pt>
                <c:pt idx="18">
                  <c:v>4669.6588159547809</c:v>
                </c:pt>
                <c:pt idx="19">
                  <c:v>4755.8316333188077</c:v>
                </c:pt>
                <c:pt idx="20">
                  <c:v>4737.1117452292719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61-45BD-A87C-177167768BCF}"/>
            </c:ext>
          </c:extLst>
        </c:ser>
        <c:ser>
          <c:idx val="0"/>
          <c:order val="7"/>
          <c:tx>
            <c:strRef>
              <c:f>'Washington RPS'!$B$50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'Washington RPS'!$J$50:$AD$50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61-45BD-A87C-177167768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382974200"/>
        <c:axId val="382971456"/>
      </c:barChart>
      <c:lineChart>
        <c:grouping val="standard"/>
        <c:varyColors val="0"/>
        <c:ser>
          <c:idx val="1"/>
          <c:order val="0"/>
          <c:tx>
            <c:strRef>
              <c:f>'Washington RPS'!$B$44</c:f>
              <c:strCache>
                <c:ptCount val="1"/>
                <c:pt idx="0">
                  <c:v>Requirement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'Washington RPS'!$J$43:$AD$43</c:f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'Washington RPS'!$J$44:$AD$44</c:f>
              <c:numCache>
                <c:formatCode>#,##0</c:formatCode>
                <c:ptCount val="21"/>
                <c:pt idx="0">
                  <c:v>615.43405429110521</c:v>
                </c:pt>
                <c:pt idx="1">
                  <c:v>611.9256542956208</c:v>
                </c:pt>
                <c:pt idx="2">
                  <c:v>612.4856295296853</c:v>
                </c:pt>
                <c:pt idx="3">
                  <c:v>622.31837429730217</c:v>
                </c:pt>
                <c:pt idx="4">
                  <c:v>642.76862901007473</c:v>
                </c:pt>
                <c:pt idx="5">
                  <c:v>650.66536079742821</c:v>
                </c:pt>
                <c:pt idx="6">
                  <c:v>646.72956069243401</c:v>
                </c:pt>
                <c:pt idx="7">
                  <c:v>643.26030225921397</c:v>
                </c:pt>
                <c:pt idx="8">
                  <c:v>640.113027855165</c:v>
                </c:pt>
                <c:pt idx="9">
                  <c:v>636.14199282683717</c:v>
                </c:pt>
                <c:pt idx="10">
                  <c:v>631.72802503283799</c:v>
                </c:pt>
                <c:pt idx="11">
                  <c:v>629.08553294317426</c:v>
                </c:pt>
                <c:pt idx="12">
                  <c:v>628.90710283745864</c:v>
                </c:pt>
                <c:pt idx="13">
                  <c:v>629.39201928987666</c:v>
                </c:pt>
                <c:pt idx="14">
                  <c:v>630.22932343592288</c:v>
                </c:pt>
                <c:pt idx="15">
                  <c:v>632.88049520711832</c:v>
                </c:pt>
                <c:pt idx="16">
                  <c:v>637.29980742272369</c:v>
                </c:pt>
                <c:pt idx="17">
                  <c:v>641.23925731389681</c:v>
                </c:pt>
                <c:pt idx="18">
                  <c:v>644.76867894514896</c:v>
                </c:pt>
                <c:pt idx="19">
                  <c:v>649.45121600085361</c:v>
                </c:pt>
                <c:pt idx="20">
                  <c:v>655.14742059676917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61-45BD-A87C-177167768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974200"/>
        <c:axId val="382971456"/>
      </c:lineChart>
      <c:catAx>
        <c:axId val="382974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382971456"/>
        <c:crosses val="autoZero"/>
        <c:auto val="1"/>
        <c:lblAlgn val="ctr"/>
        <c:lblOffset val="100"/>
        <c:noMultiLvlLbl val="0"/>
      </c:catAx>
      <c:valAx>
        <c:axId val="3829714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RECs (Thousands)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82974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9043401574803149E-2"/>
          <c:y val="0.78137388179743672"/>
          <c:w val="0.95257969553805777"/>
          <c:h val="0.183383832886818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Oregon RPS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84184776902887"/>
          <c:y val="0.10612830350175116"/>
          <c:w val="0.86869148556430442"/>
          <c:h val="0.54552806849151603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'Oregon RPS'!$B$47</c:f>
              <c:strCache>
                <c:ptCount val="1"/>
                <c:pt idx="0">
                  <c:v>Unbundled Surrendered</c:v>
                </c:pt>
              </c:strCache>
            </c:strRef>
          </c:tx>
          <c:spPr>
            <a:pattFill prst="ltDnDiag">
              <a:fgClr>
                <a:schemeClr val="tx2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val>
            <c:numRef>
              <c:f>'Oregon RPS'!$J$47:$AD$47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4.6566128730773927E-13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A9-4B85-BEF2-511120E0E6C4}"/>
            </c:ext>
          </c:extLst>
        </c:ser>
        <c:ser>
          <c:idx val="2"/>
          <c:order val="2"/>
          <c:tx>
            <c:strRef>
              <c:f>'Oregon RPS'!$B$45</c:f>
              <c:strCache>
                <c:ptCount val="1"/>
                <c:pt idx="0">
                  <c:v>Bundled Surrendered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'Oregon RPS'!$J$45:$AD$45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A9-4B85-BEF2-511120E0E6C4}"/>
            </c:ext>
          </c:extLst>
        </c:ser>
        <c:ser>
          <c:idx val="5"/>
          <c:order val="3"/>
          <c:tx>
            <c:strRef>
              <c:f>'Oregon RPS'!$B$48</c:f>
              <c:strCache>
                <c:ptCount val="1"/>
                <c:pt idx="0">
                  <c:v>Unbundled Bank Surrendered</c:v>
                </c:pt>
              </c:strCache>
            </c:strRef>
          </c:tx>
          <c:spPr>
            <a:pattFill prst="ltDnDiag">
              <a:fgClr>
                <a:schemeClr val="accent3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val>
            <c:numRef>
              <c:f>'Oregon RPS'!$J$48:$AD$48</c:f>
              <c:numCache>
                <c:formatCode>#,##0</c:formatCode>
                <c:ptCount val="21"/>
                <c:pt idx="0">
                  <c:v>204.36115524072272</c:v>
                </c:pt>
                <c:pt idx="1">
                  <c:v>305.32324926330011</c:v>
                </c:pt>
                <c:pt idx="2">
                  <c:v>304.77593611079993</c:v>
                </c:pt>
                <c:pt idx="3">
                  <c:v>306.84928069251987</c:v>
                </c:pt>
                <c:pt idx="4">
                  <c:v>247.58084971519949</c:v>
                </c:pt>
                <c:pt idx="5">
                  <c:v>249.18587976015988</c:v>
                </c:pt>
                <c:pt idx="6">
                  <c:v>245.3919564862411</c:v>
                </c:pt>
                <c:pt idx="7">
                  <c:v>243.41752592247383</c:v>
                </c:pt>
                <c:pt idx="8">
                  <c:v>241.45710354041162</c:v>
                </c:pt>
                <c:pt idx="9">
                  <c:v>239.35487861492061</c:v>
                </c:pt>
                <c:pt idx="10">
                  <c:v>237.62655283683733</c:v>
                </c:pt>
                <c:pt idx="11">
                  <c:v>235.46995870789576</c:v>
                </c:pt>
                <c:pt idx="12">
                  <c:v>133.94910647000924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A9-4B85-BEF2-511120E0E6C4}"/>
            </c:ext>
          </c:extLst>
        </c:ser>
        <c:ser>
          <c:idx val="3"/>
          <c:order val="4"/>
          <c:tx>
            <c:strRef>
              <c:f>'Oregon RPS'!$B$46</c:f>
              <c:strCache>
                <c:ptCount val="1"/>
                <c:pt idx="0">
                  <c:v>Bundled Bank Surrendered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'Oregon RPS'!$J$46:$AD$46</c:f>
              <c:numCache>
                <c:formatCode>#,##0</c:formatCode>
                <c:ptCount val="21"/>
                <c:pt idx="0">
                  <c:v>3789.7391860242356</c:v>
                </c:pt>
                <c:pt idx="1">
                  <c:v>3711.218197208022</c:v>
                </c:pt>
                <c:pt idx="2">
                  <c:v>3738.7682857747477</c:v>
                </c:pt>
                <c:pt idx="3">
                  <c:v>3747.2465994286945</c:v>
                </c:pt>
                <c:pt idx="4">
                  <c:v>3800.7722465002321</c:v>
                </c:pt>
                <c:pt idx="5">
                  <c:v>5005.3856682001924</c:v>
                </c:pt>
                <c:pt idx="6">
                  <c:v>5021.3436821893165</c:v>
                </c:pt>
                <c:pt idx="7">
                  <c:v>5044.95739015872</c:v>
                </c:pt>
                <c:pt idx="8">
                  <c:v>5052.4363639550984</c:v>
                </c:pt>
                <c:pt idx="9">
                  <c:v>5088.9217333942261</c:v>
                </c:pt>
                <c:pt idx="10">
                  <c:v>6673.121940199153</c:v>
                </c:pt>
                <c:pt idx="11">
                  <c:v>6775.1270895133639</c:v>
                </c:pt>
                <c:pt idx="12">
                  <c:v>6966.3073769677649</c:v>
                </c:pt>
                <c:pt idx="13">
                  <c:v>7205.2155135892735</c:v>
                </c:pt>
                <c:pt idx="14">
                  <c:v>7323.3967405832918</c:v>
                </c:pt>
                <c:pt idx="15">
                  <c:v>8288.6927042705956</c:v>
                </c:pt>
                <c:pt idx="16">
                  <c:v>8410.5008486245479</c:v>
                </c:pt>
                <c:pt idx="17">
                  <c:v>8574.8780512356807</c:v>
                </c:pt>
                <c:pt idx="18">
                  <c:v>8861.1790934950895</c:v>
                </c:pt>
                <c:pt idx="19">
                  <c:v>9033.4992557492715</c:v>
                </c:pt>
                <c:pt idx="20">
                  <c:v>9164.035771945204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A9-4B85-BEF2-511120E0E6C4}"/>
            </c:ext>
          </c:extLst>
        </c:ser>
        <c:ser>
          <c:idx val="7"/>
          <c:order val="5"/>
          <c:tx>
            <c:strRef>
              <c:f>'Oregon RPS'!$B$51</c:f>
              <c:strCache>
                <c:ptCount val="1"/>
                <c:pt idx="0">
                  <c:v>Year-end Unbundled Bank Balance</c:v>
                </c:pt>
              </c:strCache>
            </c:strRef>
          </c:tx>
          <c:spPr>
            <a:pattFill prst="ltDnDiag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val>
            <c:numRef>
              <c:f>'Oregon RPS'!$J$51:$AD$51</c:f>
              <c:numCache>
                <c:formatCode>#,##0</c:formatCode>
                <c:ptCount val="21"/>
                <c:pt idx="0">
                  <c:v>305.32324926330011</c:v>
                </c:pt>
                <c:pt idx="1">
                  <c:v>304.77593611079993</c:v>
                </c:pt>
                <c:pt idx="2">
                  <c:v>306.84928069251987</c:v>
                </c:pt>
                <c:pt idx="3">
                  <c:v>247.58084971519949</c:v>
                </c:pt>
                <c:pt idx="4">
                  <c:v>249.18587976015988</c:v>
                </c:pt>
                <c:pt idx="5">
                  <c:v>245.3919564862411</c:v>
                </c:pt>
                <c:pt idx="6">
                  <c:v>243.41752592247383</c:v>
                </c:pt>
                <c:pt idx="7">
                  <c:v>241.45710354041162</c:v>
                </c:pt>
                <c:pt idx="8">
                  <c:v>239.35487861492061</c:v>
                </c:pt>
                <c:pt idx="9">
                  <c:v>237.62655283683733</c:v>
                </c:pt>
                <c:pt idx="10">
                  <c:v>235.46995870789576</c:v>
                </c:pt>
                <c:pt idx="11">
                  <c:v>133.94910647000924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A9-4B85-BEF2-511120E0E6C4}"/>
            </c:ext>
          </c:extLst>
        </c:ser>
        <c:ser>
          <c:idx val="6"/>
          <c:order val="6"/>
          <c:tx>
            <c:strRef>
              <c:f>'Oregon RPS'!$B$49</c:f>
              <c:strCache>
                <c:ptCount val="1"/>
                <c:pt idx="0">
                  <c:v>Year-end Bundled Bank Balance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'Oregon RPS'!$J$49:$AD$49</c:f>
              <c:numCache>
                <c:formatCode>#,##0</c:formatCode>
                <c:ptCount val="21"/>
                <c:pt idx="0">
                  <c:v>8965.7052750758194</c:v>
                </c:pt>
                <c:pt idx="1">
                  <c:v>9998.5036437218314</c:v>
                </c:pt>
                <c:pt idx="2">
                  <c:v>11405.627991459269</c:v>
                </c:pt>
                <c:pt idx="3">
                  <c:v>13459.377669540685</c:v>
                </c:pt>
                <c:pt idx="4">
                  <c:v>16594.716137773317</c:v>
                </c:pt>
                <c:pt idx="5">
                  <c:v>18825.991277015775</c:v>
                </c:pt>
                <c:pt idx="6">
                  <c:v>21630.266592981883</c:v>
                </c:pt>
                <c:pt idx="7">
                  <c:v>25478.137977016973</c:v>
                </c:pt>
                <c:pt idx="8">
                  <c:v>29208.831960973963</c:v>
                </c:pt>
                <c:pt idx="9">
                  <c:v>32939.785693575228</c:v>
                </c:pt>
                <c:pt idx="10">
                  <c:v>35090.880560610967</c:v>
                </c:pt>
                <c:pt idx="11">
                  <c:v>40913.609761775282</c:v>
                </c:pt>
                <c:pt idx="12">
                  <c:v>46420.463008347026</c:v>
                </c:pt>
                <c:pt idx="13">
                  <c:v>51748.32547651085</c:v>
                </c:pt>
                <c:pt idx="14">
                  <c:v>56856.542373273842</c:v>
                </c:pt>
                <c:pt idx="15">
                  <c:v>60949.157930988862</c:v>
                </c:pt>
                <c:pt idx="16">
                  <c:v>64966.316859162551</c:v>
                </c:pt>
                <c:pt idx="17">
                  <c:v>69219.581369427498</c:v>
                </c:pt>
                <c:pt idx="18">
                  <c:v>73537.848272747695</c:v>
                </c:pt>
                <c:pt idx="19">
                  <c:v>77651.510813080749</c:v>
                </c:pt>
                <c:pt idx="20">
                  <c:v>81595.493480220772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A9-4B85-BEF2-511120E0E6C4}"/>
            </c:ext>
          </c:extLst>
        </c:ser>
        <c:ser>
          <c:idx val="0"/>
          <c:order val="7"/>
          <c:tx>
            <c:strRef>
              <c:f>'Oregon RPS'!$B$50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'Oregon RPS'!$J$50:$AD$50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A9-4B85-BEF2-511120E0E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382966360"/>
        <c:axId val="382968320"/>
      </c:barChart>
      <c:lineChart>
        <c:grouping val="standard"/>
        <c:varyColors val="0"/>
        <c:ser>
          <c:idx val="1"/>
          <c:order val="0"/>
          <c:tx>
            <c:strRef>
              <c:f>'Oregon RPS'!$B$44</c:f>
              <c:strCache>
                <c:ptCount val="1"/>
                <c:pt idx="0">
                  <c:v>Requirement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'Oregon RPS'!$J$43:$AD$43</c:f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'Oregon RPS'!$J$44:$AD$44</c:f>
              <c:numCache>
                <c:formatCode>#,##0</c:formatCode>
                <c:ptCount val="21"/>
                <c:pt idx="0">
                  <c:v>3994.1003412649584</c:v>
                </c:pt>
                <c:pt idx="1">
                  <c:v>4016.5414464713222</c:v>
                </c:pt>
                <c:pt idx="2">
                  <c:v>4043.5442218855478</c:v>
                </c:pt>
                <c:pt idx="3">
                  <c:v>4054.0958801212146</c:v>
                </c:pt>
                <c:pt idx="4">
                  <c:v>4048.3530962154314</c:v>
                </c:pt>
                <c:pt idx="5">
                  <c:v>5254.5715479603523</c:v>
                </c:pt>
                <c:pt idx="6">
                  <c:v>5266.7356386755573</c:v>
                </c:pt>
                <c:pt idx="7">
                  <c:v>5288.374916081194</c:v>
                </c:pt>
                <c:pt idx="8">
                  <c:v>5293.8934674955099</c:v>
                </c:pt>
                <c:pt idx="9">
                  <c:v>5328.2766120091464</c:v>
                </c:pt>
                <c:pt idx="10">
                  <c:v>6910.7484930359897</c:v>
                </c:pt>
                <c:pt idx="11">
                  <c:v>7010.5970482212606</c:v>
                </c:pt>
                <c:pt idx="12">
                  <c:v>7100.2564834377736</c:v>
                </c:pt>
                <c:pt idx="13">
                  <c:v>7205.2155135892735</c:v>
                </c:pt>
                <c:pt idx="14">
                  <c:v>7323.3967405832918</c:v>
                </c:pt>
                <c:pt idx="15">
                  <c:v>8288.6927042705956</c:v>
                </c:pt>
                <c:pt idx="16">
                  <c:v>8410.5008486245479</c:v>
                </c:pt>
                <c:pt idx="17">
                  <c:v>8574.8780512356807</c:v>
                </c:pt>
                <c:pt idx="18">
                  <c:v>8861.1790934950895</c:v>
                </c:pt>
                <c:pt idx="19">
                  <c:v>9033.4992557492715</c:v>
                </c:pt>
                <c:pt idx="20">
                  <c:v>9164.035771945204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EA9-4B85-BEF2-511120E0E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966360"/>
        <c:axId val="382968320"/>
      </c:lineChart>
      <c:catAx>
        <c:axId val="382966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382968320"/>
        <c:crosses val="autoZero"/>
        <c:auto val="1"/>
        <c:lblAlgn val="ctr"/>
        <c:lblOffset val="100"/>
        <c:noMultiLvlLbl val="0"/>
      </c:catAx>
      <c:valAx>
        <c:axId val="3829683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RECs (Thousands)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82966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9043401574803149E-2"/>
          <c:y val="0.78137388179743672"/>
          <c:w val="0.95257969553805777"/>
          <c:h val="0.18338383288681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Oregon RPS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84184776902887"/>
          <c:y val="0.10612830350175116"/>
          <c:w val="0.86869148556430442"/>
          <c:h val="0.54552806849151603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'Oregon RPS'!$B$47</c:f>
              <c:strCache>
                <c:ptCount val="1"/>
                <c:pt idx="0">
                  <c:v>Unbundled Surrendered</c:v>
                </c:pt>
              </c:strCache>
            </c:strRef>
          </c:tx>
          <c:spPr>
            <a:pattFill prst="ltDnDiag">
              <a:fgClr>
                <a:schemeClr val="tx2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21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'Oregon RPS'!$J$47:$Y$47</c15:sqref>
                  </c15:fullRef>
                </c:ext>
              </c:extLst>
              <c:f>'Oregon RPS'!$J$47:$Y$47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4.6566128730773927E-13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1-41FD-9267-B485612BDFE6}"/>
            </c:ext>
          </c:extLst>
        </c:ser>
        <c:ser>
          <c:idx val="2"/>
          <c:order val="2"/>
          <c:tx>
            <c:strRef>
              <c:f>'Oregon RPS'!$B$45</c:f>
              <c:strCache>
                <c:ptCount val="1"/>
                <c:pt idx="0">
                  <c:v>Bundled Surrendered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Lit>
              <c:ptCount val="21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'Oregon RPS'!$J$45:$AD$45</c15:sqref>
                  </c15:fullRef>
                </c:ext>
              </c:extLst>
              <c:f>'Oregon RPS'!$J$45:$AD$45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1-41FD-9267-B485612BDFE6}"/>
            </c:ext>
          </c:extLst>
        </c:ser>
        <c:ser>
          <c:idx val="5"/>
          <c:order val="3"/>
          <c:tx>
            <c:strRef>
              <c:f>'Oregon RPS'!$B$48</c:f>
              <c:strCache>
                <c:ptCount val="1"/>
                <c:pt idx="0">
                  <c:v>Unbundled Bank Surrendered</c:v>
                </c:pt>
              </c:strCache>
            </c:strRef>
          </c:tx>
          <c:spPr>
            <a:pattFill prst="ltDnDiag">
              <a:fgClr>
                <a:schemeClr val="accent3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21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'Oregon RPS'!$J$48:$AD$48</c15:sqref>
                  </c15:fullRef>
                </c:ext>
              </c:extLst>
              <c:f>'Oregon RPS'!$J$48:$AD$48</c:f>
              <c:numCache>
                <c:formatCode>#,##0</c:formatCode>
                <c:ptCount val="21"/>
                <c:pt idx="0">
                  <c:v>204.36115524072272</c:v>
                </c:pt>
                <c:pt idx="1">
                  <c:v>305.32324926330011</c:v>
                </c:pt>
                <c:pt idx="2">
                  <c:v>304.77593611079993</c:v>
                </c:pt>
                <c:pt idx="3">
                  <c:v>306.84928069251987</c:v>
                </c:pt>
                <c:pt idx="4">
                  <c:v>247.58084971519949</c:v>
                </c:pt>
                <c:pt idx="5">
                  <c:v>249.18587976015988</c:v>
                </c:pt>
                <c:pt idx="6">
                  <c:v>245.3919564862411</c:v>
                </c:pt>
                <c:pt idx="7">
                  <c:v>243.41752592247383</c:v>
                </c:pt>
                <c:pt idx="8">
                  <c:v>241.45710354041162</c:v>
                </c:pt>
                <c:pt idx="9">
                  <c:v>239.35487861492061</c:v>
                </c:pt>
                <c:pt idx="10">
                  <c:v>237.62655283683733</c:v>
                </c:pt>
                <c:pt idx="11">
                  <c:v>235.46995870789576</c:v>
                </c:pt>
                <c:pt idx="12">
                  <c:v>133.94910647000924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E1-41FD-9267-B485612BDFE6}"/>
            </c:ext>
          </c:extLst>
        </c:ser>
        <c:ser>
          <c:idx val="3"/>
          <c:order val="4"/>
          <c:tx>
            <c:strRef>
              <c:f>'Oregon RPS'!$B$46</c:f>
              <c:strCache>
                <c:ptCount val="1"/>
                <c:pt idx="0">
                  <c:v>Bundled Bank Surrendered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Lit>
              <c:ptCount val="21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'Oregon RPS'!$J$46:$AD$46</c15:sqref>
                  </c15:fullRef>
                </c:ext>
              </c:extLst>
              <c:f>'Oregon RPS'!$J$46:$AD$46</c:f>
              <c:numCache>
                <c:formatCode>#,##0</c:formatCode>
                <c:ptCount val="21"/>
                <c:pt idx="0">
                  <c:v>3789.7391860242356</c:v>
                </c:pt>
                <c:pt idx="1">
                  <c:v>3711.218197208022</c:v>
                </c:pt>
                <c:pt idx="2">
                  <c:v>3738.7682857747477</c:v>
                </c:pt>
                <c:pt idx="3">
                  <c:v>3747.2465994286945</c:v>
                </c:pt>
                <c:pt idx="4">
                  <c:v>3800.7722465002321</c:v>
                </c:pt>
                <c:pt idx="5">
                  <c:v>5005.3856682001924</c:v>
                </c:pt>
                <c:pt idx="6">
                  <c:v>5021.3436821893165</c:v>
                </c:pt>
                <c:pt idx="7">
                  <c:v>5044.95739015872</c:v>
                </c:pt>
                <c:pt idx="8">
                  <c:v>5052.4363639550984</c:v>
                </c:pt>
                <c:pt idx="9">
                  <c:v>5088.9217333942261</c:v>
                </c:pt>
                <c:pt idx="10">
                  <c:v>6673.121940199153</c:v>
                </c:pt>
                <c:pt idx="11">
                  <c:v>6775.1270895133639</c:v>
                </c:pt>
                <c:pt idx="12">
                  <c:v>6966.3073769677649</c:v>
                </c:pt>
                <c:pt idx="13">
                  <c:v>7205.2155135892735</c:v>
                </c:pt>
                <c:pt idx="14">
                  <c:v>7323.3967405832918</c:v>
                </c:pt>
                <c:pt idx="15">
                  <c:v>8288.6927042705956</c:v>
                </c:pt>
                <c:pt idx="16">
                  <c:v>8410.5008486245479</c:v>
                </c:pt>
                <c:pt idx="17">
                  <c:v>8574.8780512356807</c:v>
                </c:pt>
                <c:pt idx="18">
                  <c:v>8861.1790934950895</c:v>
                </c:pt>
                <c:pt idx="19">
                  <c:v>9033.4992557492715</c:v>
                </c:pt>
                <c:pt idx="20">
                  <c:v>9164.035771945204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E1-41FD-9267-B485612BDFE6}"/>
            </c:ext>
          </c:extLst>
        </c:ser>
        <c:ser>
          <c:idx val="7"/>
          <c:order val="5"/>
          <c:tx>
            <c:strRef>
              <c:f>'Oregon RPS'!$B$51</c:f>
              <c:strCache>
                <c:ptCount val="1"/>
                <c:pt idx="0">
                  <c:v>Year-end Unbundled Bank Balance</c:v>
                </c:pt>
              </c:strCache>
            </c:strRef>
          </c:tx>
          <c:spPr>
            <a:pattFill prst="ltDnDiag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21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'Oregon RPS'!$J$51:$AD$51</c15:sqref>
                  </c15:fullRef>
                </c:ext>
              </c:extLst>
              <c:f>'Oregon RPS'!$J$51:$AD$51</c:f>
              <c:numCache>
                <c:formatCode>#,##0</c:formatCode>
                <c:ptCount val="21"/>
                <c:pt idx="0">
                  <c:v>305.32324926330011</c:v>
                </c:pt>
                <c:pt idx="1">
                  <c:v>304.77593611079993</c:v>
                </c:pt>
                <c:pt idx="2">
                  <c:v>306.84928069251987</c:v>
                </c:pt>
                <c:pt idx="3">
                  <c:v>247.58084971519949</c:v>
                </c:pt>
                <c:pt idx="4">
                  <c:v>249.18587976015988</c:v>
                </c:pt>
                <c:pt idx="5">
                  <c:v>245.3919564862411</c:v>
                </c:pt>
                <c:pt idx="6">
                  <c:v>243.41752592247383</c:v>
                </c:pt>
                <c:pt idx="7">
                  <c:v>241.45710354041162</c:v>
                </c:pt>
                <c:pt idx="8">
                  <c:v>239.35487861492061</c:v>
                </c:pt>
                <c:pt idx="9">
                  <c:v>237.62655283683733</c:v>
                </c:pt>
                <c:pt idx="10">
                  <c:v>235.46995870789576</c:v>
                </c:pt>
                <c:pt idx="11">
                  <c:v>133.94910647000924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E1-41FD-9267-B485612BDFE6}"/>
            </c:ext>
          </c:extLst>
        </c:ser>
        <c:ser>
          <c:idx val="6"/>
          <c:order val="6"/>
          <c:tx>
            <c:strRef>
              <c:f>'Oregon RPS'!$B$49</c:f>
              <c:strCache>
                <c:ptCount val="1"/>
                <c:pt idx="0">
                  <c:v>Year-end Bundled Bank Balance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Lit>
              <c:ptCount val="21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'Oregon RPS'!$J$49:$AD$49</c15:sqref>
                  </c15:fullRef>
                </c:ext>
              </c:extLst>
              <c:f>'Oregon RPS'!$J$49:$AD$49</c:f>
              <c:numCache>
                <c:formatCode>#,##0</c:formatCode>
                <c:ptCount val="21"/>
                <c:pt idx="0">
                  <c:v>8965.7052750758194</c:v>
                </c:pt>
                <c:pt idx="1">
                  <c:v>9998.5036437218314</c:v>
                </c:pt>
                <c:pt idx="2">
                  <c:v>11405.627991459269</c:v>
                </c:pt>
                <c:pt idx="3">
                  <c:v>13459.377669540685</c:v>
                </c:pt>
                <c:pt idx="4">
                  <c:v>16594.716137773317</c:v>
                </c:pt>
                <c:pt idx="5">
                  <c:v>18825.991277015775</c:v>
                </c:pt>
                <c:pt idx="6">
                  <c:v>21630.266592981883</c:v>
                </c:pt>
                <c:pt idx="7">
                  <c:v>25478.137977016973</c:v>
                </c:pt>
                <c:pt idx="8">
                  <c:v>29208.831960973963</c:v>
                </c:pt>
                <c:pt idx="9">
                  <c:v>32939.785693575228</c:v>
                </c:pt>
                <c:pt idx="10">
                  <c:v>35090.880560610967</c:v>
                </c:pt>
                <c:pt idx="11">
                  <c:v>40913.609761775282</c:v>
                </c:pt>
                <c:pt idx="12">
                  <c:v>46420.463008347026</c:v>
                </c:pt>
                <c:pt idx="13">
                  <c:v>51748.32547651085</c:v>
                </c:pt>
                <c:pt idx="14">
                  <c:v>56856.542373273842</c:v>
                </c:pt>
                <c:pt idx="15">
                  <c:v>60949.157930988862</c:v>
                </c:pt>
                <c:pt idx="16">
                  <c:v>64966.316859162551</c:v>
                </c:pt>
                <c:pt idx="17">
                  <c:v>69219.581369427498</c:v>
                </c:pt>
                <c:pt idx="18">
                  <c:v>73537.848272747695</c:v>
                </c:pt>
                <c:pt idx="19">
                  <c:v>77651.510813080749</c:v>
                </c:pt>
                <c:pt idx="20">
                  <c:v>81595.493480220772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E1-41FD-9267-B485612BDFE6}"/>
            </c:ext>
          </c:extLst>
        </c:ser>
        <c:ser>
          <c:idx val="0"/>
          <c:order val="7"/>
          <c:tx>
            <c:strRef>
              <c:f>'Oregon RPS'!$B$50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cat>
            <c:strLit>
              <c:ptCount val="21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'Oregon RPS'!$J$50:$AD$50</c15:sqref>
                  </c15:fullRef>
                </c:ext>
              </c:extLst>
              <c:f>'Oregon RPS'!$J$50:$AD$50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E1-41FD-9267-B485612BD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382966360"/>
        <c:axId val="382968320"/>
      </c:barChart>
      <c:lineChart>
        <c:grouping val="standard"/>
        <c:varyColors val="0"/>
        <c:ser>
          <c:idx val="1"/>
          <c:order val="0"/>
          <c:tx>
            <c:strRef>
              <c:f>'Oregon RPS'!$B$44</c:f>
              <c:strCache>
                <c:ptCount val="1"/>
                <c:pt idx="0">
                  <c:v>Requirement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'Oregon RPS'!$J$43:$AD$43</c15:sqref>
                  </c15:fullRef>
                </c:ext>
              </c:extLst>
              <c:f>'Oregon RPS'!$J$43:$AD$43</c:f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'Oregon RPS'!$J$44:$AE$44</c15:sqref>
                  </c15:fullRef>
                </c:ext>
              </c:extLst>
              <c:f>'Oregon RPS'!$J$44:$AD$44</c:f>
              <c:numCache>
                <c:formatCode>#,##0</c:formatCode>
                <c:ptCount val="21"/>
                <c:pt idx="0">
                  <c:v>3994.1003412649584</c:v>
                </c:pt>
                <c:pt idx="1">
                  <c:v>4016.5414464713222</c:v>
                </c:pt>
                <c:pt idx="2">
                  <c:v>4043.5442218855478</c:v>
                </c:pt>
                <c:pt idx="3">
                  <c:v>4054.0958801212146</c:v>
                </c:pt>
                <c:pt idx="4">
                  <c:v>4048.3530962154314</c:v>
                </c:pt>
                <c:pt idx="5">
                  <c:v>5254.5715479603523</c:v>
                </c:pt>
                <c:pt idx="6">
                  <c:v>5266.7356386755573</c:v>
                </c:pt>
                <c:pt idx="7">
                  <c:v>5288.374916081194</c:v>
                </c:pt>
                <c:pt idx="8">
                  <c:v>5293.8934674955099</c:v>
                </c:pt>
                <c:pt idx="9">
                  <c:v>5328.2766120091464</c:v>
                </c:pt>
                <c:pt idx="10">
                  <c:v>6910.7484930359897</c:v>
                </c:pt>
                <c:pt idx="11">
                  <c:v>7010.5970482212606</c:v>
                </c:pt>
                <c:pt idx="12">
                  <c:v>7100.2564834377736</c:v>
                </c:pt>
                <c:pt idx="13">
                  <c:v>7205.2155135892735</c:v>
                </c:pt>
                <c:pt idx="14">
                  <c:v>7323.3967405832918</c:v>
                </c:pt>
                <c:pt idx="15">
                  <c:v>8288.6927042705956</c:v>
                </c:pt>
                <c:pt idx="16">
                  <c:v>8410.5008486245479</c:v>
                </c:pt>
                <c:pt idx="17">
                  <c:v>8574.8780512356807</c:v>
                </c:pt>
                <c:pt idx="18">
                  <c:v>8861.1790934950895</c:v>
                </c:pt>
                <c:pt idx="19">
                  <c:v>9033.4992557492715</c:v>
                </c:pt>
                <c:pt idx="20">
                  <c:v>9164.035771945204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E1-41FD-9267-B485612BD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966360"/>
        <c:axId val="382968320"/>
      </c:lineChart>
      <c:catAx>
        <c:axId val="382966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382968320"/>
        <c:crosses val="autoZero"/>
        <c:auto val="1"/>
        <c:lblAlgn val="ctr"/>
        <c:lblOffset val="100"/>
        <c:noMultiLvlLbl val="0"/>
      </c:catAx>
      <c:valAx>
        <c:axId val="3829683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RECs (Thousands)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82966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9043401574803149E-2"/>
          <c:y val="0.78137388179743672"/>
          <c:w val="0.95257969553805777"/>
          <c:h val="0.18338383288681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California RPS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84184776902887"/>
          <c:y val="0.10612830350175116"/>
          <c:w val="0.86869148556430442"/>
          <c:h val="0.54552806849151603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'California RPS'!$B$47</c:f>
              <c:strCache>
                <c:ptCount val="1"/>
                <c:pt idx="0">
                  <c:v>Unbundled Surrendered</c:v>
                </c:pt>
              </c:strCache>
            </c:strRef>
          </c:tx>
          <c:spPr>
            <a:pattFill prst="ltDnDiag">
              <a:fgClr>
                <a:schemeClr val="tx2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val>
            <c:numRef>
              <c:f>'California RPS'!$K$47:$AE$47</c:f>
              <c:numCache>
                <c:formatCode>#,##0</c:formatCode>
                <c:ptCount val="21"/>
                <c:pt idx="0">
                  <c:v>86.240800321501069</c:v>
                </c:pt>
                <c:pt idx="1">
                  <c:v>85.520264545645915</c:v>
                </c:pt>
                <c:pt idx="2">
                  <c:v>84.896139117218766</c:v>
                </c:pt>
                <c:pt idx="3">
                  <c:v>81.739536609821982</c:v>
                </c:pt>
                <c:pt idx="4">
                  <c:v>80.7925544806575</c:v>
                </c:pt>
                <c:pt idx="5">
                  <c:v>90.290744945766932</c:v>
                </c:pt>
                <c:pt idx="6">
                  <c:v>209.79533569879564</c:v>
                </c:pt>
                <c:pt idx="7">
                  <c:v>180.7788923610612</c:v>
                </c:pt>
                <c:pt idx="8">
                  <c:v>167.72439815966774</c:v>
                </c:pt>
                <c:pt idx="9">
                  <c:v>180.00253855422778</c:v>
                </c:pt>
                <c:pt idx="10">
                  <c:v>180.3658349958896</c:v>
                </c:pt>
                <c:pt idx="11">
                  <c:v>183.27879214305383</c:v>
                </c:pt>
                <c:pt idx="12">
                  <c:v>175.624</c:v>
                </c:pt>
                <c:pt idx="13">
                  <c:v>186.26300000000001</c:v>
                </c:pt>
                <c:pt idx="14">
                  <c:v>187.501</c:v>
                </c:pt>
                <c:pt idx="15">
                  <c:v>203.536</c:v>
                </c:pt>
                <c:pt idx="16">
                  <c:v>210.6</c:v>
                </c:pt>
                <c:pt idx="17">
                  <c:v>168.934</c:v>
                </c:pt>
                <c:pt idx="18">
                  <c:v>147.53800000000001</c:v>
                </c:pt>
                <c:pt idx="19">
                  <c:v>160.13200000000001</c:v>
                </c:pt>
                <c:pt idx="20">
                  <c:v>154.727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8-4625-BC48-29287ACCAEFE}"/>
            </c:ext>
          </c:extLst>
        </c:ser>
        <c:ser>
          <c:idx val="2"/>
          <c:order val="2"/>
          <c:tx>
            <c:strRef>
              <c:f>'California RPS'!$B$45</c:f>
              <c:strCache>
                <c:ptCount val="1"/>
                <c:pt idx="0">
                  <c:v>Bundled Surrendered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'California RPS'!$K$45:$AE$45</c:f>
              <c:numCache>
                <c:formatCode>#,##0</c:formatCode>
                <c:ptCount val="21"/>
                <c:pt idx="0">
                  <c:v>105.79803840912535</c:v>
                </c:pt>
                <c:pt idx="1">
                  <c:v>99.879643876744964</c:v>
                </c:pt>
                <c:pt idx="2">
                  <c:v>109.55198843734338</c:v>
                </c:pt>
                <c:pt idx="3">
                  <c:v>144.16296624246579</c:v>
                </c:pt>
                <c:pt idx="4">
                  <c:v>171.70550077625066</c:v>
                </c:pt>
                <c:pt idx="5">
                  <c:v>232.54567389757412</c:v>
                </c:pt>
                <c:pt idx="6">
                  <c:v>225.58564869890537</c:v>
                </c:pt>
                <c:pt idx="7">
                  <c:v>251.79188506994646</c:v>
                </c:pt>
                <c:pt idx="8">
                  <c:v>259.87876351697918</c:v>
                </c:pt>
                <c:pt idx="9">
                  <c:v>244.29270423247164</c:v>
                </c:pt>
                <c:pt idx="10">
                  <c:v>241.26034563527998</c:v>
                </c:pt>
                <c:pt idx="11">
                  <c:v>236.88702276943474</c:v>
                </c:pt>
                <c:pt idx="12">
                  <c:v>242.12714114230599</c:v>
                </c:pt>
                <c:pt idx="13">
                  <c:v>230.54108469430224</c:v>
                </c:pt>
                <c:pt idx="14">
                  <c:v>228.66339334598032</c:v>
                </c:pt>
                <c:pt idx="15">
                  <c:v>213.87112006177554</c:v>
                </c:pt>
                <c:pt idx="16">
                  <c:v>205.44074326100397</c:v>
                </c:pt>
                <c:pt idx="17">
                  <c:v>247.73389899766539</c:v>
                </c:pt>
                <c:pt idx="18">
                  <c:v>269.43229886068985</c:v>
                </c:pt>
                <c:pt idx="19">
                  <c:v>258.70940016499958</c:v>
                </c:pt>
                <c:pt idx="20">
                  <c:v>263.79501444171979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58-4625-BC48-29287ACCAEFE}"/>
            </c:ext>
          </c:extLst>
        </c:ser>
        <c:ser>
          <c:idx val="5"/>
          <c:order val="3"/>
          <c:tx>
            <c:strRef>
              <c:f>'California RPS'!$B$48</c:f>
              <c:strCache>
                <c:ptCount val="1"/>
                <c:pt idx="0">
                  <c:v>Unbundled Bank Surrendered</c:v>
                </c:pt>
              </c:strCache>
            </c:strRef>
          </c:tx>
          <c:spPr>
            <a:pattFill prst="ltDnDiag">
              <a:fgClr>
                <a:schemeClr val="accent3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val>
            <c:numRef>
              <c:f>'California RPS'!$K$48:$AE$48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58-4625-BC48-29287ACCAEFE}"/>
            </c:ext>
          </c:extLst>
        </c:ser>
        <c:ser>
          <c:idx val="3"/>
          <c:order val="4"/>
          <c:tx>
            <c:strRef>
              <c:f>'California RPS'!$B$46</c:f>
              <c:strCache>
                <c:ptCount val="1"/>
                <c:pt idx="0">
                  <c:v>Bundled Bank Surrendered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'California RPS'!$K$46:$AE$46</c:f>
              <c:numCache>
                <c:formatCode>#,##0</c:formatCode>
                <c:ptCount val="21"/>
                <c:pt idx="0">
                  <c:v>163.68120097129724</c:v>
                </c:pt>
                <c:pt idx="1">
                  <c:v>189.13247451948322</c:v>
                </c:pt>
                <c:pt idx="2">
                  <c:v>197.03037559965981</c:v>
                </c:pt>
                <c:pt idx="3">
                  <c:v>183.20999902136649</c:v>
                </c:pt>
                <c:pt idx="4">
                  <c:v>171.25829027294878</c:v>
                </c:pt>
                <c:pt idx="5">
                  <c:v>116.50613729446631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2.5137063657166436E-4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58-4625-BC48-29287ACCAEFE}"/>
            </c:ext>
          </c:extLst>
        </c:ser>
        <c:ser>
          <c:idx val="7"/>
          <c:order val="5"/>
          <c:tx>
            <c:strRef>
              <c:f>'California RPS'!$B$51</c:f>
              <c:strCache>
                <c:ptCount val="1"/>
                <c:pt idx="0">
                  <c:v>Year-end Unbundled Bank Balance</c:v>
                </c:pt>
              </c:strCache>
            </c:strRef>
          </c:tx>
          <c:spPr>
            <a:pattFill prst="ltDnDiag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val>
            <c:numRef>
              <c:f>'California RPS'!$K$51:$AE$51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58-4625-BC48-29287ACCAEFE}"/>
            </c:ext>
          </c:extLst>
        </c:ser>
        <c:ser>
          <c:idx val="6"/>
          <c:order val="6"/>
          <c:tx>
            <c:strRef>
              <c:f>'California RPS'!$B$49</c:f>
              <c:strCache>
                <c:ptCount val="1"/>
                <c:pt idx="0">
                  <c:v>Year-end Bundled Bank Balance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'California RPS'!$K$49:$AE$49</c:f>
              <c:numCache>
                <c:formatCode>#,##0</c:formatCode>
                <c:ptCount val="21"/>
                <c:pt idx="0">
                  <c:v>189.13247451948322</c:v>
                </c:pt>
                <c:pt idx="1">
                  <c:v>197.03037559965981</c:v>
                </c:pt>
                <c:pt idx="2">
                  <c:v>183.20999902136649</c:v>
                </c:pt>
                <c:pt idx="3">
                  <c:v>171.25829027294878</c:v>
                </c:pt>
                <c:pt idx="4">
                  <c:v>116.50613729446631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2.5137063657166436E-4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58-4625-BC48-29287ACCAEFE}"/>
            </c:ext>
          </c:extLst>
        </c:ser>
        <c:ser>
          <c:idx val="0"/>
          <c:order val="7"/>
          <c:tx>
            <c:strRef>
              <c:f>'California RPS'!$B$50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'California RPS'!$K$50:$AE$50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7.4847858515568081E-5</c:v>
                </c:pt>
                <c:pt idx="6">
                  <c:v>2.0223596919095144E-4</c:v>
                </c:pt>
                <c:pt idx="7">
                  <c:v>8.5752737708389765E-5</c:v>
                </c:pt>
                <c:pt idx="8">
                  <c:v>0</c:v>
                </c:pt>
                <c:pt idx="9">
                  <c:v>1.353687077423092E-2</c:v>
                </c:pt>
                <c:pt idx="10">
                  <c:v>1.3807955252472311E-2</c:v>
                </c:pt>
                <c:pt idx="11">
                  <c:v>0.49425003152404678</c:v>
                </c:pt>
                <c:pt idx="12">
                  <c:v>0.50444151753099864</c:v>
                </c:pt>
                <c:pt idx="13">
                  <c:v>0.48398979554395194</c:v>
                </c:pt>
                <c:pt idx="14">
                  <c:v>0.50278202304849406</c:v>
                </c:pt>
                <c:pt idx="15">
                  <c:v>0.48645611983799608</c:v>
                </c:pt>
                <c:pt idx="16">
                  <c:v>0.46416011786001038</c:v>
                </c:pt>
                <c:pt idx="17">
                  <c:v>0.48817419682483887</c:v>
                </c:pt>
                <c:pt idx="18">
                  <c:v>0.4753369023083942</c:v>
                </c:pt>
                <c:pt idx="19">
                  <c:v>0.46373644052469171</c:v>
                </c:pt>
                <c:pt idx="20">
                  <c:v>0.47591255521657877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58-4625-BC48-29287ACCA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382966360"/>
        <c:axId val="382968320"/>
      </c:barChart>
      <c:lineChart>
        <c:grouping val="standard"/>
        <c:varyColors val="0"/>
        <c:ser>
          <c:idx val="1"/>
          <c:order val="0"/>
          <c:tx>
            <c:strRef>
              <c:f>'California RPS'!$B$44</c:f>
              <c:strCache>
                <c:ptCount val="1"/>
                <c:pt idx="0">
                  <c:v>Requirement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'California RPS'!$K$43:$AE$43</c:f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'California RPS'!$K$44:$AE$44</c:f>
              <c:numCache>
                <c:formatCode>#,##0</c:formatCode>
                <c:ptCount val="21"/>
                <c:pt idx="0">
                  <c:v>355.72003970192367</c:v>
                </c:pt>
                <c:pt idx="1">
                  <c:v>374.53238294187412</c:v>
                </c:pt>
                <c:pt idx="2">
                  <c:v>391.47850315422198</c:v>
                </c:pt>
                <c:pt idx="3">
                  <c:v>409.1125018736542</c:v>
                </c:pt>
                <c:pt idx="4">
                  <c:v>423.75634552985696</c:v>
                </c:pt>
                <c:pt idx="5">
                  <c:v>439.34263098566589</c:v>
                </c:pt>
                <c:pt idx="6">
                  <c:v>435.38118663367015</c:v>
                </c:pt>
                <c:pt idx="7">
                  <c:v>432.57086318374536</c:v>
                </c:pt>
                <c:pt idx="8">
                  <c:v>427.60316167664689</c:v>
                </c:pt>
                <c:pt idx="9">
                  <c:v>424.30903102811027</c:v>
                </c:pt>
                <c:pt idx="10">
                  <c:v>421.63998858642208</c:v>
                </c:pt>
                <c:pt idx="11">
                  <c:v>420.66006494401262</c:v>
                </c:pt>
                <c:pt idx="12">
                  <c:v>418.25558265983699</c:v>
                </c:pt>
                <c:pt idx="13">
                  <c:v>417.28807448984617</c:v>
                </c:pt>
                <c:pt idx="14">
                  <c:v>416.66717536902883</c:v>
                </c:pt>
                <c:pt idx="15">
                  <c:v>417.89357618161353</c:v>
                </c:pt>
                <c:pt idx="16">
                  <c:v>416.50490337886401</c:v>
                </c:pt>
                <c:pt idx="17">
                  <c:v>417.1560731944902</c:v>
                </c:pt>
                <c:pt idx="18">
                  <c:v>417.44563576299828</c:v>
                </c:pt>
                <c:pt idx="19">
                  <c:v>419.3051366055243</c:v>
                </c:pt>
                <c:pt idx="20">
                  <c:v>418.99792699693637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58-4625-BC48-29287ACCA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966360"/>
        <c:axId val="382968320"/>
      </c:lineChart>
      <c:catAx>
        <c:axId val="382966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382968320"/>
        <c:crosses val="autoZero"/>
        <c:auto val="1"/>
        <c:lblAlgn val="ctr"/>
        <c:lblOffset val="100"/>
        <c:noMultiLvlLbl val="0"/>
      </c:catAx>
      <c:valAx>
        <c:axId val="382968320"/>
        <c:scaling>
          <c:orientation val="minMax"/>
          <c:max val="8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RECs (Thousands)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82966360"/>
        <c:crosses val="autoZero"/>
        <c:crossBetween val="between"/>
        <c:majorUnit val="200"/>
        <c:minorUnit val="20"/>
      </c:valAx>
    </c:plotArea>
    <c:legend>
      <c:legendPos val="b"/>
      <c:layout>
        <c:manualLayout>
          <c:xMode val="edge"/>
          <c:yMode val="edge"/>
          <c:x val="2.9043401574803149E-2"/>
          <c:y val="0.78137388179743672"/>
          <c:w val="0.95257969553805777"/>
          <c:h val="0.18338383288681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Washington RPS Compliance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84184776902887"/>
          <c:y val="0.10612830350175116"/>
          <c:w val="0.86869148556430442"/>
          <c:h val="0.54552806849151603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'Washington RPS'!$B$47</c:f>
              <c:strCache>
                <c:ptCount val="1"/>
                <c:pt idx="0">
                  <c:v>Unbundled Surrendered</c:v>
                </c:pt>
              </c:strCache>
            </c:strRef>
          </c:tx>
          <c:spPr>
            <a:pattFill prst="ltDnDiag">
              <a:fgClr>
                <a:schemeClr val="tx2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val>
            <c:numRef>
              <c:f>'Washington RPS'!$J$47:$AD$47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D-464F-B139-6BE747FA21AE}"/>
            </c:ext>
          </c:extLst>
        </c:ser>
        <c:ser>
          <c:idx val="2"/>
          <c:order val="2"/>
          <c:tx>
            <c:strRef>
              <c:f>'Washington RPS'!$B$45</c:f>
              <c:strCache>
                <c:ptCount val="1"/>
                <c:pt idx="0">
                  <c:v>Bundled Surrendered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'Washington RPS'!$J$45:$AD$45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ED-464F-B139-6BE747FA21AE}"/>
            </c:ext>
          </c:extLst>
        </c:ser>
        <c:ser>
          <c:idx val="5"/>
          <c:order val="3"/>
          <c:tx>
            <c:strRef>
              <c:f>'Washington RPS'!$B$48</c:f>
              <c:strCache>
                <c:ptCount val="1"/>
                <c:pt idx="0">
                  <c:v>Unbundled Bank Surrendered</c:v>
                </c:pt>
              </c:strCache>
            </c:strRef>
          </c:tx>
          <c:spPr>
            <a:pattFill prst="ltDnDiag">
              <a:fgClr>
                <a:schemeClr val="accent3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val>
            <c:numRef>
              <c:f>'Washington RPS'!$J$48:$AD$48</c:f>
              <c:numCache>
                <c:formatCode>#,##0</c:formatCode>
                <c:ptCount val="21"/>
                <c:pt idx="0">
                  <c:v>92.224910170489878</c:v>
                </c:pt>
                <c:pt idx="1">
                  <c:v>84.96981660598</c:v>
                </c:pt>
                <c:pt idx="2">
                  <c:v>83.14424357229997</c:v>
                </c:pt>
                <c:pt idx="3">
                  <c:v>79.124103677740038</c:v>
                </c:pt>
                <c:pt idx="4">
                  <c:v>59.49686854664003</c:v>
                </c:pt>
                <c:pt idx="5">
                  <c:v>55.916969178979983</c:v>
                </c:pt>
                <c:pt idx="6">
                  <c:v>75.337900740631611</c:v>
                </c:pt>
                <c:pt idx="7">
                  <c:v>74.750786173886453</c:v>
                </c:pt>
                <c:pt idx="8">
                  <c:v>74.146701169230482</c:v>
                </c:pt>
                <c:pt idx="9">
                  <c:v>73.455635977720817</c:v>
                </c:pt>
                <c:pt idx="10">
                  <c:v>72.939292344561764</c:v>
                </c:pt>
                <c:pt idx="11">
                  <c:v>72.261162270420343</c:v>
                </c:pt>
                <c:pt idx="12">
                  <c:v>32.535788297706141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ED-464F-B139-6BE747FA21AE}"/>
            </c:ext>
          </c:extLst>
        </c:ser>
        <c:ser>
          <c:idx val="3"/>
          <c:order val="4"/>
          <c:tx>
            <c:strRef>
              <c:f>'Washington RPS'!$B$46</c:f>
              <c:strCache>
                <c:ptCount val="1"/>
                <c:pt idx="0">
                  <c:v>Bundled Bank Surrendered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'Washington RPS'!$J$46:$AD$46</c:f>
              <c:numCache>
                <c:formatCode>#,##0</c:formatCode>
                <c:ptCount val="21"/>
                <c:pt idx="0">
                  <c:v>523.20914412061541</c:v>
                </c:pt>
                <c:pt idx="1">
                  <c:v>526.95583768964082</c:v>
                </c:pt>
                <c:pt idx="2">
                  <c:v>529.34138595738534</c:v>
                </c:pt>
                <c:pt idx="3">
                  <c:v>543.19427061956208</c:v>
                </c:pt>
                <c:pt idx="4">
                  <c:v>583.2717604634347</c:v>
                </c:pt>
                <c:pt idx="5">
                  <c:v>594.74839161844818</c:v>
                </c:pt>
                <c:pt idx="6">
                  <c:v>571.39165995180235</c:v>
                </c:pt>
                <c:pt idx="7">
                  <c:v>568.5095160853275</c:v>
                </c:pt>
                <c:pt idx="8">
                  <c:v>565.9663266859344</c:v>
                </c:pt>
                <c:pt idx="9">
                  <c:v>562.68635684911624</c:v>
                </c:pt>
                <c:pt idx="10">
                  <c:v>558.78873268827624</c:v>
                </c:pt>
                <c:pt idx="11">
                  <c:v>556.82437067275384</c:v>
                </c:pt>
                <c:pt idx="12">
                  <c:v>596.37131453975246</c:v>
                </c:pt>
                <c:pt idx="13">
                  <c:v>629.39201928987666</c:v>
                </c:pt>
                <c:pt idx="14">
                  <c:v>630.22932343592288</c:v>
                </c:pt>
                <c:pt idx="15">
                  <c:v>632.88049520711832</c:v>
                </c:pt>
                <c:pt idx="16">
                  <c:v>637.29980742272369</c:v>
                </c:pt>
                <c:pt idx="17">
                  <c:v>641.23925731389681</c:v>
                </c:pt>
                <c:pt idx="18">
                  <c:v>644.76867894514896</c:v>
                </c:pt>
                <c:pt idx="19">
                  <c:v>649.45121600085361</c:v>
                </c:pt>
                <c:pt idx="20">
                  <c:v>655.14742059676917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ED-464F-B139-6BE747FA21AE}"/>
            </c:ext>
          </c:extLst>
        </c:ser>
        <c:ser>
          <c:idx val="7"/>
          <c:order val="5"/>
          <c:tx>
            <c:strRef>
              <c:f>'Washington RPS'!$B$51</c:f>
              <c:strCache>
                <c:ptCount val="1"/>
                <c:pt idx="0">
                  <c:v>Year-end Unbundled Bank Balance</c:v>
                </c:pt>
              </c:strCache>
            </c:strRef>
          </c:tx>
          <c:spPr>
            <a:pattFill prst="ltDnDiag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val>
            <c:numRef>
              <c:f>'Washington RPS'!$J$51:$AD$51</c:f>
              <c:numCache>
                <c:formatCode>#,##0</c:formatCode>
                <c:ptCount val="21"/>
                <c:pt idx="0">
                  <c:v>84.96981660598</c:v>
                </c:pt>
                <c:pt idx="1">
                  <c:v>83.14424357229997</c:v>
                </c:pt>
                <c:pt idx="2">
                  <c:v>79.124103677740038</c:v>
                </c:pt>
                <c:pt idx="3">
                  <c:v>59.49686854664003</c:v>
                </c:pt>
                <c:pt idx="4">
                  <c:v>55.916969178979983</c:v>
                </c:pt>
                <c:pt idx="5">
                  <c:v>75.337900740631611</c:v>
                </c:pt>
                <c:pt idx="6">
                  <c:v>74.750786173886453</c:v>
                </c:pt>
                <c:pt idx="7">
                  <c:v>74.146701169230482</c:v>
                </c:pt>
                <c:pt idx="8">
                  <c:v>73.455635977720817</c:v>
                </c:pt>
                <c:pt idx="9">
                  <c:v>72.939292344561764</c:v>
                </c:pt>
                <c:pt idx="10">
                  <c:v>72.261162270420343</c:v>
                </c:pt>
                <c:pt idx="11">
                  <c:v>32.535788297706141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ED-464F-B139-6BE747FA21AE}"/>
            </c:ext>
          </c:extLst>
        </c:ser>
        <c:ser>
          <c:idx val="6"/>
          <c:order val="6"/>
          <c:tx>
            <c:strRef>
              <c:f>'Washington RPS'!$B$49</c:f>
              <c:strCache>
                <c:ptCount val="1"/>
                <c:pt idx="0">
                  <c:v>Year-end Bundled Bank Balance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'Washington RPS'!$J$49:$AD$49</c:f>
              <c:numCache>
                <c:formatCode>#,##0</c:formatCode>
                <c:ptCount val="21"/>
                <c:pt idx="0">
                  <c:v>1218.0491397382355</c:v>
                </c:pt>
                <c:pt idx="1">
                  <c:v>1402.3072845863419</c:v>
                </c:pt>
                <c:pt idx="2">
                  <c:v>1459.2152603832619</c:v>
                </c:pt>
                <c:pt idx="3">
                  <c:v>1552.2063878758443</c:v>
                </c:pt>
                <c:pt idx="4">
                  <c:v>1775.1809025190908</c:v>
                </c:pt>
                <c:pt idx="5">
                  <c:v>2071.8456876382061</c:v>
                </c:pt>
                <c:pt idx="6">
                  <c:v>2295.6398811711306</c:v>
                </c:pt>
                <c:pt idx="7">
                  <c:v>2560.768765161165</c:v>
                </c:pt>
                <c:pt idx="8">
                  <c:v>2779.5089052464878</c:v>
                </c:pt>
                <c:pt idx="9">
                  <c:v>2813.9946269214302</c:v>
                </c:pt>
                <c:pt idx="10">
                  <c:v>2815.169349740233</c:v>
                </c:pt>
                <c:pt idx="11">
                  <c:v>3605.3931183037535</c:v>
                </c:pt>
                <c:pt idx="12">
                  <c:v>4390.7419298311343</c:v>
                </c:pt>
                <c:pt idx="13">
                  <c:v>4385.7928468474038</c:v>
                </c:pt>
                <c:pt idx="14">
                  <c:v>4389.5746768715589</c:v>
                </c:pt>
                <c:pt idx="15">
                  <c:v>4391.1575953046904</c:v>
                </c:pt>
                <c:pt idx="16">
                  <c:v>4403.7998991627146</c:v>
                </c:pt>
                <c:pt idx="17">
                  <c:v>4495.5202765940876</c:v>
                </c:pt>
                <c:pt idx="18">
                  <c:v>4669.6588159547809</c:v>
                </c:pt>
                <c:pt idx="19">
                  <c:v>4755.8316333188077</c:v>
                </c:pt>
                <c:pt idx="20">
                  <c:v>4737.1117452292719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ED-464F-B139-6BE747FA21AE}"/>
            </c:ext>
          </c:extLst>
        </c:ser>
        <c:ser>
          <c:idx val="0"/>
          <c:order val="7"/>
          <c:tx>
            <c:strRef>
              <c:f>'Washington RPS'!$B$50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'Washington RPS'!$J$50:$AD$50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ED-464F-B139-6BE747FA2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382971848"/>
        <c:axId val="382965184"/>
      </c:barChart>
      <c:lineChart>
        <c:grouping val="standard"/>
        <c:varyColors val="0"/>
        <c:ser>
          <c:idx val="1"/>
          <c:order val="0"/>
          <c:tx>
            <c:strRef>
              <c:f>'Washington RPS'!$B$44</c:f>
              <c:strCache>
                <c:ptCount val="1"/>
                <c:pt idx="0">
                  <c:v>Requirement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'Washington RPS'!$J$43:$AD$43</c:f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'Washington RPS'!$J$44:$AD$44</c:f>
              <c:numCache>
                <c:formatCode>#,##0</c:formatCode>
                <c:ptCount val="21"/>
                <c:pt idx="0">
                  <c:v>615.43405429110521</c:v>
                </c:pt>
                <c:pt idx="1">
                  <c:v>611.9256542956208</c:v>
                </c:pt>
                <c:pt idx="2">
                  <c:v>612.4856295296853</c:v>
                </c:pt>
                <c:pt idx="3">
                  <c:v>622.31837429730217</c:v>
                </c:pt>
                <c:pt idx="4">
                  <c:v>642.76862901007473</c:v>
                </c:pt>
                <c:pt idx="5">
                  <c:v>650.66536079742821</c:v>
                </c:pt>
                <c:pt idx="6">
                  <c:v>646.72956069243401</c:v>
                </c:pt>
                <c:pt idx="7">
                  <c:v>643.26030225921397</c:v>
                </c:pt>
                <c:pt idx="8">
                  <c:v>640.113027855165</c:v>
                </c:pt>
                <c:pt idx="9">
                  <c:v>636.14199282683717</c:v>
                </c:pt>
                <c:pt idx="10">
                  <c:v>631.72802503283799</c:v>
                </c:pt>
                <c:pt idx="11">
                  <c:v>629.08553294317426</c:v>
                </c:pt>
                <c:pt idx="12">
                  <c:v>628.90710283745864</c:v>
                </c:pt>
                <c:pt idx="13">
                  <c:v>629.39201928987666</c:v>
                </c:pt>
                <c:pt idx="14">
                  <c:v>630.22932343592288</c:v>
                </c:pt>
                <c:pt idx="15">
                  <c:v>632.88049520711832</c:v>
                </c:pt>
                <c:pt idx="16">
                  <c:v>637.29980742272369</c:v>
                </c:pt>
                <c:pt idx="17">
                  <c:v>641.23925731389681</c:v>
                </c:pt>
                <c:pt idx="18">
                  <c:v>644.76867894514896</c:v>
                </c:pt>
                <c:pt idx="19">
                  <c:v>649.45121600085361</c:v>
                </c:pt>
                <c:pt idx="20">
                  <c:v>655.14742059676917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9ED-464F-B139-6BE747FA2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971848"/>
        <c:axId val="382965184"/>
      </c:lineChart>
      <c:catAx>
        <c:axId val="382971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 algn="ctr">
              <a:defRPr lang="en-US"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82965184"/>
        <c:crosses val="autoZero"/>
        <c:auto val="1"/>
        <c:lblAlgn val="ctr"/>
        <c:lblOffset val="100"/>
        <c:noMultiLvlLbl val="0"/>
      </c:catAx>
      <c:valAx>
        <c:axId val="382965184"/>
        <c:scaling>
          <c:orientation val="minMax"/>
          <c:max val="8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RECs (Thousands)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82971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9043401574803149E-2"/>
          <c:y val="0.78137388179743672"/>
          <c:w val="0.95257969553805777"/>
          <c:h val="0.183383832886818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136071</xdr:colOff>
      <xdr:row>2</xdr:row>
      <xdr:rowOff>93592</xdr:rowOff>
    </xdr:from>
    <xdr:to>
      <xdr:col>11</xdr:col>
      <xdr:colOff>437372</xdr:colOff>
      <xdr:row>17</xdr:row>
      <xdr:rowOff>164148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136073</xdr:colOff>
      <xdr:row>35</xdr:row>
      <xdr:rowOff>65453</xdr:rowOff>
    </xdr:from>
    <xdr:to>
      <xdr:col>11</xdr:col>
      <xdr:colOff>441417</xdr:colOff>
      <xdr:row>50</xdr:row>
      <xdr:rowOff>173660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135437</xdr:colOff>
      <xdr:row>17</xdr:row>
      <xdr:rowOff>154214</xdr:rowOff>
    </xdr:from>
    <xdr:to>
      <xdr:col>11</xdr:col>
      <xdr:colOff>440781</xdr:colOff>
      <xdr:row>35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C41438F-0DD2-4FA7-A09F-D0F985418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323849</xdr:colOff>
      <xdr:row>57</xdr:row>
      <xdr:rowOff>0</xdr:rowOff>
    </xdr:from>
    <xdr:to>
      <xdr:col>14</xdr:col>
      <xdr:colOff>371475</xdr:colOff>
      <xdr:row>83</xdr:row>
      <xdr:rowOff>109482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CC165E-3EDB-40C6-ACCF-79B8CCB75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561975</xdr:colOff>
      <xdr:row>7</xdr:row>
      <xdr:rowOff>1606</xdr:rowOff>
    </xdr:from>
    <xdr:to>
      <xdr:col>34</xdr:col>
      <xdr:colOff>489800</xdr:colOff>
      <xdr:row>14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9C64C5-94A2-40F5-BCD4-B3B2F87C0BA3}"/>
            </a:ext>
          </a:extLst>
        </xdr:cNvPr>
        <xdr:cNvSpPr txBox="1"/>
      </xdr:nvSpPr>
      <xdr:spPr>
        <a:xfrm>
          <a:off x="25441275" y="1335106"/>
          <a:ext cx="2366225" cy="1379519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Total OR 2024 bank based on:</a:t>
          </a:r>
        </a:p>
        <a:p>
          <a:endParaRPr lang="en-US" sz="1100" baseline="0"/>
        </a:p>
        <a:p>
          <a:r>
            <a:rPr lang="en-US" sz="1100" baseline="0"/>
            <a:t>Active WREGIS Certificate file</a:t>
          </a:r>
        </a:p>
        <a:p>
          <a:r>
            <a:rPr lang="en-US" sz="1100" baseline="0"/>
            <a:t>Total = 7,375,325 </a:t>
          </a:r>
        </a:p>
        <a:p>
          <a:r>
            <a:rPr lang="en-US" sz="1100" baseline="0"/>
            <a:t>Black Cap 2xMultiplier = 0</a:t>
          </a:r>
        </a:p>
        <a:p>
          <a:r>
            <a:rPr lang="en-US" sz="1100" baseline="0"/>
            <a:t>Unbundled bank = 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323848</xdr:colOff>
      <xdr:row>57</xdr:row>
      <xdr:rowOff>19050</xdr:rowOff>
    </xdr:from>
    <xdr:to>
      <xdr:col>13</xdr:col>
      <xdr:colOff>412750</xdr:colOff>
      <xdr:row>78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568854</xdr:colOff>
      <xdr:row>9</xdr:row>
      <xdr:rowOff>138640</xdr:rowOff>
    </xdr:from>
    <xdr:to>
      <xdr:col>35</xdr:col>
      <xdr:colOff>57150</xdr:colOff>
      <xdr:row>16</xdr:row>
      <xdr:rowOff>26458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7FF8D24-D322-406E-8817-E2A4C5902DD1}"/>
            </a:ext>
          </a:extLst>
        </xdr:cNvPr>
        <xdr:cNvSpPr txBox="1"/>
      </xdr:nvSpPr>
      <xdr:spPr>
        <a:xfrm>
          <a:off x="27222979" y="1710265"/>
          <a:ext cx="1298046" cy="1110193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5437 is the current bank of PCC0</a:t>
          </a:r>
          <a:r>
            <a:rPr lang="en-US" sz="1100" baseline="0"/>
            <a:t> RECs from the Actual CA RPS Compliance Report</a:t>
          </a:r>
          <a:endParaRPr lang="en-US" sz="1100"/>
        </a:p>
      </xdr:txBody>
    </xdr:sp>
    <xdr:clientData/>
  </xdr:twoCellAnchor>
  <xdr:twoCellAnchor>
    <xdr:from>
      <xdr:col>32</xdr:col>
      <xdr:colOff>362404</xdr:colOff>
      <xdr:row>2</xdr:row>
      <xdr:rowOff>28575</xdr:rowOff>
    </xdr:from>
    <xdr:to>
      <xdr:col>35</xdr:col>
      <xdr:colOff>67129</xdr:colOff>
      <xdr:row>7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049904F-1D59-4DCA-917F-54AAE14078AC}"/>
            </a:ext>
          </a:extLst>
        </xdr:cNvPr>
        <xdr:cNvSpPr txBox="1"/>
      </xdr:nvSpPr>
      <xdr:spPr>
        <a:xfrm>
          <a:off x="27016529" y="377825"/>
          <a:ext cx="1514475" cy="873125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Retail Sales</a:t>
          </a:r>
        </a:p>
        <a:p>
          <a:endParaRPr lang="en-US" sz="1100" baseline="0"/>
        </a:p>
        <a:p>
          <a:r>
            <a:rPr lang="en-US" sz="1100" baseline="0"/>
            <a:t>Ties to IRP Forecast</a:t>
          </a:r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695323</xdr:colOff>
      <xdr:row>56</xdr:row>
      <xdr:rowOff>74083</xdr:rowOff>
    </xdr:from>
    <xdr:to>
      <xdr:col>14</xdr:col>
      <xdr:colOff>550333</xdr:colOff>
      <xdr:row>72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656166</xdr:colOff>
      <xdr:row>0</xdr:row>
      <xdr:rowOff>0</xdr:rowOff>
    </xdr:from>
    <xdr:to>
      <xdr:col>32</xdr:col>
      <xdr:colOff>412749</xdr:colOff>
      <xdr:row>6</xdr:row>
      <xdr:rowOff>137584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C67214B-5881-4B35-A62D-17E7FFC542FD}"/>
            </a:ext>
          </a:extLst>
        </xdr:cNvPr>
        <xdr:cNvSpPr txBox="1"/>
      </xdr:nvSpPr>
      <xdr:spPr>
        <a:xfrm>
          <a:off x="24288749" y="0"/>
          <a:ext cx="1640417" cy="1280584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Starting bank balance as of 12/31/2021 = 161,476 per Revised Allocation for WA RPS Compliance Report.  The 2025 bank and forward are calculated.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46FFA-9DE5-4C7B-842F-2B36FE084BD8}">
  <sheetPr codeName="Sheet11"/>
  <dimension ref="A1:A8"/>
  <sheetViews>
    <sheetView tabSelected="1" zoomScaleNormal="100" workbookViewId="0">
      <selection activeCell="B12" sqref="B12"/>
    </sheetView>
  </sheetViews>
  <sheetFormatPr defaultRowHeight="14" x14ac:dyDescent="0.3"/>
  <cols>
    <col min="1" max="1" width="23.453125" style="2" customWidth="1"/>
    <col min="2" max="16384" width="8.7265625" style="2"/>
  </cols>
  <sheetData>
    <row r="1" spans="1:1" x14ac:dyDescent="0.3">
      <c r="A1" s="1" t="s">
        <v>82</v>
      </c>
    </row>
    <row r="2" spans="1:1" x14ac:dyDescent="0.3">
      <c r="A2" s="1" t="s">
        <v>86</v>
      </c>
    </row>
    <row r="3" spans="1:1" x14ac:dyDescent="0.3">
      <c r="A3" s="1" t="s">
        <v>88</v>
      </c>
    </row>
    <row r="4" spans="1:1" x14ac:dyDescent="0.3">
      <c r="A4" s="1" t="s">
        <v>87</v>
      </c>
    </row>
    <row r="5" spans="1:1" x14ac:dyDescent="0.3">
      <c r="A5" s="1" t="s">
        <v>83</v>
      </c>
    </row>
    <row r="6" spans="1:1" x14ac:dyDescent="0.3">
      <c r="A6" s="1" t="s">
        <v>89</v>
      </c>
    </row>
    <row r="7" spans="1:1" x14ac:dyDescent="0.3">
      <c r="A7" s="1" t="s">
        <v>84</v>
      </c>
    </row>
    <row r="8" spans="1:1" x14ac:dyDescent="0.3">
      <c r="A8" s="1" t="s">
        <v>85</v>
      </c>
    </row>
  </sheetData>
  <hyperlinks>
    <hyperlink ref="A1" location="'Figure'!A1" display="Figure" xr:uid="{CC8FAEB4-3C15-4190-97CB-37540E7EFC76}"/>
    <hyperlink ref="A2" location="'Oregon RPS'!A1" display="Oregon RPS" xr:uid="{98C9FE83-4B72-48C7-9671-5DEC7CD73A42}"/>
    <hyperlink ref="A3" location="'California RPS'!A1" display="California RPS" xr:uid="{E35C03F9-1B3A-4D5D-9C54-D84C3054E3E9}"/>
    <hyperlink ref="A4" location="'Washington RPS'!A1" display="Washington RPS" xr:uid="{92C6E131-1AB7-4036-A6BB-104ADB16BF19}"/>
    <hyperlink ref="A5" location="'IRP RE Inputs'!A1" display="IRP RE Inputs" xr:uid="{5373F78C-EBDD-4451-BF09-BAE3A5D9F680}"/>
    <hyperlink ref="A6" location="'Targets'!A1" display="Targets" xr:uid="{A61615E5-817F-4F4F-8915-C3348D47A26F}"/>
    <hyperlink ref="A7" location="'Retail Sales'!A1" display="Retail Sales" xr:uid="{1AC40E17-4E7A-4BE7-98ED-BB18214BD7E9}"/>
    <hyperlink ref="A8" location="'Inc Hydro'!A1" display="Inc Hydro" xr:uid="{EB2D1107-B8E2-49DC-87E0-2B36924A89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"/>
  <sheetViews>
    <sheetView showGridLines="0" zoomScaleNormal="100" workbookViewId="0"/>
  </sheetViews>
  <sheetFormatPr defaultRowHeight="14" x14ac:dyDescent="0.3"/>
  <cols>
    <col min="1" max="1" width="8.7265625" style="2"/>
    <col min="2" max="2" width="18.453125" style="2" customWidth="1"/>
    <col min="3" max="16384" width="8.7265625" style="2"/>
  </cols>
  <sheetData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511A2-0B3B-43D7-959D-6E1D5625FCDB}">
  <sheetPr codeName="Sheet4"/>
  <dimension ref="A1:AF56"/>
  <sheetViews>
    <sheetView showGridLines="0" zoomScaleNormal="100" workbookViewId="0"/>
  </sheetViews>
  <sheetFormatPr defaultRowHeight="14" x14ac:dyDescent="0.3"/>
  <cols>
    <col min="1" max="1" width="14.7265625" style="2" customWidth="1"/>
    <col min="2" max="2" width="40.26953125" style="2" customWidth="1"/>
    <col min="3" max="3" width="12.54296875" style="2" customWidth="1"/>
    <col min="4" max="5" width="11.453125" style="2" customWidth="1"/>
    <col min="6" max="6" width="12.26953125" style="2" bestFit="1" customWidth="1"/>
    <col min="7" max="27" width="11.453125" style="2" customWidth="1"/>
    <col min="28" max="30" width="10.1796875" style="2" bestFit="1" customWidth="1"/>
    <col min="31" max="16384" width="8.7265625" style="2"/>
  </cols>
  <sheetData>
    <row r="1" spans="1:32" x14ac:dyDescent="0.3">
      <c r="A1" s="3"/>
    </row>
    <row r="6" spans="1:32" x14ac:dyDescent="0.3">
      <c r="B6" s="11" t="s">
        <v>2</v>
      </c>
      <c r="C6" s="10">
        <v>2018</v>
      </c>
      <c r="D6" s="10">
        <f t="shared" ref="D6:AA6" si="0">C6+1</f>
        <v>2019</v>
      </c>
      <c r="E6" s="10">
        <f t="shared" si="0"/>
        <v>2020</v>
      </c>
      <c r="F6" s="10">
        <f t="shared" si="0"/>
        <v>2021</v>
      </c>
      <c r="G6" s="10">
        <f t="shared" si="0"/>
        <v>2022</v>
      </c>
      <c r="H6" s="10">
        <f t="shared" si="0"/>
        <v>2023</v>
      </c>
      <c r="I6" s="10">
        <f t="shared" si="0"/>
        <v>2024</v>
      </c>
      <c r="J6" s="10">
        <f t="shared" si="0"/>
        <v>2025</v>
      </c>
      <c r="K6" s="10">
        <f t="shared" si="0"/>
        <v>2026</v>
      </c>
      <c r="L6" s="10">
        <f t="shared" si="0"/>
        <v>2027</v>
      </c>
      <c r="M6" s="10">
        <f t="shared" si="0"/>
        <v>2028</v>
      </c>
      <c r="N6" s="10">
        <f t="shared" si="0"/>
        <v>2029</v>
      </c>
      <c r="O6" s="10">
        <f t="shared" si="0"/>
        <v>2030</v>
      </c>
      <c r="P6" s="10">
        <f t="shared" si="0"/>
        <v>2031</v>
      </c>
      <c r="Q6" s="10">
        <f t="shared" si="0"/>
        <v>2032</v>
      </c>
      <c r="R6" s="10">
        <f t="shared" si="0"/>
        <v>2033</v>
      </c>
      <c r="S6" s="10">
        <f t="shared" si="0"/>
        <v>2034</v>
      </c>
      <c r="T6" s="10">
        <f t="shared" si="0"/>
        <v>2035</v>
      </c>
      <c r="U6" s="10">
        <f t="shared" si="0"/>
        <v>2036</v>
      </c>
      <c r="V6" s="10">
        <f t="shared" si="0"/>
        <v>2037</v>
      </c>
      <c r="W6" s="10">
        <f t="shared" si="0"/>
        <v>2038</v>
      </c>
      <c r="X6" s="10">
        <f t="shared" si="0"/>
        <v>2039</v>
      </c>
      <c r="Y6" s="10">
        <f t="shared" si="0"/>
        <v>2040</v>
      </c>
      <c r="Z6" s="10">
        <f t="shared" si="0"/>
        <v>2041</v>
      </c>
      <c r="AA6" s="10">
        <f t="shared" si="0"/>
        <v>2042</v>
      </c>
      <c r="AB6" s="10">
        <f t="shared" ref="AB6" si="1">AA6+1</f>
        <v>2043</v>
      </c>
      <c r="AC6" s="10">
        <f t="shared" ref="AC6:AD6" si="2">AB6+1</f>
        <v>2044</v>
      </c>
      <c r="AD6" s="10">
        <f t="shared" si="2"/>
        <v>2045</v>
      </c>
    </row>
    <row r="7" spans="1:32" x14ac:dyDescent="0.3">
      <c r="A7" s="2" t="s">
        <v>78</v>
      </c>
      <c r="B7" s="2" t="s">
        <v>32</v>
      </c>
      <c r="C7" s="8">
        <f>'Retail Sales'!K3</f>
        <v>12867233.313999999</v>
      </c>
      <c r="D7" s="8">
        <f>13088664-54847</f>
        <v>13033817</v>
      </c>
      <c r="E7" s="8">
        <f>12993459-75883</f>
        <v>12917576</v>
      </c>
      <c r="F7" s="8">
        <f>13510323-80990</f>
        <v>13429333</v>
      </c>
      <c r="G7" s="8">
        <f>'Retail Sales'!O3</f>
        <v>13700592.141000001</v>
      </c>
      <c r="H7" s="8">
        <v>13949229</v>
      </c>
      <c r="I7" s="8">
        <f>'Retail Sales'!Q3</f>
        <v>14488387.435847294</v>
      </c>
      <c r="J7" s="8">
        <f>'Retail Sales'!R3</f>
        <v>14792964.226907253</v>
      </c>
      <c r="K7" s="8">
        <f>'Retail Sales'!S3</f>
        <v>14876079.431375267</v>
      </c>
      <c r="L7" s="8">
        <f>'Retail Sales'!T3</f>
        <v>14976089.710687215</v>
      </c>
      <c r="M7" s="8">
        <f>'Retail Sales'!U3</f>
        <v>15015169.926374869</v>
      </c>
      <c r="N7" s="8">
        <f>'Retail Sales'!V3</f>
        <v>14993900.356353449</v>
      </c>
      <c r="O7" s="8">
        <f>'Retail Sales'!W3</f>
        <v>15013061.565601008</v>
      </c>
      <c r="P7" s="8">
        <f>'Retail Sales'!X3</f>
        <v>15047816.110501595</v>
      </c>
      <c r="Q7" s="8">
        <f>'Retail Sales'!Y3</f>
        <v>15109642.617374841</v>
      </c>
      <c r="R7" s="8">
        <f>'Retail Sales'!Z3</f>
        <v>15125409.907130029</v>
      </c>
      <c r="S7" s="8">
        <f>'Retail Sales'!AA3</f>
        <v>15223647.462883277</v>
      </c>
      <c r="T7" s="8">
        <f>'Retail Sales'!AB3</f>
        <v>15357218.873413309</v>
      </c>
      <c r="U7" s="8">
        <f>'Retail Sales'!AC3</f>
        <v>15579104.551602799</v>
      </c>
      <c r="V7" s="8">
        <f>'Retail Sales'!AD3</f>
        <v>15778347.74097283</v>
      </c>
      <c r="W7" s="8">
        <f>'Retail Sales'!AE3</f>
        <v>16011590.030198384</v>
      </c>
      <c r="X7" s="8">
        <f>'Retail Sales'!AF3</f>
        <v>16274214.979073983</v>
      </c>
      <c r="Y7" s="8">
        <f>'Retail Sales'!AG3</f>
        <v>16577385.408541191</v>
      </c>
      <c r="Z7" s="8">
        <f>'Retail Sales'!AH3</f>
        <v>16821001.697249096</v>
      </c>
      <c r="AA7" s="8">
        <f>'Retail Sales'!AI3</f>
        <v>17149756.102471363</v>
      </c>
      <c r="AB7" s="8">
        <f>'Retail Sales'!AJ3</f>
        <v>17722358.186990179</v>
      </c>
      <c r="AC7" s="8">
        <f>'Retail Sales'!AK3</f>
        <v>18066998.511498544</v>
      </c>
      <c r="AD7" s="8">
        <f>'Retail Sales'!AL3</f>
        <v>18328071.543890409</v>
      </c>
    </row>
    <row r="8" spans="1:32" x14ac:dyDescent="0.3">
      <c r="A8" s="2" t="s">
        <v>77</v>
      </c>
      <c r="B8" s="2" t="s">
        <v>0</v>
      </c>
      <c r="C8" s="12">
        <f>Targets!D3</f>
        <v>0.15</v>
      </c>
      <c r="D8" s="12">
        <f>Targets!E3</f>
        <v>0.15</v>
      </c>
      <c r="E8" s="12">
        <f>Targets!F3</f>
        <v>0.2</v>
      </c>
      <c r="F8" s="12">
        <f>Targets!G3</f>
        <v>0.2</v>
      </c>
      <c r="G8" s="12">
        <f>Targets!H3</f>
        <v>0.2</v>
      </c>
      <c r="H8" s="12">
        <f>Targets!I3</f>
        <v>0.2</v>
      </c>
      <c r="I8" s="12">
        <f>Targets!J3</f>
        <v>0.2</v>
      </c>
      <c r="J8" s="12">
        <f>Targets!K3</f>
        <v>0.27</v>
      </c>
      <c r="K8" s="12">
        <f>Targets!L3</f>
        <v>0.27</v>
      </c>
      <c r="L8" s="12">
        <f>Targets!M3</f>
        <v>0.27</v>
      </c>
      <c r="M8" s="12">
        <f>Targets!N3</f>
        <v>0.27</v>
      </c>
      <c r="N8" s="12">
        <f>Targets!O3</f>
        <v>0.27</v>
      </c>
      <c r="O8" s="12">
        <f>Targets!P3</f>
        <v>0.35</v>
      </c>
      <c r="P8" s="12">
        <f>Targets!Q3</f>
        <v>0.35</v>
      </c>
      <c r="Q8" s="12">
        <f>Targets!R3</f>
        <v>0.35</v>
      </c>
      <c r="R8" s="12">
        <f>Targets!S3</f>
        <v>0.35</v>
      </c>
      <c r="S8" s="12">
        <f>Targets!T3</f>
        <v>0.35</v>
      </c>
      <c r="T8" s="12">
        <f>Targets!U3</f>
        <v>0.45</v>
      </c>
      <c r="U8" s="12">
        <f>Targets!V3</f>
        <v>0.45</v>
      </c>
      <c r="V8" s="12">
        <f>Targets!W3</f>
        <v>0.45</v>
      </c>
      <c r="W8" s="12">
        <f>Targets!X3</f>
        <v>0.45</v>
      </c>
      <c r="X8" s="12">
        <f>Targets!Y3</f>
        <v>0.45</v>
      </c>
      <c r="Y8" s="12">
        <f>Targets!Z3</f>
        <v>0.5</v>
      </c>
      <c r="Z8" s="12">
        <f>Targets!AA3</f>
        <v>0.5</v>
      </c>
      <c r="AA8" s="12">
        <f>Targets!AB3</f>
        <v>0.5</v>
      </c>
      <c r="AB8" s="12">
        <f>Targets!AC3</f>
        <v>0.5</v>
      </c>
      <c r="AC8" s="12">
        <f>Targets!AD3</f>
        <v>0.5</v>
      </c>
      <c r="AD8" s="12">
        <f>Targets!AE3</f>
        <v>0.5</v>
      </c>
      <c r="AE8" s="12"/>
      <c r="AF8" s="12"/>
    </row>
    <row r="9" spans="1:32" x14ac:dyDescent="0.3">
      <c r="B9" s="2" t="s">
        <v>1</v>
      </c>
      <c r="C9" s="8">
        <f>C8*C7</f>
        <v>1930084.9970999998</v>
      </c>
      <c r="D9" s="8">
        <f t="shared" ref="D9:AA9" si="3">D8*D7</f>
        <v>1955072.5499999998</v>
      </c>
      <c r="E9" s="8">
        <f t="shared" si="3"/>
        <v>2583515.2000000002</v>
      </c>
      <c r="F9" s="8">
        <f t="shared" si="3"/>
        <v>2685866.6</v>
      </c>
      <c r="G9" s="8">
        <f t="shared" si="3"/>
        <v>2740118.4282000004</v>
      </c>
      <c r="H9" s="8">
        <f t="shared" si="3"/>
        <v>2789845.8000000003</v>
      </c>
      <c r="I9" s="8">
        <f t="shared" si="3"/>
        <v>2897677.487169459</v>
      </c>
      <c r="J9" s="8">
        <f t="shared" si="3"/>
        <v>3994100.3412649585</v>
      </c>
      <c r="K9" s="8">
        <f t="shared" si="3"/>
        <v>4016541.4464713223</v>
      </c>
      <c r="L9" s="8">
        <f t="shared" si="3"/>
        <v>4043544.221885548</v>
      </c>
      <c r="M9" s="8">
        <f t="shared" si="3"/>
        <v>4054095.8801212148</v>
      </c>
      <c r="N9" s="8">
        <f t="shared" si="3"/>
        <v>4048353.0962154316</v>
      </c>
      <c r="O9" s="8">
        <f t="shared" si="3"/>
        <v>5254571.5479603522</v>
      </c>
      <c r="P9" s="8">
        <f t="shared" si="3"/>
        <v>5266735.6386755574</v>
      </c>
      <c r="Q9" s="8">
        <f t="shared" si="3"/>
        <v>5288374.9160811938</v>
      </c>
      <c r="R9" s="8">
        <f t="shared" si="3"/>
        <v>5293893.4674955094</v>
      </c>
      <c r="S9" s="8">
        <f t="shared" si="3"/>
        <v>5328276.6120091463</v>
      </c>
      <c r="T9" s="8">
        <f t="shared" si="3"/>
        <v>6910748.4930359898</v>
      </c>
      <c r="U9" s="8">
        <f t="shared" si="3"/>
        <v>7010597.0482212603</v>
      </c>
      <c r="V9" s="8">
        <f t="shared" si="3"/>
        <v>7100256.4834377738</v>
      </c>
      <c r="W9" s="8">
        <f t="shared" si="3"/>
        <v>7205215.5135892732</v>
      </c>
      <c r="X9" s="8">
        <f t="shared" si="3"/>
        <v>7323396.7405832922</v>
      </c>
      <c r="Y9" s="8">
        <f t="shared" si="3"/>
        <v>8288692.7042705957</v>
      </c>
      <c r="Z9" s="8">
        <f t="shared" si="3"/>
        <v>8410500.8486245479</v>
      </c>
      <c r="AA9" s="8">
        <f t="shared" si="3"/>
        <v>8574878.0512356814</v>
      </c>
      <c r="AB9" s="8">
        <f t="shared" ref="AB9:AD9" si="4">AB8*AB7</f>
        <v>8861179.0934950896</v>
      </c>
      <c r="AC9" s="8">
        <f t="shared" si="4"/>
        <v>9033499.2557492722</v>
      </c>
      <c r="AD9" s="8">
        <f t="shared" si="4"/>
        <v>9164035.7719452046</v>
      </c>
    </row>
    <row r="10" spans="1:32" x14ac:dyDescent="0.3">
      <c r="C10" s="8"/>
      <c r="D10" s="8"/>
      <c r="E10" s="8"/>
      <c r="F10" s="8"/>
    </row>
    <row r="11" spans="1:32" x14ac:dyDescent="0.3">
      <c r="B11" s="13" t="s">
        <v>64</v>
      </c>
      <c r="F11" s="14"/>
      <c r="G11" s="2">
        <v>585072</v>
      </c>
      <c r="H11" s="2">
        <f>I11-G11</f>
        <v>7066298</v>
      </c>
      <c r="I11" s="14">
        <v>7651370</v>
      </c>
    </row>
    <row r="12" spans="1:32" x14ac:dyDescent="0.3">
      <c r="B12" s="11" t="s">
        <v>3</v>
      </c>
      <c r="C12" s="10">
        <f>C$6</f>
        <v>2018</v>
      </c>
      <c r="D12" s="10">
        <f t="shared" ref="D12:AA12" si="5">C12+1</f>
        <v>2019</v>
      </c>
      <c r="E12" s="10">
        <f t="shared" si="5"/>
        <v>2020</v>
      </c>
      <c r="F12" s="10">
        <f t="shared" si="5"/>
        <v>2021</v>
      </c>
      <c r="G12" s="10">
        <f t="shared" si="5"/>
        <v>2022</v>
      </c>
      <c r="H12" s="10">
        <f t="shared" si="5"/>
        <v>2023</v>
      </c>
      <c r="I12" s="10">
        <f t="shared" si="5"/>
        <v>2024</v>
      </c>
      <c r="J12" s="10">
        <f t="shared" si="5"/>
        <v>2025</v>
      </c>
      <c r="K12" s="10">
        <f t="shared" si="5"/>
        <v>2026</v>
      </c>
      <c r="L12" s="10">
        <f t="shared" si="5"/>
        <v>2027</v>
      </c>
      <c r="M12" s="10">
        <f t="shared" si="5"/>
        <v>2028</v>
      </c>
      <c r="N12" s="10">
        <f t="shared" si="5"/>
        <v>2029</v>
      </c>
      <c r="O12" s="10">
        <f t="shared" si="5"/>
        <v>2030</v>
      </c>
      <c r="P12" s="10">
        <f t="shared" si="5"/>
        <v>2031</v>
      </c>
      <c r="Q12" s="10">
        <f t="shared" si="5"/>
        <v>2032</v>
      </c>
      <c r="R12" s="10">
        <f t="shared" si="5"/>
        <v>2033</v>
      </c>
      <c r="S12" s="10">
        <f t="shared" si="5"/>
        <v>2034</v>
      </c>
      <c r="T12" s="10">
        <f t="shared" si="5"/>
        <v>2035</v>
      </c>
      <c r="U12" s="10">
        <f t="shared" si="5"/>
        <v>2036</v>
      </c>
      <c r="V12" s="10">
        <f t="shared" si="5"/>
        <v>2037</v>
      </c>
      <c r="W12" s="10">
        <f t="shared" si="5"/>
        <v>2038</v>
      </c>
      <c r="X12" s="10">
        <f t="shared" si="5"/>
        <v>2039</v>
      </c>
      <c r="Y12" s="10">
        <f t="shared" si="5"/>
        <v>2040</v>
      </c>
      <c r="Z12" s="10">
        <f t="shared" si="5"/>
        <v>2041</v>
      </c>
      <c r="AA12" s="10">
        <f t="shared" si="5"/>
        <v>2042</v>
      </c>
      <c r="AB12" s="10">
        <f t="shared" ref="AB12" si="6">AA12+1</f>
        <v>2043</v>
      </c>
      <c r="AC12" s="10">
        <f t="shared" ref="AC12:AD12" si="7">AB12+1</f>
        <v>2044</v>
      </c>
      <c r="AD12" s="10">
        <f t="shared" si="7"/>
        <v>2045</v>
      </c>
    </row>
    <row r="13" spans="1:32" x14ac:dyDescent="0.3">
      <c r="B13" s="2" t="s">
        <v>27</v>
      </c>
      <c r="C13" s="8">
        <f>C20</f>
        <v>237387</v>
      </c>
      <c r="D13" s="8">
        <f>D20</f>
        <v>110731</v>
      </c>
      <c r="E13" s="8"/>
      <c r="F13" s="8"/>
      <c r="G13" s="8"/>
      <c r="H13" s="8">
        <v>0</v>
      </c>
      <c r="I13" s="8">
        <f>G11</f>
        <v>585072</v>
      </c>
      <c r="J13" s="8">
        <f t="shared" ref="J13:AA14" si="8">(I15-I22)+(I13-I20)</f>
        <v>204361.15524072273</v>
      </c>
      <c r="K13" s="8">
        <f t="shared" si="8"/>
        <v>305323.24926330009</v>
      </c>
      <c r="L13" s="8">
        <f t="shared" si="8"/>
        <v>304775.93611079996</v>
      </c>
      <c r="M13" s="8">
        <f t="shared" si="8"/>
        <v>306849.28069251985</v>
      </c>
      <c r="N13" s="8">
        <f t="shared" si="8"/>
        <v>247580.8497151995</v>
      </c>
      <c r="O13" s="8">
        <f t="shared" si="8"/>
        <v>249185.87976015988</v>
      </c>
      <c r="P13" s="8">
        <f t="shared" si="8"/>
        <v>245391.95648624111</v>
      </c>
      <c r="Q13" s="8">
        <f t="shared" si="8"/>
        <v>243417.52592247384</v>
      </c>
      <c r="R13" s="8">
        <f t="shared" si="8"/>
        <v>241457.10354041163</v>
      </c>
      <c r="S13" s="8">
        <f t="shared" si="8"/>
        <v>239354.8786149206</v>
      </c>
      <c r="T13" s="8">
        <f t="shared" si="8"/>
        <v>237626.55283683733</v>
      </c>
      <c r="U13" s="8">
        <f t="shared" si="8"/>
        <v>235469.95870789577</v>
      </c>
      <c r="V13" s="8">
        <f t="shared" si="8"/>
        <v>133949.10647000925</v>
      </c>
      <c r="W13" s="8">
        <f t="shared" si="8"/>
        <v>0</v>
      </c>
      <c r="X13" s="8">
        <f t="shared" si="8"/>
        <v>0</v>
      </c>
      <c r="Y13" s="8">
        <f t="shared" si="8"/>
        <v>0</v>
      </c>
      <c r="Z13" s="8">
        <f t="shared" si="8"/>
        <v>0</v>
      </c>
      <c r="AA13" s="8">
        <f t="shared" si="8"/>
        <v>0</v>
      </c>
      <c r="AB13" s="8">
        <f t="shared" ref="AB13:AB14" si="9">(AA15-AA22)+(AA13-AA20)</f>
        <v>0</v>
      </c>
      <c r="AC13" s="8">
        <f t="shared" ref="AC13:AC14" si="10">(AB15-AB22)+(AB13-AB20)</f>
        <v>0</v>
      </c>
      <c r="AD13" s="8">
        <f t="shared" ref="AD13:AD14" si="11">(AC15-AC22)+(AC13-AC20)</f>
        <v>0</v>
      </c>
    </row>
    <row r="14" spans="1:32" x14ac:dyDescent="0.3">
      <c r="B14" s="2" t="s">
        <v>28</v>
      </c>
      <c r="C14" s="8">
        <f>C21</f>
        <v>1692698</v>
      </c>
      <c r="D14" s="8">
        <f>D21</f>
        <v>1844342</v>
      </c>
      <c r="E14" s="8">
        <f>E21</f>
        <v>2583515</v>
      </c>
      <c r="F14" s="8">
        <f>F21</f>
        <v>2685867</v>
      </c>
      <c r="G14" s="15">
        <f>G20+G21</f>
        <v>2740118.4282000004</v>
      </c>
      <c r="H14" s="15">
        <f>H20+H21</f>
        <v>2789845.8000000003</v>
      </c>
      <c r="I14" s="8">
        <f>H11</f>
        <v>7066298</v>
      </c>
      <c r="J14" s="8">
        <f t="shared" si="8"/>
        <v>8264102.5510154366</v>
      </c>
      <c r="K14" s="8">
        <f t="shared" si="8"/>
        <v>8965705.2750758193</v>
      </c>
      <c r="L14" s="8">
        <f t="shared" si="8"/>
        <v>9998503.643721832</v>
      </c>
      <c r="M14" s="8">
        <f t="shared" si="8"/>
        <v>11405627.991459269</v>
      </c>
      <c r="N14" s="8">
        <f t="shared" si="8"/>
        <v>13459377.669540685</v>
      </c>
      <c r="O14" s="8">
        <f t="shared" si="8"/>
        <v>16594716.137773316</v>
      </c>
      <c r="P14" s="8">
        <f t="shared" si="8"/>
        <v>18825991.277015775</v>
      </c>
      <c r="Q14" s="8">
        <f t="shared" si="8"/>
        <v>21630266.592981882</v>
      </c>
      <c r="R14" s="8">
        <f t="shared" si="8"/>
        <v>25478137.977016974</v>
      </c>
      <c r="S14" s="8">
        <f t="shared" si="8"/>
        <v>29208831.960973963</v>
      </c>
      <c r="T14" s="8">
        <f t="shared" si="8"/>
        <v>32939785.693575229</v>
      </c>
      <c r="U14" s="8">
        <f t="shared" si="8"/>
        <v>35090880.560610965</v>
      </c>
      <c r="V14" s="8">
        <f t="shared" si="8"/>
        <v>40913609.761775285</v>
      </c>
      <c r="W14" s="8">
        <f t="shared" si="8"/>
        <v>46420463.008347027</v>
      </c>
      <c r="X14" s="8">
        <f t="shared" si="8"/>
        <v>51748325.476510853</v>
      </c>
      <c r="Y14" s="8">
        <f t="shared" si="8"/>
        <v>56856542.373273842</v>
      </c>
      <c r="Z14" s="8">
        <f t="shared" si="8"/>
        <v>60949157.930988863</v>
      </c>
      <c r="AA14" s="8">
        <f t="shared" si="8"/>
        <v>64966316.859162554</v>
      </c>
      <c r="AB14" s="8">
        <f t="shared" si="9"/>
        <v>69219581.369427502</v>
      </c>
      <c r="AC14" s="8">
        <f t="shared" si="10"/>
        <v>73537848.272747695</v>
      </c>
      <c r="AD14" s="8">
        <f t="shared" si="11"/>
        <v>77651510.813080743</v>
      </c>
    </row>
    <row r="15" spans="1:32" x14ac:dyDescent="0.3">
      <c r="B15" s="2" t="s">
        <v>7</v>
      </c>
      <c r="C15" s="8">
        <f t="shared" ref="C15:AA15" si="12">C34+C40</f>
        <v>170451</v>
      </c>
      <c r="D15" s="8">
        <f t="shared" si="12"/>
        <v>195757</v>
      </c>
      <c r="E15" s="8">
        <f t="shared" si="12"/>
        <v>205926</v>
      </c>
      <c r="F15" s="8">
        <f t="shared" si="12"/>
        <v>195184</v>
      </c>
      <c r="G15" s="8">
        <f t="shared" si="12"/>
        <v>197650.23240027318</v>
      </c>
      <c r="H15" s="8">
        <f t="shared" si="12"/>
        <v>204723.13070320588</v>
      </c>
      <c r="I15" s="8">
        <f t="shared" si="12"/>
        <v>204361.15524072273</v>
      </c>
      <c r="J15" s="8">
        <f t="shared" si="12"/>
        <v>305323.24926330009</v>
      </c>
      <c r="K15" s="8">
        <f t="shared" si="12"/>
        <v>304775.93611079996</v>
      </c>
      <c r="L15" s="8">
        <f t="shared" si="12"/>
        <v>306849.28069251985</v>
      </c>
      <c r="M15" s="8">
        <f t="shared" si="12"/>
        <v>247580.84971519996</v>
      </c>
      <c r="N15" s="8">
        <f t="shared" si="12"/>
        <v>249185.87976015988</v>
      </c>
      <c r="O15" s="8">
        <f t="shared" si="12"/>
        <v>245391.95648624111</v>
      </c>
      <c r="P15" s="8">
        <f t="shared" si="12"/>
        <v>243417.52592247384</v>
      </c>
      <c r="Q15" s="8">
        <f t="shared" si="12"/>
        <v>241457.10354041163</v>
      </c>
      <c r="R15" s="8">
        <f t="shared" si="12"/>
        <v>239354.8786149206</v>
      </c>
      <c r="S15" s="8">
        <f t="shared" si="12"/>
        <v>237626.55283683733</v>
      </c>
      <c r="T15" s="8">
        <f t="shared" si="12"/>
        <v>235469.95870789577</v>
      </c>
      <c r="U15" s="8">
        <f t="shared" si="12"/>
        <v>133949.10647000925</v>
      </c>
      <c r="V15" s="8">
        <f t="shared" si="12"/>
        <v>0</v>
      </c>
      <c r="W15" s="8">
        <f t="shared" si="12"/>
        <v>0</v>
      </c>
      <c r="X15" s="8">
        <f t="shared" si="12"/>
        <v>0</v>
      </c>
      <c r="Y15" s="8">
        <f t="shared" si="12"/>
        <v>0</v>
      </c>
      <c r="Z15" s="8">
        <f t="shared" si="12"/>
        <v>0</v>
      </c>
      <c r="AA15" s="8">
        <f t="shared" si="12"/>
        <v>0</v>
      </c>
      <c r="AB15" s="8">
        <f t="shared" ref="AB15:AD15" si="13">AB34+AB40</f>
        <v>0</v>
      </c>
      <c r="AC15" s="8">
        <f t="shared" si="13"/>
        <v>0</v>
      </c>
      <c r="AD15" s="8">
        <f t="shared" si="13"/>
        <v>0</v>
      </c>
    </row>
    <row r="16" spans="1:32" x14ac:dyDescent="0.3">
      <c r="B16" s="2" t="s">
        <v>8</v>
      </c>
      <c r="C16" s="8">
        <f t="shared" ref="C16:AA16" si="14">C39+C35+C30</f>
        <v>1788412</v>
      </c>
      <c r="D16" s="8">
        <f t="shared" si="14"/>
        <v>1609229</v>
      </c>
      <c r="E16" s="8">
        <f t="shared" si="14"/>
        <v>2007751</v>
      </c>
      <c r="F16" s="8">
        <f t="shared" si="14"/>
        <v>2853648</v>
      </c>
      <c r="G16" s="8">
        <f t="shared" si="14"/>
        <v>3109993</v>
      </c>
      <c r="H16" s="8">
        <f t="shared" si="14"/>
        <v>3327738.9376632771</v>
      </c>
      <c r="I16" s="8">
        <f t="shared" si="14"/>
        <v>3510410.0381848966</v>
      </c>
      <c r="J16" s="8">
        <f t="shared" si="14"/>
        <v>4491341.9100846183</v>
      </c>
      <c r="K16" s="8">
        <f t="shared" si="14"/>
        <v>4744016.5658540353</v>
      </c>
      <c r="L16" s="8">
        <f t="shared" si="14"/>
        <v>5145892.633512185</v>
      </c>
      <c r="M16" s="8">
        <f t="shared" si="14"/>
        <v>5800996.2775101103</v>
      </c>
      <c r="N16" s="8">
        <f t="shared" si="14"/>
        <v>6936110.714732863</v>
      </c>
      <c r="O16" s="8">
        <f t="shared" si="14"/>
        <v>7236660.8074426493</v>
      </c>
      <c r="P16" s="8">
        <f t="shared" si="14"/>
        <v>7825618.9981554234</v>
      </c>
      <c r="Q16" s="8">
        <f t="shared" si="14"/>
        <v>8892828.7741938122</v>
      </c>
      <c r="R16" s="8">
        <f t="shared" si="14"/>
        <v>8783130.3479120899</v>
      </c>
      <c r="S16" s="8">
        <f t="shared" si="14"/>
        <v>8819875.4659954943</v>
      </c>
      <c r="T16" s="8">
        <f t="shared" si="14"/>
        <v>8824216.807234887</v>
      </c>
      <c r="U16" s="8">
        <f t="shared" si="14"/>
        <v>12597856.290677685</v>
      </c>
      <c r="V16" s="8">
        <f t="shared" si="14"/>
        <v>12473160.623539509</v>
      </c>
      <c r="W16" s="8">
        <f t="shared" si="14"/>
        <v>12533077.981753092</v>
      </c>
      <c r="X16" s="8">
        <f t="shared" si="14"/>
        <v>12431613.637346283</v>
      </c>
      <c r="Y16" s="8">
        <f t="shared" si="14"/>
        <v>12381308.261985615</v>
      </c>
      <c r="Z16" s="8">
        <f t="shared" si="14"/>
        <v>12427659.776798237</v>
      </c>
      <c r="AA16" s="8">
        <f t="shared" si="14"/>
        <v>12828142.561500631</v>
      </c>
      <c r="AB16" s="8">
        <f t="shared" ref="AB16:AD16" si="15">AB39+AB35+AB30</f>
        <v>13179445.996815275</v>
      </c>
      <c r="AC16" s="8">
        <f t="shared" si="15"/>
        <v>13147161.796082318</v>
      </c>
      <c r="AD16" s="8">
        <f t="shared" si="15"/>
        <v>13108018.439085227</v>
      </c>
    </row>
    <row r="18" spans="1:30" x14ac:dyDescent="0.3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30" x14ac:dyDescent="0.3">
      <c r="B19" s="11" t="s">
        <v>4</v>
      </c>
      <c r="C19" s="10">
        <f>C$6</f>
        <v>2018</v>
      </c>
      <c r="D19" s="10">
        <f t="shared" ref="D19:AA19" si="16">C19+1</f>
        <v>2019</v>
      </c>
      <c r="E19" s="10">
        <f t="shared" si="16"/>
        <v>2020</v>
      </c>
      <c r="F19" s="10">
        <f t="shared" si="16"/>
        <v>2021</v>
      </c>
      <c r="G19" s="10">
        <f t="shared" si="16"/>
        <v>2022</v>
      </c>
      <c r="H19" s="10">
        <f t="shared" si="16"/>
        <v>2023</v>
      </c>
      <c r="I19" s="10">
        <f t="shared" si="16"/>
        <v>2024</v>
      </c>
      <c r="J19" s="10">
        <f t="shared" si="16"/>
        <v>2025</v>
      </c>
      <c r="K19" s="10">
        <f t="shared" si="16"/>
        <v>2026</v>
      </c>
      <c r="L19" s="10">
        <f t="shared" si="16"/>
        <v>2027</v>
      </c>
      <c r="M19" s="10">
        <f t="shared" si="16"/>
        <v>2028</v>
      </c>
      <c r="N19" s="10">
        <f t="shared" si="16"/>
        <v>2029</v>
      </c>
      <c r="O19" s="10">
        <f t="shared" si="16"/>
        <v>2030</v>
      </c>
      <c r="P19" s="10">
        <f t="shared" si="16"/>
        <v>2031</v>
      </c>
      <c r="Q19" s="10">
        <f t="shared" si="16"/>
        <v>2032</v>
      </c>
      <c r="R19" s="10">
        <f t="shared" si="16"/>
        <v>2033</v>
      </c>
      <c r="S19" s="10">
        <f t="shared" si="16"/>
        <v>2034</v>
      </c>
      <c r="T19" s="10">
        <f t="shared" si="16"/>
        <v>2035</v>
      </c>
      <c r="U19" s="10">
        <f t="shared" si="16"/>
        <v>2036</v>
      </c>
      <c r="V19" s="10">
        <f t="shared" si="16"/>
        <v>2037</v>
      </c>
      <c r="W19" s="10">
        <f t="shared" si="16"/>
        <v>2038</v>
      </c>
      <c r="X19" s="10">
        <f t="shared" si="16"/>
        <v>2039</v>
      </c>
      <c r="Y19" s="10">
        <f t="shared" si="16"/>
        <v>2040</v>
      </c>
      <c r="Z19" s="10">
        <f t="shared" si="16"/>
        <v>2041</v>
      </c>
      <c r="AA19" s="10">
        <f t="shared" si="16"/>
        <v>2042</v>
      </c>
      <c r="AB19" s="10">
        <f t="shared" ref="AB19" si="17">AA19+1</f>
        <v>2043</v>
      </c>
      <c r="AC19" s="10">
        <f t="shared" ref="AC19:AD19" si="18">AB19+1</f>
        <v>2044</v>
      </c>
      <c r="AD19" s="10">
        <f t="shared" si="18"/>
        <v>2045</v>
      </c>
    </row>
    <row r="20" spans="1:30" x14ac:dyDescent="0.3">
      <c r="B20" s="2" t="s">
        <v>27</v>
      </c>
      <c r="C20" s="8">
        <v>237387</v>
      </c>
      <c r="D20" s="8">
        <v>110731</v>
      </c>
      <c r="E20" s="8"/>
      <c r="F20" s="8"/>
      <c r="G20" s="8">
        <v>400599</v>
      </c>
      <c r="H20" s="8">
        <v>0</v>
      </c>
      <c r="I20" s="8">
        <f t="shared" ref="I20:AA20" si="19">MIN(I13,I$9)</f>
        <v>585072</v>
      </c>
      <c r="J20" s="8">
        <f t="shared" si="19"/>
        <v>204361.15524072273</v>
      </c>
      <c r="K20" s="8">
        <f t="shared" si="19"/>
        <v>305323.24926330009</v>
      </c>
      <c r="L20" s="8">
        <f t="shared" si="19"/>
        <v>304775.93611079996</v>
      </c>
      <c r="M20" s="8">
        <f t="shared" si="19"/>
        <v>306849.28069251985</v>
      </c>
      <c r="N20" s="8">
        <f t="shared" si="19"/>
        <v>247580.8497151995</v>
      </c>
      <c r="O20" s="8">
        <f t="shared" si="19"/>
        <v>249185.87976015988</v>
      </c>
      <c r="P20" s="8">
        <f t="shared" si="19"/>
        <v>245391.95648624111</v>
      </c>
      <c r="Q20" s="8">
        <f t="shared" si="19"/>
        <v>243417.52592247384</v>
      </c>
      <c r="R20" s="8">
        <f t="shared" si="19"/>
        <v>241457.10354041163</v>
      </c>
      <c r="S20" s="8">
        <f t="shared" si="19"/>
        <v>239354.8786149206</v>
      </c>
      <c r="T20" s="8">
        <f t="shared" si="19"/>
        <v>237626.55283683733</v>
      </c>
      <c r="U20" s="8">
        <f t="shared" si="19"/>
        <v>235469.95870789577</v>
      </c>
      <c r="V20" s="8">
        <f t="shared" si="19"/>
        <v>133949.10647000925</v>
      </c>
      <c r="W20" s="8">
        <f t="shared" si="19"/>
        <v>0</v>
      </c>
      <c r="X20" s="8">
        <f t="shared" si="19"/>
        <v>0</v>
      </c>
      <c r="Y20" s="8">
        <f t="shared" si="19"/>
        <v>0</v>
      </c>
      <c r="Z20" s="8">
        <f t="shared" si="19"/>
        <v>0</v>
      </c>
      <c r="AA20" s="8">
        <f t="shared" si="19"/>
        <v>0</v>
      </c>
      <c r="AB20" s="8">
        <f t="shared" ref="AB20:AD20" si="20">MIN(AB13,AB$9)</f>
        <v>0</v>
      </c>
      <c r="AC20" s="8">
        <f t="shared" si="20"/>
        <v>0</v>
      </c>
      <c r="AD20" s="8">
        <f t="shared" si="20"/>
        <v>0</v>
      </c>
    </row>
    <row r="21" spans="1:30" x14ac:dyDescent="0.3">
      <c r="B21" s="2" t="s">
        <v>28</v>
      </c>
      <c r="C21" s="8">
        <f>1671195+21503</f>
        <v>1692698</v>
      </c>
      <c r="D21" s="8">
        <f>1822609+21733</f>
        <v>1844342</v>
      </c>
      <c r="E21" s="8">
        <f>2521548+61967</f>
        <v>2583515</v>
      </c>
      <c r="F21" s="8">
        <f>2613901+71966</f>
        <v>2685867</v>
      </c>
      <c r="G21" s="8">
        <f>G9-G20</f>
        <v>2339519.4282000004</v>
      </c>
      <c r="H21" s="8">
        <f>H9-H20</f>
        <v>2789845.8000000003</v>
      </c>
      <c r="I21" s="8">
        <f>MIN(I14,I$9-SUM(I$20:I20))</f>
        <v>2312605.487169459</v>
      </c>
      <c r="J21" s="8">
        <f>MIN(J14,J$9-SUM(J$20:J20))</f>
        <v>3789739.1860242356</v>
      </c>
      <c r="K21" s="8">
        <f>MIN(K14,K$9-SUM(K$20:K20))</f>
        <v>3711218.1972080222</v>
      </c>
      <c r="L21" s="8">
        <f>MIN(L14,L$9-SUM(L$20:L20))</f>
        <v>3738768.2857747478</v>
      </c>
      <c r="M21" s="8">
        <f>MIN(M14,M$9-SUM(M$20:M20))</f>
        <v>3747246.5994286947</v>
      </c>
      <c r="N21" s="8">
        <f>MIN(N14,N$9-SUM(N$20:N20))</f>
        <v>3800772.2465002323</v>
      </c>
      <c r="O21" s="8">
        <f>MIN(O14,O$9-SUM(O$20:O20))</f>
        <v>5005385.668200192</v>
      </c>
      <c r="P21" s="8">
        <f>MIN(P14,P$9-SUM(P$20:P20))</f>
        <v>5021343.6821893165</v>
      </c>
      <c r="Q21" s="8">
        <f>MIN(Q14,Q$9-SUM(Q$20:Q20))</f>
        <v>5044957.3901587203</v>
      </c>
      <c r="R21" s="8">
        <f>MIN(R14,R$9-SUM(R$20:R20))</f>
        <v>5052436.3639550982</v>
      </c>
      <c r="S21" s="8">
        <f>MIN(S14,S$9-SUM(S$20:S20))</f>
        <v>5088921.7333942261</v>
      </c>
      <c r="T21" s="8">
        <f>MIN(T14,T$9-SUM(T$20:T20))</f>
        <v>6673121.9401991526</v>
      </c>
      <c r="U21" s="8">
        <f>MIN(U14,U$9-SUM(U$20:U20))</f>
        <v>6775127.0895133642</v>
      </c>
      <c r="V21" s="8">
        <f>MIN(V14,V$9-SUM(V$20:V20))</f>
        <v>6966307.3769677645</v>
      </c>
      <c r="W21" s="8">
        <f>MIN(W14,W$9-SUM(W$20:W20))</f>
        <v>7205215.5135892732</v>
      </c>
      <c r="X21" s="8">
        <f>MIN(X14,X$9-SUM(X$20:X20))</f>
        <v>7323396.7405832922</v>
      </c>
      <c r="Y21" s="8">
        <f>MIN(Y14,Y$9-SUM(Y$20:Y20))</f>
        <v>8288692.7042705957</v>
      </c>
      <c r="Z21" s="8">
        <f>MIN(Z14,Z$9-SUM(Z$20:Z20))</f>
        <v>8410500.8486245479</v>
      </c>
      <c r="AA21" s="8">
        <f>MIN(AA14,AA$9-SUM(AA$20:AA20))</f>
        <v>8574878.0512356814</v>
      </c>
      <c r="AB21" s="8">
        <f>MIN(AB14,AB$9-SUM(AB$20:AB20))</f>
        <v>8861179.0934950896</v>
      </c>
      <c r="AC21" s="8">
        <f>MIN(AC14,AC$9-SUM(AC$20:AC20))</f>
        <v>9033499.2557492722</v>
      </c>
      <c r="AD21" s="8">
        <f>MIN(AD14,AD$9-SUM(AD$20:AD20))</f>
        <v>9164035.7719452046</v>
      </c>
    </row>
    <row r="22" spans="1:30" x14ac:dyDescent="0.3">
      <c r="B22" s="2" t="s">
        <v>7</v>
      </c>
      <c r="C22" s="8">
        <f>MIN(C15,C$9-SUM(C$20:C21))</f>
        <v>-2.9000001959502697E-3</v>
      </c>
      <c r="D22" s="8">
        <f>MIN(D15,D$9-SUM(D$20:D21))</f>
        <v>-0.45000000018626451</v>
      </c>
      <c r="E22" s="8">
        <f>MIN(E15,E$9-SUM(E$20:E21))</f>
        <v>0.20000000018626451</v>
      </c>
      <c r="F22" s="8">
        <f>MIN(F15,F$9-SUM(F$20:F21))</f>
        <v>-0.39999999990686774</v>
      </c>
      <c r="G22" s="8">
        <f>MIN(G15,G$9-SUM(G$20:G21))</f>
        <v>0</v>
      </c>
      <c r="H22" s="8">
        <f>MIN(H15,H$9-SUM(H$20:H21))</f>
        <v>0</v>
      </c>
      <c r="I22" s="8">
        <f>MIN(I15,I$9-SUM(I$20:I21))</f>
        <v>0</v>
      </c>
      <c r="J22" s="8">
        <f>MIN(J15,J$9-SUM(J$20:J21))</f>
        <v>0</v>
      </c>
      <c r="K22" s="8">
        <f>MIN(K15,K$9-SUM(K$20:K21))</f>
        <v>0</v>
      </c>
      <c r="L22" s="8">
        <f>MIN(L15,L$9-SUM(L$20:L21))</f>
        <v>0</v>
      </c>
      <c r="M22" s="8">
        <f>MIN(M15,M$9-SUM(M$20:M21))</f>
        <v>4.6566128730773926E-10</v>
      </c>
      <c r="N22" s="8">
        <f>MIN(N15,N$9-SUM(N$20:N21))</f>
        <v>0</v>
      </c>
      <c r="O22" s="8">
        <f>MIN(O15,O$9-SUM(O$20:O21))</f>
        <v>0</v>
      </c>
      <c r="P22" s="8">
        <f>MIN(P15,P$9-SUM(P$20:P21))</f>
        <v>0</v>
      </c>
      <c r="Q22" s="8">
        <f>MIN(Q15,Q$9-SUM(Q$20:Q21))</f>
        <v>0</v>
      </c>
      <c r="R22" s="8">
        <f>MIN(R15,R$9-SUM(R$20:R21))</f>
        <v>0</v>
      </c>
      <c r="S22" s="8">
        <f>MIN(S15,S$9-SUM(S$20:S21))</f>
        <v>0</v>
      </c>
      <c r="T22" s="8">
        <f>MIN(T15,T$9-SUM(T$20:T21))</f>
        <v>0</v>
      </c>
      <c r="U22" s="8">
        <f>MIN(U15,U$9-SUM(U$20:U21))</f>
        <v>0</v>
      </c>
      <c r="V22" s="8">
        <f>MIN(V15,V$9-SUM(V$20:V21))</f>
        <v>0</v>
      </c>
      <c r="W22" s="8">
        <f>MIN(W15,W$9-SUM(W$20:W21))</f>
        <v>0</v>
      </c>
      <c r="X22" s="8">
        <f>MIN(X15,X$9-SUM(X$20:X21))</f>
        <v>0</v>
      </c>
      <c r="Y22" s="8">
        <f>MIN(Y15,Y$9-SUM(Y$20:Y21))</f>
        <v>0</v>
      </c>
      <c r="Z22" s="8">
        <f>MIN(Z15,Z$9-SUM(Z$20:Z21))</f>
        <v>0</v>
      </c>
      <c r="AA22" s="8">
        <f>MIN(AA15,AA$9-SUM(AA$20:AA21))</f>
        <v>0</v>
      </c>
      <c r="AB22" s="8">
        <f>MIN(AB15,AB$9-SUM(AB$20:AB21))</f>
        <v>0</v>
      </c>
      <c r="AC22" s="8">
        <f>MIN(AC15,AC$9-SUM(AC$20:AC21))</f>
        <v>0</v>
      </c>
      <c r="AD22" s="8">
        <f>MIN(AD15,AD$9-SUM(AD$20:AD21))</f>
        <v>0</v>
      </c>
    </row>
    <row r="23" spans="1:30" x14ac:dyDescent="0.3">
      <c r="B23" s="2" t="s">
        <v>8</v>
      </c>
      <c r="C23" s="8">
        <f>MIN(C16,C$9-SUM(C$20:C22))</f>
        <v>0</v>
      </c>
      <c r="D23" s="8">
        <f>MIN(D16,D$9-SUM(D$20:D22))</f>
        <v>0</v>
      </c>
      <c r="E23" s="8">
        <f>MIN(E16,E$9-SUM(E$20:E22))</f>
        <v>0</v>
      </c>
      <c r="F23" s="8">
        <f>MIN(F16,F$9-SUM(F$20:F22))</f>
        <v>0</v>
      </c>
      <c r="G23" s="8">
        <f>MIN(G16,G$9-SUM(G$20:G22))</f>
        <v>0</v>
      </c>
      <c r="H23" s="8">
        <f>MIN(H16,H$9-SUM(H$20:H22))</f>
        <v>0</v>
      </c>
      <c r="I23" s="8">
        <f>MIN(I16,I$9-SUM(I$20:I22))</f>
        <v>0</v>
      </c>
      <c r="J23" s="8">
        <f>MIN(J16,J$9-SUM(J$20:J22))</f>
        <v>0</v>
      </c>
      <c r="K23" s="8">
        <f>MIN(K16,K$9-SUM(K$20:K22))</f>
        <v>0</v>
      </c>
      <c r="L23" s="8">
        <f>MIN(L16,L$9-SUM(L$20:L22))</f>
        <v>0</v>
      </c>
      <c r="M23" s="8">
        <f>MIN(M16,M$9-SUM(M$20:M22))</f>
        <v>0</v>
      </c>
      <c r="N23" s="8">
        <f>MIN(N16,N$9-SUM(N$20:N22))</f>
        <v>0</v>
      </c>
      <c r="O23" s="8">
        <f>MIN(O16,O$9-SUM(O$20:O22))</f>
        <v>0</v>
      </c>
      <c r="P23" s="8">
        <f>MIN(P16,P$9-SUM(P$20:P22))</f>
        <v>0</v>
      </c>
      <c r="Q23" s="8">
        <f>MIN(Q16,Q$9-SUM(Q$20:Q22))</f>
        <v>0</v>
      </c>
      <c r="R23" s="8">
        <f>MIN(R16,R$9-SUM(R$20:R22))</f>
        <v>0</v>
      </c>
      <c r="S23" s="8">
        <f>MIN(S16,S$9-SUM(S$20:S22))</f>
        <v>0</v>
      </c>
      <c r="T23" s="8">
        <f>MIN(T16,T$9-SUM(T$20:T22))</f>
        <v>0</v>
      </c>
      <c r="U23" s="8">
        <f>MIN(U16,U$9-SUM(U$20:U22))</f>
        <v>0</v>
      </c>
      <c r="V23" s="8">
        <f>MIN(V16,V$9-SUM(V$20:V22))</f>
        <v>0</v>
      </c>
      <c r="W23" s="8">
        <f>MIN(W16,W$9-SUM(W$20:W22))</f>
        <v>0</v>
      </c>
      <c r="X23" s="8">
        <f>MIN(X16,X$9-SUM(X$20:X22))</f>
        <v>0</v>
      </c>
      <c r="Y23" s="8">
        <f>MIN(Y16,Y$9-SUM(Y$20:Y22))</f>
        <v>0</v>
      </c>
      <c r="Z23" s="8">
        <f>MIN(Z16,Z$9-SUM(Z$20:Z22))</f>
        <v>0</v>
      </c>
      <c r="AA23" s="8">
        <f>MIN(AA16,AA$9-SUM(AA$20:AA22))</f>
        <v>0</v>
      </c>
      <c r="AB23" s="8">
        <f>MIN(AB16,AB$9-SUM(AB$20:AB22))</f>
        <v>0</v>
      </c>
      <c r="AC23" s="8">
        <f>MIN(AC16,AC$9-SUM(AC$20:AC22))</f>
        <v>0</v>
      </c>
      <c r="AD23" s="8">
        <f>MIN(AD16,AD$9-SUM(AD$20:AD22))</f>
        <v>0</v>
      </c>
    </row>
    <row r="24" spans="1:30" x14ac:dyDescent="0.3">
      <c r="C24" s="15"/>
    </row>
    <row r="25" spans="1:30" x14ac:dyDescent="0.3">
      <c r="B25" s="16" t="s">
        <v>9</v>
      </c>
      <c r="C25" s="17">
        <f>(C20+C22)/C$9</f>
        <v>0.12299302748670635</v>
      </c>
      <c r="D25" s="17">
        <f t="shared" ref="D25:AA25" si="21">(D20+D22)/D$9</f>
        <v>5.6637565700566876E-2</v>
      </c>
      <c r="E25" s="17">
        <f t="shared" si="21"/>
        <v>7.7413904971902045E-8</v>
      </c>
      <c r="F25" s="17">
        <f t="shared" si="21"/>
        <v>-1.4892772407492901E-7</v>
      </c>
      <c r="G25" s="17">
        <f t="shared" si="21"/>
        <v>0.14619769564600746</v>
      </c>
      <c r="H25" s="17">
        <f t="shared" si="21"/>
        <v>0</v>
      </c>
      <c r="I25" s="17">
        <f t="shared" si="21"/>
        <v>0.20191066900668661</v>
      </c>
      <c r="J25" s="17">
        <f t="shared" si="21"/>
        <v>5.11657539319606E-2</v>
      </c>
      <c r="K25" s="17">
        <f t="shared" si="21"/>
        <v>7.6016456778141214E-2</v>
      </c>
      <c r="L25" s="17">
        <f t="shared" si="21"/>
        <v>7.537346431410602E-2</v>
      </c>
      <c r="M25" s="17">
        <f t="shared" si="21"/>
        <v>7.5688708349775327E-2</v>
      </c>
      <c r="N25" s="17">
        <f t="shared" si="21"/>
        <v>6.1155942634215463E-2</v>
      </c>
      <c r="O25" s="17">
        <f t="shared" si="21"/>
        <v>4.742268279835022E-2</v>
      </c>
      <c r="P25" s="17">
        <f t="shared" si="21"/>
        <v>4.6592799282393939E-2</v>
      </c>
      <c r="Q25" s="17">
        <f t="shared" si="21"/>
        <v>4.6028795194205288E-2</v>
      </c>
      <c r="R25" s="17">
        <f t="shared" si="21"/>
        <v>4.5610495379810254E-2</v>
      </c>
      <c r="S25" s="17">
        <f t="shared" si="21"/>
        <v>4.4921631522554621E-2</v>
      </c>
      <c r="T25" s="17">
        <f t="shared" si="21"/>
        <v>3.4385067417269675E-2</v>
      </c>
      <c r="U25" s="17">
        <f t="shared" si="21"/>
        <v>3.3587718291074736E-2</v>
      </c>
      <c r="V25" s="17">
        <f t="shared" si="21"/>
        <v>1.8865389832390157E-2</v>
      </c>
      <c r="W25" s="17">
        <f t="shared" si="21"/>
        <v>0</v>
      </c>
      <c r="X25" s="17">
        <f t="shared" si="21"/>
        <v>0</v>
      </c>
      <c r="Y25" s="17">
        <f t="shared" si="21"/>
        <v>0</v>
      </c>
      <c r="Z25" s="17">
        <f t="shared" si="21"/>
        <v>0</v>
      </c>
      <c r="AA25" s="17">
        <f t="shared" si="21"/>
        <v>0</v>
      </c>
      <c r="AB25" s="17">
        <f t="shared" ref="AB25:AD25" si="22">(AB20+AB22)/AB$9</f>
        <v>0</v>
      </c>
      <c r="AC25" s="17">
        <f t="shared" si="22"/>
        <v>0</v>
      </c>
      <c r="AD25" s="17">
        <f t="shared" si="22"/>
        <v>0</v>
      </c>
    </row>
    <row r="26" spans="1:30" x14ac:dyDescent="0.3">
      <c r="B26" s="16" t="s">
        <v>10</v>
      </c>
      <c r="C26" s="18">
        <f t="shared" ref="C26:AA26" si="23">SUM(C20:C23)-C9</f>
        <v>0</v>
      </c>
      <c r="D26" s="18">
        <f>SUM(D20:D23)-D9</f>
        <v>0</v>
      </c>
      <c r="E26" s="18">
        <f t="shared" si="23"/>
        <v>0</v>
      </c>
      <c r="F26" s="18">
        <f t="shared" si="23"/>
        <v>0</v>
      </c>
      <c r="G26" s="18">
        <f t="shared" si="23"/>
        <v>0</v>
      </c>
      <c r="H26" s="18">
        <f t="shared" si="23"/>
        <v>0</v>
      </c>
      <c r="I26" s="18">
        <f t="shared" si="23"/>
        <v>0</v>
      </c>
      <c r="J26" s="18">
        <f t="shared" si="23"/>
        <v>0</v>
      </c>
      <c r="K26" s="18">
        <f t="shared" si="23"/>
        <v>0</v>
      </c>
      <c r="L26" s="18">
        <f t="shared" si="23"/>
        <v>0</v>
      </c>
      <c r="M26" s="18">
        <f t="shared" si="23"/>
        <v>0</v>
      </c>
      <c r="N26" s="18">
        <f t="shared" si="23"/>
        <v>0</v>
      </c>
      <c r="O26" s="18">
        <f t="shared" si="23"/>
        <v>0</v>
      </c>
      <c r="P26" s="18">
        <f t="shared" si="23"/>
        <v>0</v>
      </c>
      <c r="Q26" s="18">
        <f t="shared" si="23"/>
        <v>0</v>
      </c>
      <c r="R26" s="18">
        <f t="shared" si="23"/>
        <v>0</v>
      </c>
      <c r="S26" s="18">
        <f t="shared" si="23"/>
        <v>0</v>
      </c>
      <c r="T26" s="18">
        <f t="shared" si="23"/>
        <v>0</v>
      </c>
      <c r="U26" s="18">
        <f t="shared" si="23"/>
        <v>0</v>
      </c>
      <c r="V26" s="18">
        <f t="shared" si="23"/>
        <v>0</v>
      </c>
      <c r="W26" s="18">
        <f t="shared" si="23"/>
        <v>0</v>
      </c>
      <c r="X26" s="18">
        <f t="shared" si="23"/>
        <v>0</v>
      </c>
      <c r="Y26" s="18">
        <f t="shared" si="23"/>
        <v>0</v>
      </c>
      <c r="Z26" s="18">
        <f t="shared" si="23"/>
        <v>0</v>
      </c>
      <c r="AA26" s="18">
        <f t="shared" si="23"/>
        <v>0</v>
      </c>
      <c r="AB26" s="18">
        <f t="shared" ref="AB26:AD26" si="24">SUM(AB20:AB23)-AB9</f>
        <v>0</v>
      </c>
      <c r="AC26" s="18">
        <f t="shared" si="24"/>
        <v>0</v>
      </c>
      <c r="AD26" s="18">
        <f t="shared" si="24"/>
        <v>0</v>
      </c>
    </row>
    <row r="27" spans="1:30" x14ac:dyDescent="0.3">
      <c r="B27" s="16" t="s">
        <v>11</v>
      </c>
      <c r="C27" s="8">
        <f t="shared" ref="C27:AA27" si="25">(C13-C20)+(C14-C21)</f>
        <v>0</v>
      </c>
      <c r="D27" s="8">
        <f t="shared" si="25"/>
        <v>0</v>
      </c>
      <c r="E27" s="8">
        <f t="shared" si="25"/>
        <v>0</v>
      </c>
      <c r="F27" s="8">
        <f t="shared" si="25"/>
        <v>0</v>
      </c>
      <c r="G27" s="8">
        <f t="shared" si="25"/>
        <v>0</v>
      </c>
      <c r="H27" s="8">
        <f t="shared" si="25"/>
        <v>0</v>
      </c>
      <c r="I27" s="8">
        <f t="shared" si="25"/>
        <v>4753692.5128305405</v>
      </c>
      <c r="J27" s="8">
        <f t="shared" si="25"/>
        <v>4474363.3649912011</v>
      </c>
      <c r="K27" s="8">
        <f t="shared" si="25"/>
        <v>5254487.0778677966</v>
      </c>
      <c r="L27" s="8">
        <f t="shared" si="25"/>
        <v>6259735.3579470841</v>
      </c>
      <c r="M27" s="8">
        <f t="shared" si="25"/>
        <v>7658381.3920305744</v>
      </c>
      <c r="N27" s="8">
        <f t="shared" si="25"/>
        <v>9658605.4230404533</v>
      </c>
      <c r="O27" s="8">
        <f t="shared" si="25"/>
        <v>11589330.469573125</v>
      </c>
      <c r="P27" s="8">
        <f t="shared" si="25"/>
        <v>13804647.59482646</v>
      </c>
      <c r="Q27" s="8">
        <f t="shared" si="25"/>
        <v>16585309.202823162</v>
      </c>
      <c r="R27" s="8">
        <f t="shared" si="25"/>
        <v>20425701.613061875</v>
      </c>
      <c r="S27" s="8">
        <f t="shared" si="25"/>
        <v>24119910.227579735</v>
      </c>
      <c r="T27" s="8">
        <f t="shared" si="25"/>
        <v>26266663.753376078</v>
      </c>
      <c r="U27" s="8">
        <f t="shared" si="25"/>
        <v>28315753.4710976</v>
      </c>
      <c r="V27" s="8">
        <f t="shared" si="25"/>
        <v>33947302.38480752</v>
      </c>
      <c r="W27" s="8">
        <f t="shared" si="25"/>
        <v>39215247.494757757</v>
      </c>
      <c r="X27" s="8">
        <f t="shared" si="25"/>
        <v>44424928.735927559</v>
      </c>
      <c r="Y27" s="8">
        <f t="shared" si="25"/>
        <v>48567849.669003248</v>
      </c>
      <c r="Z27" s="8">
        <f t="shared" si="25"/>
        <v>52538657.082364313</v>
      </c>
      <c r="AA27" s="8">
        <f t="shared" si="25"/>
        <v>56391438.807926871</v>
      </c>
      <c r="AB27" s="8">
        <f t="shared" ref="AB27:AD27" si="26">(AB13-AB20)+(AB14-AB21)</f>
        <v>60358402.275932416</v>
      </c>
      <c r="AC27" s="8">
        <f t="shared" si="26"/>
        <v>64504349.016998425</v>
      </c>
      <c r="AD27" s="8">
        <f t="shared" si="26"/>
        <v>68487475.041135535</v>
      </c>
    </row>
    <row r="28" spans="1:30" x14ac:dyDescent="0.3"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1:30" x14ac:dyDescent="0.3">
      <c r="B29" s="11" t="s">
        <v>35</v>
      </c>
      <c r="C29" s="10">
        <f>C$6</f>
        <v>2018</v>
      </c>
      <c r="D29" s="10">
        <f t="shared" ref="D29:AA29" si="27">C29+1</f>
        <v>2019</v>
      </c>
      <c r="E29" s="10">
        <f t="shared" si="27"/>
        <v>2020</v>
      </c>
      <c r="F29" s="10">
        <f t="shared" si="27"/>
        <v>2021</v>
      </c>
      <c r="G29" s="10">
        <f t="shared" si="27"/>
        <v>2022</v>
      </c>
      <c r="H29" s="10">
        <f t="shared" si="27"/>
        <v>2023</v>
      </c>
      <c r="I29" s="10">
        <f t="shared" si="27"/>
        <v>2024</v>
      </c>
      <c r="J29" s="10">
        <f t="shared" si="27"/>
        <v>2025</v>
      </c>
      <c r="K29" s="10">
        <f t="shared" si="27"/>
        <v>2026</v>
      </c>
      <c r="L29" s="10">
        <f t="shared" si="27"/>
        <v>2027</v>
      </c>
      <c r="M29" s="10">
        <f t="shared" si="27"/>
        <v>2028</v>
      </c>
      <c r="N29" s="10">
        <f t="shared" si="27"/>
        <v>2029</v>
      </c>
      <c r="O29" s="10">
        <f t="shared" si="27"/>
        <v>2030</v>
      </c>
      <c r="P29" s="10">
        <f t="shared" si="27"/>
        <v>2031</v>
      </c>
      <c r="Q29" s="10">
        <f t="shared" si="27"/>
        <v>2032</v>
      </c>
      <c r="R29" s="10">
        <f t="shared" si="27"/>
        <v>2033</v>
      </c>
      <c r="S29" s="10">
        <f t="shared" si="27"/>
        <v>2034</v>
      </c>
      <c r="T29" s="10">
        <f t="shared" si="27"/>
        <v>2035</v>
      </c>
      <c r="U29" s="10">
        <f t="shared" si="27"/>
        <v>2036</v>
      </c>
      <c r="V29" s="10">
        <f t="shared" si="27"/>
        <v>2037</v>
      </c>
      <c r="W29" s="10">
        <f t="shared" si="27"/>
        <v>2038</v>
      </c>
      <c r="X29" s="10">
        <f t="shared" si="27"/>
        <v>2039</v>
      </c>
      <c r="Y29" s="10">
        <f t="shared" si="27"/>
        <v>2040</v>
      </c>
      <c r="Z29" s="10">
        <f t="shared" si="27"/>
        <v>2041</v>
      </c>
      <c r="AA29" s="10">
        <f t="shared" si="27"/>
        <v>2042</v>
      </c>
      <c r="AB29" s="10">
        <f t="shared" ref="AB29" si="28">AA29+1</f>
        <v>2043</v>
      </c>
      <c r="AC29" s="10">
        <f t="shared" ref="AC29:AD29" si="29">AB29+1</f>
        <v>2044</v>
      </c>
      <c r="AD29" s="10">
        <f t="shared" si="29"/>
        <v>2045</v>
      </c>
    </row>
    <row r="30" spans="1:30" x14ac:dyDescent="0.3">
      <c r="A30" s="2" t="s">
        <v>76</v>
      </c>
      <c r="B30" s="2" t="s">
        <v>8</v>
      </c>
      <c r="C30" s="8">
        <v>0</v>
      </c>
      <c r="D30" s="8">
        <f>'IRP RE Inputs'!C18*$M$56</f>
        <v>0</v>
      </c>
      <c r="E30" s="8">
        <f>'IRP RE Inputs'!D18*$M$56</f>
        <v>0</v>
      </c>
      <c r="F30" s="8">
        <f>'IRP RE Inputs'!E18*$M$56</f>
        <v>0</v>
      </c>
      <c r="G30" s="8">
        <f>'IRP RE Inputs'!F18*$M$56</f>
        <v>0</v>
      </c>
      <c r="H30" s="8">
        <f>'IRP RE Inputs'!G18*$M$56</f>
        <v>33352.841878139749</v>
      </c>
      <c r="I30" s="8">
        <f>'IRP RE Inputs'!H18*$M$56</f>
        <v>158260.54706081442</v>
      </c>
      <c r="J30" s="8">
        <f>'IRP RE Inputs'!I18*$M$56</f>
        <v>0</v>
      </c>
      <c r="K30" s="8">
        <f>'IRP RE Inputs'!J18*$M$56</f>
        <v>0</v>
      </c>
      <c r="L30" s="8">
        <f>'IRP RE Inputs'!K18*$M$56</f>
        <v>173763.20429119948</v>
      </c>
      <c r="M30" s="8">
        <f>'IRP RE Inputs'!L18*$M$56</f>
        <v>805126.68132265995</v>
      </c>
      <c r="N30" s="8">
        <f>'IRP RE Inputs'!M18*$M$56</f>
        <v>1987149.5024912409</v>
      </c>
      <c r="O30" s="8">
        <f>'IRP RE Inputs'!N18*$M$56</f>
        <v>3085698.8553118818</v>
      </c>
      <c r="P30" s="8">
        <f>'IRP RE Inputs'!O18*$M$56</f>
        <v>3738319.4200280793</v>
      </c>
      <c r="Q30" s="8">
        <f>'IRP RE Inputs'!P18*$M$56</f>
        <v>4913537.24547562</v>
      </c>
      <c r="R30" s="8">
        <f>'IRP RE Inputs'!Q18*$M$56</f>
        <v>4871252.6067442764</v>
      </c>
      <c r="S30" s="8">
        <f>'IRP RE Inputs'!R18*$M$56</f>
        <v>4898461.0315397009</v>
      </c>
      <c r="T30" s="8">
        <f>'IRP RE Inputs'!S18*$M$56</f>
        <v>4944633.4524236973</v>
      </c>
      <c r="U30" s="8">
        <f>'IRP RE Inputs'!T18*$M$56</f>
        <v>9550842.1721506678</v>
      </c>
      <c r="V30" s="8">
        <f>'IRP RE Inputs'!U18*$M$56</f>
        <v>9568172.6496177651</v>
      </c>
      <c r="W30" s="8">
        <f>'IRP RE Inputs'!V18*$M$56</f>
        <v>9593104.3365711551</v>
      </c>
      <c r="X30" s="8">
        <f>'IRP RE Inputs'!W18*$M$56</f>
        <v>9549068.6834118217</v>
      </c>
      <c r="Y30" s="8">
        <f>'IRP RE Inputs'!X18*$M$56</f>
        <v>9527042.9805781245</v>
      </c>
      <c r="Z30" s="8">
        <f>'IRP RE Inputs'!Y18*$M$56</f>
        <v>9680305.0500236079</v>
      </c>
      <c r="AA30" s="8">
        <f>'IRP RE Inputs'!Z18*$M$56</f>
        <v>10031949.067790432</v>
      </c>
      <c r="AB30" s="8">
        <f>'IRP RE Inputs'!AA18*$M$56</f>
        <v>10742223.401746532</v>
      </c>
      <c r="AC30" s="8">
        <f>'IRP RE Inputs'!AB18*$M$56</f>
        <v>10727711.80288633</v>
      </c>
      <c r="AD30" s="8">
        <f>'IRP RE Inputs'!AC18*$M$56</f>
        <v>10696700.03946677</v>
      </c>
    </row>
    <row r="33" spans="1:30" x14ac:dyDescent="0.3">
      <c r="B33" s="11" t="s">
        <v>12</v>
      </c>
      <c r="C33" s="10">
        <f>C$6</f>
        <v>2018</v>
      </c>
      <c r="D33" s="10">
        <f t="shared" ref="D33:AA33" si="30">C33+1</f>
        <v>2019</v>
      </c>
      <c r="E33" s="10">
        <f t="shared" si="30"/>
        <v>2020</v>
      </c>
      <c r="F33" s="10">
        <f t="shared" si="30"/>
        <v>2021</v>
      </c>
      <c r="G33" s="10">
        <f t="shared" si="30"/>
        <v>2022</v>
      </c>
      <c r="H33" s="10">
        <f t="shared" si="30"/>
        <v>2023</v>
      </c>
      <c r="I33" s="10">
        <f t="shared" si="30"/>
        <v>2024</v>
      </c>
      <c r="J33" s="10">
        <f t="shared" si="30"/>
        <v>2025</v>
      </c>
      <c r="K33" s="10">
        <f t="shared" si="30"/>
        <v>2026</v>
      </c>
      <c r="L33" s="10">
        <f t="shared" si="30"/>
        <v>2027</v>
      </c>
      <c r="M33" s="10">
        <f t="shared" si="30"/>
        <v>2028</v>
      </c>
      <c r="N33" s="10">
        <f t="shared" si="30"/>
        <v>2029</v>
      </c>
      <c r="O33" s="10">
        <f t="shared" si="30"/>
        <v>2030</v>
      </c>
      <c r="P33" s="10">
        <f t="shared" si="30"/>
        <v>2031</v>
      </c>
      <c r="Q33" s="10">
        <f t="shared" si="30"/>
        <v>2032</v>
      </c>
      <c r="R33" s="10">
        <f t="shared" si="30"/>
        <v>2033</v>
      </c>
      <c r="S33" s="10">
        <f t="shared" si="30"/>
        <v>2034</v>
      </c>
      <c r="T33" s="10">
        <f t="shared" si="30"/>
        <v>2035</v>
      </c>
      <c r="U33" s="10">
        <f t="shared" si="30"/>
        <v>2036</v>
      </c>
      <c r="V33" s="10">
        <f t="shared" si="30"/>
        <v>2037</v>
      </c>
      <c r="W33" s="10">
        <f t="shared" si="30"/>
        <v>2038</v>
      </c>
      <c r="X33" s="10">
        <f t="shared" si="30"/>
        <v>2039</v>
      </c>
      <c r="Y33" s="10">
        <f t="shared" si="30"/>
        <v>2040</v>
      </c>
      <c r="Z33" s="10">
        <f t="shared" si="30"/>
        <v>2041</v>
      </c>
      <c r="AA33" s="10">
        <f t="shared" si="30"/>
        <v>2042</v>
      </c>
      <c r="AB33" s="10">
        <f t="shared" ref="AB33" si="31">AA33+1</f>
        <v>2043</v>
      </c>
      <c r="AC33" s="10">
        <f t="shared" ref="AC33:AD33" si="32">AB33+1</f>
        <v>2044</v>
      </c>
      <c r="AD33" s="10">
        <f t="shared" si="32"/>
        <v>2045</v>
      </c>
    </row>
    <row r="34" spans="1:30" x14ac:dyDescent="0.3">
      <c r="B34" s="2" t="s">
        <v>7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</row>
    <row r="35" spans="1:30" x14ac:dyDescent="0.3">
      <c r="B35" s="2" t="s">
        <v>8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</row>
    <row r="36" spans="1:30" x14ac:dyDescent="0.3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30" x14ac:dyDescent="0.3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30" x14ac:dyDescent="0.3">
      <c r="B38" s="11" t="s">
        <v>13</v>
      </c>
      <c r="C38" s="10">
        <f>C$6</f>
        <v>2018</v>
      </c>
      <c r="D38" s="10">
        <f t="shared" ref="D38:AA38" si="33">C38+1</f>
        <v>2019</v>
      </c>
      <c r="E38" s="10">
        <f t="shared" si="33"/>
        <v>2020</v>
      </c>
      <c r="F38" s="10">
        <f t="shared" si="33"/>
        <v>2021</v>
      </c>
      <c r="G38" s="10">
        <f t="shared" si="33"/>
        <v>2022</v>
      </c>
      <c r="H38" s="10">
        <f t="shared" si="33"/>
        <v>2023</v>
      </c>
      <c r="I38" s="10">
        <f t="shared" si="33"/>
        <v>2024</v>
      </c>
      <c r="J38" s="10">
        <f t="shared" si="33"/>
        <v>2025</v>
      </c>
      <c r="K38" s="10">
        <f t="shared" si="33"/>
        <v>2026</v>
      </c>
      <c r="L38" s="10">
        <f t="shared" si="33"/>
        <v>2027</v>
      </c>
      <c r="M38" s="10">
        <f t="shared" si="33"/>
        <v>2028</v>
      </c>
      <c r="N38" s="10">
        <f t="shared" si="33"/>
        <v>2029</v>
      </c>
      <c r="O38" s="10">
        <f t="shared" si="33"/>
        <v>2030</v>
      </c>
      <c r="P38" s="10">
        <f t="shared" si="33"/>
        <v>2031</v>
      </c>
      <c r="Q38" s="10">
        <f t="shared" si="33"/>
        <v>2032</v>
      </c>
      <c r="R38" s="10">
        <f t="shared" si="33"/>
        <v>2033</v>
      </c>
      <c r="S38" s="10">
        <f t="shared" si="33"/>
        <v>2034</v>
      </c>
      <c r="T38" s="10">
        <f t="shared" si="33"/>
        <v>2035</v>
      </c>
      <c r="U38" s="10">
        <f t="shared" si="33"/>
        <v>2036</v>
      </c>
      <c r="V38" s="10">
        <f t="shared" si="33"/>
        <v>2037</v>
      </c>
      <c r="W38" s="10">
        <f t="shared" si="33"/>
        <v>2038</v>
      </c>
      <c r="X38" s="10">
        <f t="shared" si="33"/>
        <v>2039</v>
      </c>
      <c r="Y38" s="10">
        <f t="shared" si="33"/>
        <v>2040</v>
      </c>
      <c r="Z38" s="10">
        <f t="shared" si="33"/>
        <v>2041</v>
      </c>
      <c r="AA38" s="10">
        <f t="shared" si="33"/>
        <v>2042</v>
      </c>
      <c r="AB38" s="10">
        <f t="shared" ref="AB38" si="34">AA38+1</f>
        <v>2043</v>
      </c>
      <c r="AC38" s="10">
        <f t="shared" ref="AC38:AD38" si="35">AB38+1</f>
        <v>2044</v>
      </c>
      <c r="AD38" s="10">
        <f t="shared" si="35"/>
        <v>2045</v>
      </c>
    </row>
    <row r="39" spans="1:30" x14ac:dyDescent="0.3">
      <c r="A39" s="2" t="s">
        <v>75</v>
      </c>
      <c r="B39" s="2" t="s">
        <v>8</v>
      </c>
      <c r="C39" s="9">
        <f>1766909+21503</f>
        <v>1788412</v>
      </c>
      <c r="D39" s="9">
        <f>1587489+21740</f>
        <v>1609229</v>
      </c>
      <c r="E39" s="9">
        <f>1997378+10373</f>
        <v>2007751</v>
      </c>
      <c r="F39" s="9">
        <f>2835645+18003</f>
        <v>2853648</v>
      </c>
      <c r="G39" s="9">
        <f>'IRP RE Inputs'!F4</f>
        <v>3109993</v>
      </c>
      <c r="H39" s="9">
        <f>'IRP RE Inputs'!G4</f>
        <v>3294386.0957851373</v>
      </c>
      <c r="I39" s="9">
        <f>'IRP RE Inputs'!H4</f>
        <v>3352149.4911240824</v>
      </c>
      <c r="J39" s="9">
        <f>'IRP RE Inputs'!I4</f>
        <v>4491341.9100846183</v>
      </c>
      <c r="K39" s="9">
        <f>'IRP RE Inputs'!J4</f>
        <v>4744016.5658540353</v>
      </c>
      <c r="L39" s="9">
        <f>'IRP RE Inputs'!K4</f>
        <v>4972129.4292209856</v>
      </c>
      <c r="M39" s="9">
        <f>'IRP RE Inputs'!L4</f>
        <v>4995869.59618745</v>
      </c>
      <c r="N39" s="9">
        <f>'IRP RE Inputs'!M4</f>
        <v>4948961.2122416217</v>
      </c>
      <c r="O39" s="9">
        <f>'IRP RE Inputs'!N4</f>
        <v>4150961.9521307675</v>
      </c>
      <c r="P39" s="9">
        <f>'IRP RE Inputs'!O4</f>
        <v>4087299.5781273441</v>
      </c>
      <c r="Q39" s="9">
        <f>'IRP RE Inputs'!P4</f>
        <v>3979291.5287181917</v>
      </c>
      <c r="R39" s="9">
        <f>'IRP RE Inputs'!Q4</f>
        <v>3911877.741167814</v>
      </c>
      <c r="S39" s="9">
        <f>'IRP RE Inputs'!R4</f>
        <v>3921414.4344557934</v>
      </c>
      <c r="T39" s="9">
        <f>'IRP RE Inputs'!S4</f>
        <v>3879583.3548111902</v>
      </c>
      <c r="U39" s="9">
        <f>'IRP RE Inputs'!T4</f>
        <v>3047014.1185270175</v>
      </c>
      <c r="V39" s="9">
        <f>'IRP RE Inputs'!U4</f>
        <v>2904987.9739217442</v>
      </c>
      <c r="W39" s="9">
        <f>'IRP RE Inputs'!V4</f>
        <v>2939973.6451819371</v>
      </c>
      <c r="X39" s="9">
        <f>'IRP RE Inputs'!W4</f>
        <v>2882544.9539344613</v>
      </c>
      <c r="Y39" s="9">
        <f>'IRP RE Inputs'!X4</f>
        <v>2854265.2814074908</v>
      </c>
      <c r="Z39" s="9">
        <f>'IRP RE Inputs'!Y4</f>
        <v>2747354.7267746283</v>
      </c>
      <c r="AA39" s="9">
        <f>'IRP RE Inputs'!Z4</f>
        <v>2796193.4937101998</v>
      </c>
      <c r="AB39" s="9">
        <f>'IRP RE Inputs'!AA4</f>
        <v>2437222.5950687425</v>
      </c>
      <c r="AC39" s="9">
        <f>'IRP RE Inputs'!AB4</f>
        <v>2419449.9931959892</v>
      </c>
      <c r="AD39" s="9">
        <f>'IRP RE Inputs'!AC4</f>
        <v>2411318.3996184552</v>
      </c>
    </row>
    <row r="40" spans="1:30" x14ac:dyDescent="0.3">
      <c r="A40" s="2" t="s">
        <v>75</v>
      </c>
      <c r="B40" s="2" t="s">
        <v>7</v>
      </c>
      <c r="C40" s="9">
        <v>170451</v>
      </c>
      <c r="D40" s="9">
        <v>195757</v>
      </c>
      <c r="E40" s="9">
        <v>205926</v>
      </c>
      <c r="F40" s="9">
        <v>195184</v>
      </c>
      <c r="G40" s="9">
        <f>'IRP RE Inputs'!F11</f>
        <v>197650.23240027318</v>
      </c>
      <c r="H40" s="9">
        <f>'IRP RE Inputs'!G11</f>
        <v>204723.13070320588</v>
      </c>
      <c r="I40" s="9">
        <f>'IRP RE Inputs'!H11</f>
        <v>204361.15524072273</v>
      </c>
      <c r="J40" s="9">
        <f>'IRP RE Inputs'!I11</f>
        <v>305323.24926330009</v>
      </c>
      <c r="K40" s="9">
        <f>'IRP RE Inputs'!J11</f>
        <v>304775.93611079996</v>
      </c>
      <c r="L40" s="9">
        <f>'IRP RE Inputs'!K11</f>
        <v>306849.28069251985</v>
      </c>
      <c r="M40" s="9">
        <f>'IRP RE Inputs'!L11</f>
        <v>247580.84971519996</v>
      </c>
      <c r="N40" s="9">
        <f>'IRP RE Inputs'!M11</f>
        <v>249185.87976015988</v>
      </c>
      <c r="O40" s="9">
        <f>'IRP RE Inputs'!N11</f>
        <v>245391.95648624111</v>
      </c>
      <c r="P40" s="9">
        <f>'IRP RE Inputs'!O11</f>
        <v>243417.52592247384</v>
      </c>
      <c r="Q40" s="9">
        <f>'IRP RE Inputs'!P11</f>
        <v>241457.10354041163</v>
      </c>
      <c r="R40" s="9">
        <f>'IRP RE Inputs'!Q11</f>
        <v>239354.8786149206</v>
      </c>
      <c r="S40" s="9">
        <f>'IRP RE Inputs'!R11</f>
        <v>237626.55283683733</v>
      </c>
      <c r="T40" s="9">
        <f>'IRP RE Inputs'!S11</f>
        <v>235469.95870789577</v>
      </c>
      <c r="U40" s="9">
        <f>'IRP RE Inputs'!T11</f>
        <v>133949.10647000925</v>
      </c>
      <c r="V40" s="9">
        <f>'IRP RE Inputs'!U11</f>
        <v>0</v>
      </c>
      <c r="W40" s="9">
        <f>'IRP RE Inputs'!V11</f>
        <v>0</v>
      </c>
      <c r="X40" s="9">
        <f>'IRP RE Inputs'!W11</f>
        <v>0</v>
      </c>
      <c r="Y40" s="9">
        <f>'IRP RE Inputs'!X11</f>
        <v>0</v>
      </c>
      <c r="Z40" s="9">
        <f>'IRP RE Inputs'!Y11</f>
        <v>0</v>
      </c>
      <c r="AA40" s="9">
        <f>'IRP RE Inputs'!Z11</f>
        <v>0</v>
      </c>
      <c r="AB40" s="9">
        <f>'IRP RE Inputs'!AA11</f>
        <v>0</v>
      </c>
      <c r="AC40" s="9">
        <f>'IRP RE Inputs'!AB11</f>
        <v>0</v>
      </c>
      <c r="AD40" s="9">
        <f>'IRP RE Inputs'!AC11</f>
        <v>0</v>
      </c>
    </row>
    <row r="41" spans="1:30" x14ac:dyDescent="0.3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3" spans="1:30" x14ac:dyDescent="0.3">
      <c r="B43" s="11" t="s">
        <v>14</v>
      </c>
      <c r="C43" s="10">
        <f>C$6</f>
        <v>2018</v>
      </c>
      <c r="D43" s="10">
        <f t="shared" ref="D43:AA43" si="36">C43+1</f>
        <v>2019</v>
      </c>
      <c r="E43" s="10">
        <f t="shared" si="36"/>
        <v>2020</v>
      </c>
      <c r="F43" s="10">
        <f t="shared" si="36"/>
        <v>2021</v>
      </c>
      <c r="G43" s="10">
        <f t="shared" si="36"/>
        <v>2022</v>
      </c>
      <c r="H43" s="10">
        <f t="shared" si="36"/>
        <v>2023</v>
      </c>
      <c r="I43" s="10">
        <f t="shared" si="36"/>
        <v>2024</v>
      </c>
      <c r="J43" s="10">
        <f t="shared" si="36"/>
        <v>2025</v>
      </c>
      <c r="K43" s="10">
        <f t="shared" si="36"/>
        <v>2026</v>
      </c>
      <c r="L43" s="10">
        <f t="shared" si="36"/>
        <v>2027</v>
      </c>
      <c r="M43" s="10">
        <f t="shared" si="36"/>
        <v>2028</v>
      </c>
      <c r="N43" s="10">
        <f t="shared" si="36"/>
        <v>2029</v>
      </c>
      <c r="O43" s="10">
        <f t="shared" si="36"/>
        <v>2030</v>
      </c>
      <c r="P43" s="10">
        <f t="shared" si="36"/>
        <v>2031</v>
      </c>
      <c r="Q43" s="10">
        <f t="shared" si="36"/>
        <v>2032</v>
      </c>
      <c r="R43" s="10">
        <f t="shared" si="36"/>
        <v>2033</v>
      </c>
      <c r="S43" s="10">
        <f t="shared" si="36"/>
        <v>2034</v>
      </c>
      <c r="T43" s="10">
        <f t="shared" si="36"/>
        <v>2035</v>
      </c>
      <c r="U43" s="10">
        <f t="shared" si="36"/>
        <v>2036</v>
      </c>
      <c r="V43" s="10">
        <f t="shared" si="36"/>
        <v>2037</v>
      </c>
      <c r="W43" s="10">
        <f t="shared" si="36"/>
        <v>2038</v>
      </c>
      <c r="X43" s="10">
        <f t="shared" si="36"/>
        <v>2039</v>
      </c>
      <c r="Y43" s="10">
        <f t="shared" si="36"/>
        <v>2040</v>
      </c>
      <c r="Z43" s="10">
        <f t="shared" si="36"/>
        <v>2041</v>
      </c>
      <c r="AA43" s="10">
        <f t="shared" si="36"/>
        <v>2042</v>
      </c>
      <c r="AB43" s="10">
        <f t="shared" ref="AB43" si="37">AA43+1</f>
        <v>2043</v>
      </c>
      <c r="AC43" s="10">
        <f t="shared" ref="AC43:AD43" si="38">AB43+1</f>
        <v>2044</v>
      </c>
      <c r="AD43" s="10">
        <f t="shared" si="38"/>
        <v>2045</v>
      </c>
    </row>
    <row r="44" spans="1:30" x14ac:dyDescent="0.3">
      <c r="B44" s="2" t="s">
        <v>15</v>
      </c>
      <c r="C44" s="8">
        <f t="shared" ref="C44:AA44" si="39">C9/1000</f>
        <v>1930.0849970999998</v>
      </c>
      <c r="D44" s="8">
        <f t="shared" si="39"/>
        <v>1955.0725499999999</v>
      </c>
      <c r="E44" s="8">
        <f t="shared" si="39"/>
        <v>2583.5152000000003</v>
      </c>
      <c r="F44" s="8">
        <f t="shared" si="39"/>
        <v>2685.8666000000003</v>
      </c>
      <c r="G44" s="8">
        <f t="shared" si="39"/>
        <v>2740.1184282000004</v>
      </c>
      <c r="H44" s="8">
        <f t="shared" si="39"/>
        <v>2789.8458000000001</v>
      </c>
      <c r="I44" s="8">
        <f t="shared" si="39"/>
        <v>2897.6774871694588</v>
      </c>
      <c r="J44" s="8">
        <f t="shared" si="39"/>
        <v>3994.1003412649584</v>
      </c>
      <c r="K44" s="8">
        <f t="shared" si="39"/>
        <v>4016.5414464713222</v>
      </c>
      <c r="L44" s="8">
        <f t="shared" si="39"/>
        <v>4043.5442218855478</v>
      </c>
      <c r="M44" s="8">
        <f t="shared" si="39"/>
        <v>4054.0958801212146</v>
      </c>
      <c r="N44" s="8">
        <f t="shared" si="39"/>
        <v>4048.3530962154314</v>
      </c>
      <c r="O44" s="8">
        <f t="shared" si="39"/>
        <v>5254.5715479603523</v>
      </c>
      <c r="P44" s="8">
        <f t="shared" si="39"/>
        <v>5266.7356386755573</v>
      </c>
      <c r="Q44" s="8">
        <f t="shared" si="39"/>
        <v>5288.374916081194</v>
      </c>
      <c r="R44" s="8">
        <f t="shared" si="39"/>
        <v>5293.8934674955099</v>
      </c>
      <c r="S44" s="8">
        <f t="shared" si="39"/>
        <v>5328.2766120091464</v>
      </c>
      <c r="T44" s="8">
        <f t="shared" si="39"/>
        <v>6910.7484930359897</v>
      </c>
      <c r="U44" s="8">
        <f t="shared" si="39"/>
        <v>7010.5970482212606</v>
      </c>
      <c r="V44" s="8">
        <f t="shared" si="39"/>
        <v>7100.2564834377736</v>
      </c>
      <c r="W44" s="8">
        <f t="shared" si="39"/>
        <v>7205.2155135892735</v>
      </c>
      <c r="X44" s="8">
        <f t="shared" si="39"/>
        <v>7323.3967405832918</v>
      </c>
      <c r="Y44" s="8">
        <f t="shared" si="39"/>
        <v>8288.6927042705956</v>
      </c>
      <c r="Z44" s="8">
        <f t="shared" si="39"/>
        <v>8410.5008486245479</v>
      </c>
      <c r="AA44" s="8">
        <f t="shared" si="39"/>
        <v>8574.8780512356807</v>
      </c>
      <c r="AB44" s="8">
        <f t="shared" ref="AB44:AD44" si="40">AB9/1000</f>
        <v>8861.1790934950895</v>
      </c>
      <c r="AC44" s="8">
        <f t="shared" si="40"/>
        <v>9033.4992557492715</v>
      </c>
      <c r="AD44" s="8">
        <f t="shared" si="40"/>
        <v>9164.035771945204</v>
      </c>
    </row>
    <row r="45" spans="1:30" x14ac:dyDescent="0.3">
      <c r="B45" s="2" t="s">
        <v>16</v>
      </c>
      <c r="C45" s="8">
        <f t="shared" ref="C45:AA45" si="41">(C23)/1000</f>
        <v>0</v>
      </c>
      <c r="D45" s="8">
        <f t="shared" si="41"/>
        <v>0</v>
      </c>
      <c r="E45" s="8">
        <f t="shared" si="41"/>
        <v>0</v>
      </c>
      <c r="F45" s="8">
        <f t="shared" si="41"/>
        <v>0</v>
      </c>
      <c r="G45" s="8">
        <f t="shared" si="41"/>
        <v>0</v>
      </c>
      <c r="H45" s="8">
        <f t="shared" si="41"/>
        <v>0</v>
      </c>
      <c r="I45" s="8">
        <f t="shared" si="41"/>
        <v>0</v>
      </c>
      <c r="J45" s="8">
        <f t="shared" si="41"/>
        <v>0</v>
      </c>
      <c r="K45" s="8">
        <f t="shared" si="41"/>
        <v>0</v>
      </c>
      <c r="L45" s="8">
        <f t="shared" si="41"/>
        <v>0</v>
      </c>
      <c r="M45" s="8">
        <f t="shared" si="41"/>
        <v>0</v>
      </c>
      <c r="N45" s="8">
        <f t="shared" si="41"/>
        <v>0</v>
      </c>
      <c r="O45" s="8">
        <f t="shared" si="41"/>
        <v>0</v>
      </c>
      <c r="P45" s="8">
        <f t="shared" si="41"/>
        <v>0</v>
      </c>
      <c r="Q45" s="8">
        <f t="shared" si="41"/>
        <v>0</v>
      </c>
      <c r="R45" s="8">
        <f t="shared" si="41"/>
        <v>0</v>
      </c>
      <c r="S45" s="8">
        <f t="shared" si="41"/>
        <v>0</v>
      </c>
      <c r="T45" s="8">
        <f t="shared" si="41"/>
        <v>0</v>
      </c>
      <c r="U45" s="8">
        <f t="shared" si="41"/>
        <v>0</v>
      </c>
      <c r="V45" s="8">
        <f t="shared" si="41"/>
        <v>0</v>
      </c>
      <c r="W45" s="8">
        <f t="shared" si="41"/>
        <v>0</v>
      </c>
      <c r="X45" s="8">
        <f t="shared" si="41"/>
        <v>0</v>
      </c>
      <c r="Y45" s="8">
        <f t="shared" si="41"/>
        <v>0</v>
      </c>
      <c r="Z45" s="8">
        <f t="shared" si="41"/>
        <v>0</v>
      </c>
      <c r="AA45" s="8">
        <f t="shared" si="41"/>
        <v>0</v>
      </c>
      <c r="AB45" s="8">
        <f t="shared" ref="AB45:AD45" si="42">(AB23)/1000</f>
        <v>0</v>
      </c>
      <c r="AC45" s="8">
        <f t="shared" si="42"/>
        <v>0</v>
      </c>
      <c r="AD45" s="8">
        <f t="shared" si="42"/>
        <v>0</v>
      </c>
    </row>
    <row r="46" spans="1:30" x14ac:dyDescent="0.3">
      <c r="B46" s="2" t="s">
        <v>17</v>
      </c>
      <c r="C46" s="8">
        <f t="shared" ref="C46:AA47" si="43">(C21)/1000</f>
        <v>1692.6980000000001</v>
      </c>
      <c r="D46" s="8">
        <f t="shared" si="43"/>
        <v>1844.3420000000001</v>
      </c>
      <c r="E46" s="8">
        <f t="shared" si="43"/>
        <v>2583.5149999999999</v>
      </c>
      <c r="F46" s="8">
        <f t="shared" si="43"/>
        <v>2685.8670000000002</v>
      </c>
      <c r="G46" s="8">
        <f t="shared" si="43"/>
        <v>2339.5194282000002</v>
      </c>
      <c r="H46" s="8">
        <f t="shared" si="43"/>
        <v>2789.8458000000001</v>
      </c>
      <c r="I46" s="8">
        <f t="shared" si="43"/>
        <v>2312.6054871694591</v>
      </c>
      <c r="J46" s="8">
        <f t="shared" si="43"/>
        <v>3789.7391860242356</v>
      </c>
      <c r="K46" s="8">
        <f t="shared" si="43"/>
        <v>3711.218197208022</v>
      </c>
      <c r="L46" s="8">
        <f t="shared" si="43"/>
        <v>3738.7682857747477</v>
      </c>
      <c r="M46" s="8">
        <f t="shared" si="43"/>
        <v>3747.2465994286945</v>
      </c>
      <c r="N46" s="8">
        <f t="shared" si="43"/>
        <v>3800.7722465002321</v>
      </c>
      <c r="O46" s="8">
        <f t="shared" si="43"/>
        <v>5005.3856682001924</v>
      </c>
      <c r="P46" s="8">
        <f t="shared" si="43"/>
        <v>5021.3436821893165</v>
      </c>
      <c r="Q46" s="8">
        <f t="shared" si="43"/>
        <v>5044.95739015872</v>
      </c>
      <c r="R46" s="8">
        <f t="shared" si="43"/>
        <v>5052.4363639550984</v>
      </c>
      <c r="S46" s="8">
        <f t="shared" si="43"/>
        <v>5088.9217333942261</v>
      </c>
      <c r="T46" s="8">
        <f t="shared" si="43"/>
        <v>6673.121940199153</v>
      </c>
      <c r="U46" s="8">
        <f t="shared" si="43"/>
        <v>6775.1270895133639</v>
      </c>
      <c r="V46" s="8">
        <f t="shared" si="43"/>
        <v>6966.3073769677649</v>
      </c>
      <c r="W46" s="8">
        <f t="shared" si="43"/>
        <v>7205.2155135892735</v>
      </c>
      <c r="X46" s="8">
        <f t="shared" si="43"/>
        <v>7323.3967405832918</v>
      </c>
      <c r="Y46" s="8">
        <f t="shared" si="43"/>
        <v>8288.6927042705956</v>
      </c>
      <c r="Z46" s="8">
        <f t="shared" si="43"/>
        <v>8410.5008486245479</v>
      </c>
      <c r="AA46" s="8">
        <f t="shared" si="43"/>
        <v>8574.8780512356807</v>
      </c>
      <c r="AB46" s="8">
        <f t="shared" ref="AB46:AD46" si="44">(AB21)/1000</f>
        <v>8861.1790934950895</v>
      </c>
      <c r="AC46" s="8">
        <f t="shared" si="44"/>
        <v>9033.4992557492715</v>
      </c>
      <c r="AD46" s="8">
        <f t="shared" si="44"/>
        <v>9164.035771945204</v>
      </c>
    </row>
    <row r="47" spans="1:30" x14ac:dyDescent="0.3">
      <c r="B47" s="2" t="s">
        <v>33</v>
      </c>
      <c r="C47" s="8">
        <f t="shared" si="43"/>
        <v>-2.9000001959502699E-6</v>
      </c>
      <c r="D47" s="8">
        <f t="shared" si="43"/>
        <v>-4.5000000018626451E-4</v>
      </c>
      <c r="E47" s="8">
        <f t="shared" si="43"/>
        <v>2.0000000018626451E-4</v>
      </c>
      <c r="F47" s="8">
        <f t="shared" si="43"/>
        <v>-3.9999999990686776E-4</v>
      </c>
      <c r="G47" s="8">
        <f t="shared" si="43"/>
        <v>0</v>
      </c>
      <c r="H47" s="8">
        <f t="shared" si="43"/>
        <v>0</v>
      </c>
      <c r="I47" s="8">
        <f t="shared" si="43"/>
        <v>0</v>
      </c>
      <c r="J47" s="8">
        <f t="shared" si="43"/>
        <v>0</v>
      </c>
      <c r="K47" s="8">
        <f t="shared" si="43"/>
        <v>0</v>
      </c>
      <c r="L47" s="8">
        <f t="shared" si="43"/>
        <v>0</v>
      </c>
      <c r="M47" s="8">
        <f t="shared" si="43"/>
        <v>4.6566128730773927E-13</v>
      </c>
      <c r="N47" s="8">
        <f t="shared" si="43"/>
        <v>0</v>
      </c>
      <c r="O47" s="8">
        <f t="shared" si="43"/>
        <v>0</v>
      </c>
      <c r="P47" s="8">
        <f t="shared" si="43"/>
        <v>0</v>
      </c>
      <c r="Q47" s="8">
        <f t="shared" si="43"/>
        <v>0</v>
      </c>
      <c r="R47" s="8">
        <f t="shared" si="43"/>
        <v>0</v>
      </c>
      <c r="S47" s="8">
        <f t="shared" si="43"/>
        <v>0</v>
      </c>
      <c r="T47" s="8">
        <f t="shared" si="43"/>
        <v>0</v>
      </c>
      <c r="U47" s="8">
        <f t="shared" si="43"/>
        <v>0</v>
      </c>
      <c r="V47" s="8">
        <f t="shared" si="43"/>
        <v>0</v>
      </c>
      <c r="W47" s="8">
        <f t="shared" si="43"/>
        <v>0</v>
      </c>
      <c r="X47" s="8">
        <f t="shared" si="43"/>
        <v>0</v>
      </c>
      <c r="Y47" s="8">
        <f t="shared" si="43"/>
        <v>0</v>
      </c>
      <c r="Z47" s="8">
        <f t="shared" si="43"/>
        <v>0</v>
      </c>
      <c r="AA47" s="8">
        <f t="shared" si="43"/>
        <v>0</v>
      </c>
      <c r="AB47" s="8">
        <f t="shared" ref="AB47:AD47" si="45">(AB22)/1000</f>
        <v>0</v>
      </c>
      <c r="AC47" s="8">
        <f t="shared" si="45"/>
        <v>0</v>
      </c>
      <c r="AD47" s="8">
        <f t="shared" si="45"/>
        <v>0</v>
      </c>
    </row>
    <row r="48" spans="1:30" x14ac:dyDescent="0.3">
      <c r="B48" s="2" t="s">
        <v>18</v>
      </c>
      <c r="C48" s="8">
        <f t="shared" ref="C48:AA48" si="46">(C20)/1000</f>
        <v>237.387</v>
      </c>
      <c r="D48" s="8">
        <f t="shared" si="46"/>
        <v>110.73099999999999</v>
      </c>
      <c r="E48" s="8">
        <f t="shared" si="46"/>
        <v>0</v>
      </c>
      <c r="F48" s="8">
        <f t="shared" si="46"/>
        <v>0</v>
      </c>
      <c r="G48" s="8">
        <f t="shared" si="46"/>
        <v>400.59899999999999</v>
      </c>
      <c r="H48" s="8">
        <f t="shared" si="46"/>
        <v>0</v>
      </c>
      <c r="I48" s="8">
        <f t="shared" si="46"/>
        <v>585.072</v>
      </c>
      <c r="J48" s="8">
        <f t="shared" si="46"/>
        <v>204.36115524072272</v>
      </c>
      <c r="K48" s="8">
        <f t="shared" si="46"/>
        <v>305.32324926330011</v>
      </c>
      <c r="L48" s="8">
        <f t="shared" si="46"/>
        <v>304.77593611079993</v>
      </c>
      <c r="M48" s="8">
        <f t="shared" si="46"/>
        <v>306.84928069251987</v>
      </c>
      <c r="N48" s="8">
        <f t="shared" si="46"/>
        <v>247.58084971519949</v>
      </c>
      <c r="O48" s="8">
        <f t="shared" si="46"/>
        <v>249.18587976015988</v>
      </c>
      <c r="P48" s="8">
        <f t="shared" si="46"/>
        <v>245.3919564862411</v>
      </c>
      <c r="Q48" s="8">
        <f t="shared" si="46"/>
        <v>243.41752592247383</v>
      </c>
      <c r="R48" s="8">
        <f t="shared" si="46"/>
        <v>241.45710354041162</v>
      </c>
      <c r="S48" s="8">
        <f t="shared" si="46"/>
        <v>239.35487861492061</v>
      </c>
      <c r="T48" s="8">
        <f t="shared" si="46"/>
        <v>237.62655283683733</v>
      </c>
      <c r="U48" s="8">
        <f t="shared" si="46"/>
        <v>235.46995870789576</v>
      </c>
      <c r="V48" s="8">
        <f t="shared" si="46"/>
        <v>133.94910647000924</v>
      </c>
      <c r="W48" s="8">
        <f t="shared" si="46"/>
        <v>0</v>
      </c>
      <c r="X48" s="8">
        <f t="shared" si="46"/>
        <v>0</v>
      </c>
      <c r="Y48" s="8">
        <f t="shared" si="46"/>
        <v>0</v>
      </c>
      <c r="Z48" s="8">
        <f t="shared" si="46"/>
        <v>0</v>
      </c>
      <c r="AA48" s="8">
        <f t="shared" si="46"/>
        <v>0</v>
      </c>
      <c r="AB48" s="8">
        <f t="shared" ref="AB48:AD48" si="47">(AB20)/1000</f>
        <v>0</v>
      </c>
      <c r="AC48" s="8">
        <f t="shared" si="47"/>
        <v>0</v>
      </c>
      <c r="AD48" s="8">
        <f t="shared" si="47"/>
        <v>0</v>
      </c>
    </row>
    <row r="49" spans="2:30" x14ac:dyDescent="0.3">
      <c r="B49" s="2" t="s">
        <v>20</v>
      </c>
      <c r="C49" s="8">
        <f t="shared" ref="C49:AA49" si="48">((C14-C21)+(C16-C23))/1000</f>
        <v>1788.412</v>
      </c>
      <c r="D49" s="8">
        <f t="shared" si="48"/>
        <v>1609.229</v>
      </c>
      <c r="E49" s="8">
        <f t="shared" si="48"/>
        <v>2007.751</v>
      </c>
      <c r="F49" s="8">
        <f t="shared" si="48"/>
        <v>2853.6480000000001</v>
      </c>
      <c r="G49" s="8">
        <f t="shared" si="48"/>
        <v>3510.5920000000001</v>
      </c>
      <c r="H49" s="8">
        <f t="shared" si="48"/>
        <v>3327.7389376632773</v>
      </c>
      <c r="I49" s="8">
        <f t="shared" si="48"/>
        <v>8264.1025510154359</v>
      </c>
      <c r="J49" s="8">
        <f t="shared" si="48"/>
        <v>8965.7052750758194</v>
      </c>
      <c r="K49" s="8">
        <f t="shared" si="48"/>
        <v>9998.5036437218314</v>
      </c>
      <c r="L49" s="8">
        <f t="shared" si="48"/>
        <v>11405.627991459269</v>
      </c>
      <c r="M49" s="8">
        <f t="shared" si="48"/>
        <v>13459.377669540685</v>
      </c>
      <c r="N49" s="8">
        <f t="shared" si="48"/>
        <v>16594.716137773317</v>
      </c>
      <c r="O49" s="8">
        <f t="shared" si="48"/>
        <v>18825.991277015775</v>
      </c>
      <c r="P49" s="8">
        <f t="shared" si="48"/>
        <v>21630.266592981883</v>
      </c>
      <c r="Q49" s="8">
        <f t="shared" si="48"/>
        <v>25478.137977016973</v>
      </c>
      <c r="R49" s="8">
        <f t="shared" si="48"/>
        <v>29208.831960973963</v>
      </c>
      <c r="S49" s="8">
        <f t="shared" si="48"/>
        <v>32939.785693575228</v>
      </c>
      <c r="T49" s="8">
        <f t="shared" si="48"/>
        <v>35090.880560610967</v>
      </c>
      <c r="U49" s="8">
        <f t="shared" si="48"/>
        <v>40913.609761775282</v>
      </c>
      <c r="V49" s="8">
        <f t="shared" si="48"/>
        <v>46420.463008347026</v>
      </c>
      <c r="W49" s="8">
        <f t="shared" si="48"/>
        <v>51748.32547651085</v>
      </c>
      <c r="X49" s="8">
        <f t="shared" si="48"/>
        <v>56856.542373273842</v>
      </c>
      <c r="Y49" s="8">
        <f t="shared" si="48"/>
        <v>60949.157930988862</v>
      </c>
      <c r="Z49" s="8">
        <f t="shared" si="48"/>
        <v>64966.316859162551</v>
      </c>
      <c r="AA49" s="8">
        <f t="shared" si="48"/>
        <v>69219.581369427498</v>
      </c>
      <c r="AB49" s="8">
        <f t="shared" ref="AB49:AD49" si="49">((AB14-AB21)+(AB16-AB23))/1000</f>
        <v>73537.848272747695</v>
      </c>
      <c r="AC49" s="8">
        <f t="shared" si="49"/>
        <v>77651.510813080749</v>
      </c>
      <c r="AD49" s="8">
        <f t="shared" si="49"/>
        <v>81595.493480220772</v>
      </c>
    </row>
    <row r="50" spans="2:30" x14ac:dyDescent="0.3">
      <c r="B50" s="2" t="s">
        <v>19</v>
      </c>
      <c r="C50" s="8">
        <f t="shared" ref="C50:AA50" si="50">-C26/1000</f>
        <v>0</v>
      </c>
      <c r="D50" s="8">
        <f t="shared" si="50"/>
        <v>0</v>
      </c>
      <c r="E50" s="8">
        <f t="shared" si="50"/>
        <v>0</v>
      </c>
      <c r="F50" s="8">
        <f t="shared" si="50"/>
        <v>0</v>
      </c>
      <c r="G50" s="8">
        <f t="shared" si="50"/>
        <v>0</v>
      </c>
      <c r="H50" s="8">
        <f t="shared" si="50"/>
        <v>0</v>
      </c>
      <c r="I50" s="8">
        <f t="shared" si="50"/>
        <v>0</v>
      </c>
      <c r="J50" s="8">
        <f t="shared" si="50"/>
        <v>0</v>
      </c>
      <c r="K50" s="8">
        <f t="shared" si="50"/>
        <v>0</v>
      </c>
      <c r="L50" s="8">
        <f t="shared" si="50"/>
        <v>0</v>
      </c>
      <c r="M50" s="8">
        <f t="shared" si="50"/>
        <v>0</v>
      </c>
      <c r="N50" s="8">
        <f t="shared" si="50"/>
        <v>0</v>
      </c>
      <c r="O50" s="8">
        <f t="shared" si="50"/>
        <v>0</v>
      </c>
      <c r="P50" s="8">
        <f t="shared" si="50"/>
        <v>0</v>
      </c>
      <c r="Q50" s="8">
        <f t="shared" si="50"/>
        <v>0</v>
      </c>
      <c r="R50" s="8">
        <f t="shared" si="50"/>
        <v>0</v>
      </c>
      <c r="S50" s="8">
        <f t="shared" si="50"/>
        <v>0</v>
      </c>
      <c r="T50" s="8">
        <f t="shared" si="50"/>
        <v>0</v>
      </c>
      <c r="U50" s="8">
        <f t="shared" si="50"/>
        <v>0</v>
      </c>
      <c r="V50" s="8">
        <f t="shared" si="50"/>
        <v>0</v>
      </c>
      <c r="W50" s="8">
        <f t="shared" si="50"/>
        <v>0</v>
      </c>
      <c r="X50" s="8">
        <f t="shared" si="50"/>
        <v>0</v>
      </c>
      <c r="Y50" s="8">
        <f t="shared" si="50"/>
        <v>0</v>
      </c>
      <c r="Z50" s="8">
        <f t="shared" si="50"/>
        <v>0</v>
      </c>
      <c r="AA50" s="8">
        <f t="shared" si="50"/>
        <v>0</v>
      </c>
      <c r="AB50" s="8">
        <f t="shared" ref="AB50:AD50" si="51">-AB26/1000</f>
        <v>0</v>
      </c>
      <c r="AC50" s="8">
        <f t="shared" si="51"/>
        <v>0</v>
      </c>
      <c r="AD50" s="8">
        <f t="shared" si="51"/>
        <v>0</v>
      </c>
    </row>
    <row r="51" spans="2:30" x14ac:dyDescent="0.3">
      <c r="B51" s="2" t="s">
        <v>21</v>
      </c>
      <c r="C51" s="8">
        <f t="shared" ref="C51:AA51" si="52">((C13-C20)+(C15-C22))/1000</f>
        <v>170.45100290000019</v>
      </c>
      <c r="D51" s="8">
        <f t="shared" si="52"/>
        <v>195.75745000000018</v>
      </c>
      <c r="E51" s="8">
        <f t="shared" si="52"/>
        <v>205.92579999999981</v>
      </c>
      <c r="F51" s="8">
        <f t="shared" si="52"/>
        <v>195.1843999999999</v>
      </c>
      <c r="G51" s="8">
        <f t="shared" si="52"/>
        <v>-202.94876759972684</v>
      </c>
      <c r="H51" s="8">
        <f t="shared" si="52"/>
        <v>204.7231307032059</v>
      </c>
      <c r="I51" s="8">
        <f t="shared" si="52"/>
        <v>204.36115524072272</v>
      </c>
      <c r="J51" s="8">
        <f t="shared" si="52"/>
        <v>305.32324926330011</v>
      </c>
      <c r="K51" s="8">
        <f t="shared" si="52"/>
        <v>304.77593611079993</v>
      </c>
      <c r="L51" s="8">
        <f t="shared" si="52"/>
        <v>306.84928069251987</v>
      </c>
      <c r="M51" s="8">
        <f t="shared" si="52"/>
        <v>247.58084971519949</v>
      </c>
      <c r="N51" s="8">
        <f t="shared" si="52"/>
        <v>249.18587976015988</v>
      </c>
      <c r="O51" s="8">
        <f t="shared" si="52"/>
        <v>245.3919564862411</v>
      </c>
      <c r="P51" s="8">
        <f t="shared" si="52"/>
        <v>243.41752592247383</v>
      </c>
      <c r="Q51" s="8">
        <f t="shared" si="52"/>
        <v>241.45710354041162</v>
      </c>
      <c r="R51" s="8">
        <f t="shared" si="52"/>
        <v>239.35487861492061</v>
      </c>
      <c r="S51" s="8">
        <f t="shared" si="52"/>
        <v>237.62655283683733</v>
      </c>
      <c r="T51" s="8">
        <f t="shared" si="52"/>
        <v>235.46995870789576</v>
      </c>
      <c r="U51" s="8">
        <f t="shared" si="52"/>
        <v>133.94910647000924</v>
      </c>
      <c r="V51" s="8">
        <f t="shared" si="52"/>
        <v>0</v>
      </c>
      <c r="W51" s="8">
        <f t="shared" si="52"/>
        <v>0</v>
      </c>
      <c r="X51" s="8">
        <f t="shared" si="52"/>
        <v>0</v>
      </c>
      <c r="Y51" s="8">
        <f t="shared" si="52"/>
        <v>0</v>
      </c>
      <c r="Z51" s="8">
        <f t="shared" si="52"/>
        <v>0</v>
      </c>
      <c r="AA51" s="8">
        <f t="shared" si="52"/>
        <v>0</v>
      </c>
      <c r="AB51" s="8">
        <f t="shared" ref="AB51:AD51" si="53">((AB13-AB20)+(AB15-AB22))/1000</f>
        <v>0</v>
      </c>
      <c r="AC51" s="8">
        <f t="shared" si="53"/>
        <v>0</v>
      </c>
      <c r="AD51" s="8">
        <f t="shared" si="53"/>
        <v>0</v>
      </c>
    </row>
    <row r="53" spans="2:30" x14ac:dyDescent="0.3">
      <c r="I53" s="20"/>
    </row>
    <row r="56" spans="2:30" x14ac:dyDescent="0.3">
      <c r="I56" s="2" t="s">
        <v>36</v>
      </c>
      <c r="L56" s="21" t="b">
        <v>1</v>
      </c>
      <c r="M56" s="2">
        <f>IF(L56,1,0)</f>
        <v>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G57"/>
  <sheetViews>
    <sheetView showGridLines="0" zoomScaleNormal="100" workbookViewId="0"/>
  </sheetViews>
  <sheetFormatPr defaultRowHeight="14" x14ac:dyDescent="0.3"/>
  <cols>
    <col min="1" max="1" width="8.7265625" style="2"/>
    <col min="2" max="2" width="40.26953125" style="2" customWidth="1"/>
    <col min="3" max="3" width="13" style="2" customWidth="1"/>
    <col min="4" max="4" width="12.54296875" style="2" customWidth="1"/>
    <col min="5" max="28" width="11.453125" style="2" customWidth="1"/>
    <col min="29" max="16384" width="8.7265625" style="2"/>
  </cols>
  <sheetData>
    <row r="1" spans="1:33" x14ac:dyDescent="0.3">
      <c r="A1" s="3"/>
    </row>
    <row r="5" spans="1:33" x14ac:dyDescent="0.3">
      <c r="C5" s="2" t="s">
        <v>40</v>
      </c>
      <c r="G5" s="2" t="s">
        <v>41</v>
      </c>
    </row>
    <row r="6" spans="1:33" x14ac:dyDescent="0.3">
      <c r="B6" s="11" t="s">
        <v>2</v>
      </c>
      <c r="C6" s="11">
        <v>2017</v>
      </c>
      <c r="D6" s="10">
        <v>2018</v>
      </c>
      <c r="E6" s="10">
        <f t="shared" ref="E6:AB6" si="0">D6+1</f>
        <v>2019</v>
      </c>
      <c r="F6" s="10">
        <f t="shared" si="0"/>
        <v>2020</v>
      </c>
      <c r="G6" s="10">
        <f t="shared" si="0"/>
        <v>2021</v>
      </c>
      <c r="H6" s="10">
        <f t="shared" si="0"/>
        <v>2022</v>
      </c>
      <c r="I6" s="10">
        <f t="shared" si="0"/>
        <v>2023</v>
      </c>
      <c r="J6" s="10">
        <f t="shared" si="0"/>
        <v>2024</v>
      </c>
      <c r="K6" s="10">
        <f t="shared" si="0"/>
        <v>2025</v>
      </c>
      <c r="L6" s="10">
        <f t="shared" si="0"/>
        <v>2026</v>
      </c>
      <c r="M6" s="10">
        <f t="shared" si="0"/>
        <v>2027</v>
      </c>
      <c r="N6" s="10">
        <f t="shared" si="0"/>
        <v>2028</v>
      </c>
      <c r="O6" s="10">
        <f t="shared" si="0"/>
        <v>2029</v>
      </c>
      <c r="P6" s="10">
        <f t="shared" si="0"/>
        <v>2030</v>
      </c>
      <c r="Q6" s="10">
        <f t="shared" si="0"/>
        <v>2031</v>
      </c>
      <c r="R6" s="10">
        <f t="shared" si="0"/>
        <v>2032</v>
      </c>
      <c r="S6" s="10">
        <f t="shared" si="0"/>
        <v>2033</v>
      </c>
      <c r="T6" s="10">
        <f t="shared" si="0"/>
        <v>2034</v>
      </c>
      <c r="U6" s="10">
        <f t="shared" si="0"/>
        <v>2035</v>
      </c>
      <c r="V6" s="10">
        <f t="shared" si="0"/>
        <v>2036</v>
      </c>
      <c r="W6" s="10">
        <f t="shared" si="0"/>
        <v>2037</v>
      </c>
      <c r="X6" s="10">
        <f t="shared" si="0"/>
        <v>2038</v>
      </c>
      <c r="Y6" s="10">
        <f t="shared" si="0"/>
        <v>2039</v>
      </c>
      <c r="Z6" s="10">
        <f t="shared" si="0"/>
        <v>2040</v>
      </c>
      <c r="AA6" s="10">
        <f t="shared" si="0"/>
        <v>2041</v>
      </c>
      <c r="AB6" s="10">
        <f t="shared" si="0"/>
        <v>2042</v>
      </c>
      <c r="AC6" s="10">
        <f t="shared" ref="AC6" si="1">AB6+1</f>
        <v>2043</v>
      </c>
      <c r="AD6" s="10">
        <f t="shared" ref="AD6" si="2">AC6+1</f>
        <v>2044</v>
      </c>
      <c r="AE6" s="10">
        <v>2045</v>
      </c>
    </row>
    <row r="7" spans="1:33" x14ac:dyDescent="0.3">
      <c r="A7" s="2" t="s">
        <v>78</v>
      </c>
      <c r="B7" s="2" t="s">
        <v>32</v>
      </c>
      <c r="C7" s="8">
        <v>762351.78899999999</v>
      </c>
      <c r="D7" s="8">
        <v>749274.076</v>
      </c>
      <c r="E7" s="8">
        <v>740931.29599999997</v>
      </c>
      <c r="F7" s="8">
        <v>758822.554</v>
      </c>
      <c r="G7" s="8">
        <v>798075</v>
      </c>
      <c r="H7" s="8">
        <f>'Retail Sales'!O2</f>
        <v>799527.82499999995</v>
      </c>
      <c r="I7" s="8">
        <v>760415</v>
      </c>
      <c r="J7" s="8">
        <f>'Retail Sales'!Q2</f>
        <v>761089.57187328127</v>
      </c>
      <c r="K7" s="8">
        <f>'Retail Sales'!R2</f>
        <v>762202.78487663099</v>
      </c>
      <c r="L7" s="8">
        <f>'Retail Sales'!S2</f>
        <v>759238.562622895</v>
      </c>
      <c r="M7" s="8">
        <f>'Retail Sales'!T2</f>
        <v>752843.27529658074</v>
      </c>
      <c r="N7" s="8">
        <f>'Retail Sales'!U2</f>
        <v>748330.89788486226</v>
      </c>
      <c r="O7" s="8">
        <f>'Retail Sales'!V2</f>
        <v>739152.87899852952</v>
      </c>
      <c r="P7" s="8">
        <f>'Retail Sales'!W2</f>
        <v>732237.71830944321</v>
      </c>
      <c r="Q7" s="8">
        <f>'Retail Sales'!X2</f>
        <v>725635.31105611695</v>
      </c>
      <c r="R7" s="8">
        <f>'Retail Sales'!Y2</f>
        <v>720951.43863957562</v>
      </c>
      <c r="S7" s="8">
        <f>'Retail Sales'!Z2</f>
        <v>712671.93612774485</v>
      </c>
      <c r="T7" s="8">
        <f>'Retail Sales'!AA2</f>
        <v>707181.7183801838</v>
      </c>
      <c r="U7" s="8">
        <f>'Retail Sales'!AB2</f>
        <v>702733.31431070343</v>
      </c>
      <c r="V7" s="8">
        <f>'Retail Sales'!AC2</f>
        <v>701100.10824002104</v>
      </c>
      <c r="W7" s="8">
        <f>'Retail Sales'!AD2</f>
        <v>697092.637766395</v>
      </c>
      <c r="X7" s="8">
        <f>'Retail Sales'!AE2</f>
        <v>695480.1241497437</v>
      </c>
      <c r="Y7" s="8">
        <f>'Retail Sales'!AF2</f>
        <v>694445.29228171473</v>
      </c>
      <c r="Z7" s="8">
        <f>'Retail Sales'!AG2</f>
        <v>696489.2936360226</v>
      </c>
      <c r="AA7" s="8">
        <f>'Retail Sales'!AH2</f>
        <v>694174.83896477334</v>
      </c>
      <c r="AB7" s="8">
        <f>'Retail Sales'!AI2</f>
        <v>695260.12199081702</v>
      </c>
      <c r="AC7" s="8">
        <f>'Retail Sales'!AJ2</f>
        <v>695742.72627166379</v>
      </c>
      <c r="AD7" s="8">
        <f>'Retail Sales'!AK2</f>
        <v>698841.89434254053</v>
      </c>
      <c r="AE7" s="8">
        <f>'Retail Sales'!AL2</f>
        <v>698329.87832822732</v>
      </c>
    </row>
    <row r="8" spans="1:33" x14ac:dyDescent="0.3">
      <c r="A8" s="2" t="s">
        <v>77</v>
      </c>
      <c r="B8" s="2" t="s">
        <v>0</v>
      </c>
      <c r="C8" s="22">
        <f>Targets!C5</f>
        <v>0.27</v>
      </c>
      <c r="D8" s="22">
        <f>Targets!D5</f>
        <v>0.28999999999999998</v>
      </c>
      <c r="E8" s="22">
        <f>Targets!E5</f>
        <v>0.31</v>
      </c>
      <c r="F8" s="22">
        <f>Targets!F5</f>
        <v>0.33</v>
      </c>
      <c r="G8" s="22">
        <f>Targets!G5</f>
        <v>0.35749999999999998</v>
      </c>
      <c r="H8" s="22">
        <f>Targets!H5</f>
        <v>0.38500000000000001</v>
      </c>
      <c r="I8" s="22">
        <f>Targets!I5</f>
        <v>0.41249999999999998</v>
      </c>
      <c r="J8" s="22">
        <f>Targets!J5</f>
        <v>0.44</v>
      </c>
      <c r="K8" s="22">
        <f>Targets!K5</f>
        <v>0.4667</v>
      </c>
      <c r="L8" s="22">
        <f>Targets!L5</f>
        <v>0.49330000000000002</v>
      </c>
      <c r="M8" s="22">
        <f>Targets!M5</f>
        <v>0.52</v>
      </c>
      <c r="N8" s="22">
        <f>Targets!N5</f>
        <v>0.54669999999999996</v>
      </c>
      <c r="O8" s="22">
        <f>Targets!O5</f>
        <v>0.57330000000000003</v>
      </c>
      <c r="P8" s="22">
        <f>Targets!P5</f>
        <v>0.6</v>
      </c>
      <c r="Q8" s="22">
        <f>Targets!Q5</f>
        <v>0.6</v>
      </c>
      <c r="R8" s="22">
        <f>Targets!R5</f>
        <v>0.6</v>
      </c>
      <c r="S8" s="22">
        <f>Targets!S5</f>
        <v>0.6</v>
      </c>
      <c r="T8" s="22">
        <f>Targets!T5</f>
        <v>0.6</v>
      </c>
      <c r="U8" s="22">
        <f>Targets!U5</f>
        <v>0.6</v>
      </c>
      <c r="V8" s="22">
        <f>Targets!V5</f>
        <v>0.6</v>
      </c>
      <c r="W8" s="22">
        <f>Targets!W5</f>
        <v>0.6</v>
      </c>
      <c r="X8" s="22">
        <f>Targets!X5</f>
        <v>0.6</v>
      </c>
      <c r="Y8" s="22">
        <f>Targets!Y5</f>
        <v>0.6</v>
      </c>
      <c r="Z8" s="22">
        <f>Targets!Z5</f>
        <v>0.6</v>
      </c>
      <c r="AA8" s="22">
        <f>Targets!AA5</f>
        <v>0.6</v>
      </c>
      <c r="AB8" s="22">
        <f>Targets!AB5</f>
        <v>0.6</v>
      </c>
      <c r="AC8" s="22">
        <f>Targets!AC5</f>
        <v>0.6</v>
      </c>
      <c r="AD8" s="22">
        <f>Targets!AD5</f>
        <v>0.6</v>
      </c>
      <c r="AE8" s="22">
        <f>Targets!AE5</f>
        <v>0.6</v>
      </c>
      <c r="AF8" s="12"/>
      <c r="AG8" s="12"/>
    </row>
    <row r="9" spans="1:33" x14ac:dyDescent="0.3">
      <c r="B9" s="2" t="s">
        <v>1</v>
      </c>
      <c r="C9" s="8">
        <f>C8*C7</f>
        <v>205834.98303</v>
      </c>
      <c r="D9" s="8">
        <f>D8*D7</f>
        <v>217289.48203999997</v>
      </c>
      <c r="E9" s="8">
        <f t="shared" ref="E9:AB9" si="3">E8*E7</f>
        <v>229688.70176</v>
      </c>
      <c r="F9" s="8">
        <f t="shared" si="3"/>
        <v>250411.44282000003</v>
      </c>
      <c r="G9" s="8">
        <f t="shared" si="3"/>
        <v>285311.8125</v>
      </c>
      <c r="H9" s="8">
        <f t="shared" si="3"/>
        <v>307818.21262499999</v>
      </c>
      <c r="I9" s="8">
        <f t="shared" si="3"/>
        <v>313671.1875</v>
      </c>
      <c r="J9" s="8">
        <f t="shared" si="3"/>
        <v>334879.41162424377</v>
      </c>
      <c r="K9" s="8">
        <f t="shared" si="3"/>
        <v>355720.03970192367</v>
      </c>
      <c r="L9" s="8">
        <f t="shared" si="3"/>
        <v>374532.38294187409</v>
      </c>
      <c r="M9" s="8">
        <f t="shared" si="3"/>
        <v>391478.50315422198</v>
      </c>
      <c r="N9" s="8">
        <f t="shared" si="3"/>
        <v>409112.5018736542</v>
      </c>
      <c r="O9" s="8">
        <f t="shared" si="3"/>
        <v>423756.34552985698</v>
      </c>
      <c r="P9" s="8">
        <f t="shared" si="3"/>
        <v>439342.63098566589</v>
      </c>
      <c r="Q9" s="8">
        <f t="shared" si="3"/>
        <v>435381.18663367018</v>
      </c>
      <c r="R9" s="8">
        <f t="shared" si="3"/>
        <v>432570.86318374536</v>
      </c>
      <c r="S9" s="8">
        <f t="shared" si="3"/>
        <v>427603.16167664691</v>
      </c>
      <c r="T9" s="8">
        <f t="shared" si="3"/>
        <v>424309.03102811024</v>
      </c>
      <c r="U9" s="8">
        <f t="shared" si="3"/>
        <v>421639.98858642206</v>
      </c>
      <c r="V9" s="8">
        <f t="shared" si="3"/>
        <v>420660.06494401261</v>
      </c>
      <c r="W9" s="8">
        <f t="shared" si="3"/>
        <v>418255.58265983697</v>
      </c>
      <c r="X9" s="8">
        <f t="shared" si="3"/>
        <v>417288.07448984619</v>
      </c>
      <c r="Y9" s="8">
        <f t="shared" si="3"/>
        <v>416667.17536902882</v>
      </c>
      <c r="Z9" s="8">
        <f t="shared" si="3"/>
        <v>417893.57618161355</v>
      </c>
      <c r="AA9" s="8">
        <f t="shared" si="3"/>
        <v>416504.90337886399</v>
      </c>
      <c r="AB9" s="8">
        <f t="shared" si="3"/>
        <v>417156.07319449022</v>
      </c>
      <c r="AC9" s="8">
        <f t="shared" ref="AC9:AE9" si="4">AC8*AC7</f>
        <v>417445.63576299825</v>
      </c>
      <c r="AD9" s="8">
        <f t="shared" si="4"/>
        <v>419305.13660552428</v>
      </c>
      <c r="AE9" s="8">
        <f t="shared" si="4"/>
        <v>418997.92699693638</v>
      </c>
    </row>
    <row r="10" spans="1:33" x14ac:dyDescent="0.3">
      <c r="D10" s="8"/>
    </row>
    <row r="11" spans="1:33" x14ac:dyDescent="0.3">
      <c r="G11" s="15">
        <f>SUM(G13:G16)-G9</f>
        <v>-65638.8125</v>
      </c>
      <c r="H11" s="15">
        <f>SUM(H13:H16)-H9</f>
        <v>39769.787375000014</v>
      </c>
      <c r="I11" s="15">
        <f>SUM(I13:I16)-I9</f>
        <v>43386.599875000014</v>
      </c>
      <c r="J11" s="15">
        <f>SUM(J13:J16)-J9</f>
        <v>163681.20097129728</v>
      </c>
    </row>
    <row r="12" spans="1:33" x14ac:dyDescent="0.3">
      <c r="B12" s="11" t="s">
        <v>3</v>
      </c>
      <c r="C12" s="11">
        <v>2017</v>
      </c>
      <c r="D12" s="10">
        <f>D$6</f>
        <v>2018</v>
      </c>
      <c r="E12" s="10">
        <f t="shared" ref="E12:AB12" si="5">D12+1</f>
        <v>2019</v>
      </c>
      <c r="F12" s="10">
        <f t="shared" si="5"/>
        <v>2020</v>
      </c>
      <c r="G12" s="10">
        <f t="shared" si="5"/>
        <v>2021</v>
      </c>
      <c r="H12" s="10">
        <f t="shared" si="5"/>
        <v>2022</v>
      </c>
      <c r="I12" s="10">
        <f t="shared" si="5"/>
        <v>2023</v>
      </c>
      <c r="J12" s="10">
        <f t="shared" si="5"/>
        <v>2024</v>
      </c>
      <c r="K12" s="10">
        <f t="shared" si="5"/>
        <v>2025</v>
      </c>
      <c r="L12" s="10">
        <f t="shared" si="5"/>
        <v>2026</v>
      </c>
      <c r="M12" s="10">
        <f t="shared" si="5"/>
        <v>2027</v>
      </c>
      <c r="N12" s="10">
        <f t="shared" si="5"/>
        <v>2028</v>
      </c>
      <c r="O12" s="10">
        <f t="shared" si="5"/>
        <v>2029</v>
      </c>
      <c r="P12" s="10">
        <f t="shared" si="5"/>
        <v>2030</v>
      </c>
      <c r="Q12" s="10">
        <f t="shared" si="5"/>
        <v>2031</v>
      </c>
      <c r="R12" s="10">
        <f t="shared" si="5"/>
        <v>2032</v>
      </c>
      <c r="S12" s="10">
        <f t="shared" si="5"/>
        <v>2033</v>
      </c>
      <c r="T12" s="10">
        <f t="shared" si="5"/>
        <v>2034</v>
      </c>
      <c r="U12" s="10">
        <f t="shared" si="5"/>
        <v>2035</v>
      </c>
      <c r="V12" s="10">
        <f t="shared" si="5"/>
        <v>2036</v>
      </c>
      <c r="W12" s="10">
        <f t="shared" si="5"/>
        <v>2037</v>
      </c>
      <c r="X12" s="10">
        <f t="shared" si="5"/>
        <v>2038</v>
      </c>
      <c r="Y12" s="10">
        <f t="shared" si="5"/>
        <v>2039</v>
      </c>
      <c r="Z12" s="10">
        <f t="shared" si="5"/>
        <v>2040</v>
      </c>
      <c r="AA12" s="10">
        <f t="shared" si="5"/>
        <v>2041</v>
      </c>
      <c r="AB12" s="10">
        <f t="shared" si="5"/>
        <v>2042</v>
      </c>
      <c r="AC12" s="10">
        <f t="shared" ref="AC12" si="6">AB12+1</f>
        <v>2043</v>
      </c>
      <c r="AD12" s="10">
        <f t="shared" ref="AD12" si="7">AC12+1</f>
        <v>2044</v>
      </c>
      <c r="AE12" s="10">
        <v>2045</v>
      </c>
    </row>
    <row r="13" spans="1:33" x14ac:dyDescent="0.3">
      <c r="B13" s="2" t="s">
        <v>27</v>
      </c>
      <c r="C13" s="2">
        <v>0</v>
      </c>
      <c r="D13" s="8">
        <f t="shared" ref="D13:AB13" si="8">(C15-C22)+(C13-C20)</f>
        <v>0</v>
      </c>
      <c r="E13" s="8">
        <f t="shared" si="8"/>
        <v>0</v>
      </c>
      <c r="F13" s="8">
        <f t="shared" si="8"/>
        <v>0</v>
      </c>
      <c r="G13" s="8">
        <f t="shared" si="8"/>
        <v>0</v>
      </c>
      <c r="H13" s="8">
        <f t="shared" si="8"/>
        <v>0</v>
      </c>
      <c r="I13" s="8">
        <f t="shared" si="8"/>
        <v>0</v>
      </c>
      <c r="J13" s="8">
        <f t="shared" si="8"/>
        <v>0</v>
      </c>
      <c r="K13" s="8">
        <f t="shared" si="8"/>
        <v>0</v>
      </c>
      <c r="L13" s="8">
        <f t="shared" si="8"/>
        <v>0</v>
      </c>
      <c r="M13" s="8">
        <f t="shared" si="8"/>
        <v>0</v>
      </c>
      <c r="N13" s="8">
        <f t="shared" si="8"/>
        <v>0</v>
      </c>
      <c r="O13" s="8">
        <f t="shared" si="8"/>
        <v>0</v>
      </c>
      <c r="P13" s="8">
        <f t="shared" si="8"/>
        <v>0</v>
      </c>
      <c r="Q13" s="8">
        <f t="shared" si="8"/>
        <v>0</v>
      </c>
      <c r="R13" s="8">
        <f t="shared" si="8"/>
        <v>0</v>
      </c>
      <c r="S13" s="8">
        <f t="shared" si="8"/>
        <v>0</v>
      </c>
      <c r="T13" s="8">
        <f t="shared" si="8"/>
        <v>0</v>
      </c>
      <c r="U13" s="8">
        <f t="shared" si="8"/>
        <v>0</v>
      </c>
      <c r="V13" s="8">
        <f t="shared" si="8"/>
        <v>0</v>
      </c>
      <c r="W13" s="8">
        <f t="shared" si="8"/>
        <v>0</v>
      </c>
      <c r="X13" s="8">
        <f t="shared" si="8"/>
        <v>0</v>
      </c>
      <c r="Y13" s="8">
        <f t="shared" si="8"/>
        <v>0</v>
      </c>
      <c r="Z13" s="8">
        <f t="shared" si="8"/>
        <v>0</v>
      </c>
      <c r="AA13" s="8">
        <f t="shared" si="8"/>
        <v>0</v>
      </c>
      <c r="AB13" s="8">
        <f t="shared" si="8"/>
        <v>0</v>
      </c>
      <c r="AC13" s="8">
        <f t="shared" ref="AC13:AC14" si="9">(AB15-AB22)+(AB13-AB20)</f>
        <v>0</v>
      </c>
      <c r="AD13" s="8">
        <f t="shared" ref="AD13:AD14" si="10">(AC15-AC22)+(AC13-AC20)</f>
        <v>0</v>
      </c>
      <c r="AE13" s="8">
        <f t="shared" ref="AE13:AE14" si="11">(AD15-AD22)+(AD13-AD20)</f>
        <v>0</v>
      </c>
    </row>
    <row r="14" spans="1:33" x14ac:dyDescent="0.3">
      <c r="B14" s="2" t="s">
        <v>28</v>
      </c>
      <c r="C14" s="2">
        <v>0</v>
      </c>
      <c r="D14" s="8">
        <f t="shared" ref="D14:AB14" si="12">(C16-C23)+(C14-C21)</f>
        <v>0</v>
      </c>
      <c r="E14" s="8">
        <f t="shared" si="12"/>
        <v>0</v>
      </c>
      <c r="F14" s="8">
        <f t="shared" si="12"/>
        <v>0</v>
      </c>
      <c r="G14" s="8">
        <v>0</v>
      </c>
      <c r="H14" s="8">
        <f t="shared" si="12"/>
        <v>0</v>
      </c>
      <c r="I14" s="8">
        <f t="shared" si="12"/>
        <v>39769.787375000014</v>
      </c>
      <c r="J14" s="8">
        <f t="shared" si="12"/>
        <v>43386.599875000014</v>
      </c>
      <c r="K14" s="8">
        <f t="shared" si="12"/>
        <v>163681.20097129725</v>
      </c>
      <c r="L14" s="8">
        <f t="shared" si="12"/>
        <v>189132.47451948322</v>
      </c>
      <c r="M14" s="8">
        <f t="shared" si="12"/>
        <v>197030.3755996598</v>
      </c>
      <c r="N14" s="8">
        <f t="shared" si="12"/>
        <v>183209.99902136647</v>
      </c>
      <c r="O14" s="8">
        <f t="shared" si="12"/>
        <v>171258.2902729488</v>
      </c>
      <c r="P14" s="8">
        <f t="shared" si="12"/>
        <v>116506.13729446632</v>
      </c>
      <c r="Q14" s="8">
        <f t="shared" si="12"/>
        <v>0</v>
      </c>
      <c r="R14" s="8">
        <f t="shared" si="12"/>
        <v>0</v>
      </c>
      <c r="S14" s="8">
        <f t="shared" si="12"/>
        <v>0</v>
      </c>
      <c r="T14" s="8">
        <f t="shared" si="12"/>
        <v>0.25137063657166436</v>
      </c>
      <c r="U14" s="8">
        <f t="shared" si="12"/>
        <v>0</v>
      </c>
      <c r="V14" s="8">
        <f t="shared" si="12"/>
        <v>0</v>
      </c>
      <c r="W14" s="8">
        <f t="shared" si="12"/>
        <v>0</v>
      </c>
      <c r="X14" s="8">
        <f t="shared" si="12"/>
        <v>0</v>
      </c>
      <c r="Y14" s="8">
        <f t="shared" si="12"/>
        <v>0</v>
      </c>
      <c r="Z14" s="8">
        <f t="shared" si="12"/>
        <v>0</v>
      </c>
      <c r="AA14" s="8">
        <f t="shared" si="12"/>
        <v>0</v>
      </c>
      <c r="AB14" s="8">
        <f t="shared" si="12"/>
        <v>0</v>
      </c>
      <c r="AC14" s="8">
        <f t="shared" si="9"/>
        <v>0</v>
      </c>
      <c r="AD14" s="8">
        <f t="shared" si="10"/>
        <v>0</v>
      </c>
      <c r="AE14" s="8">
        <f t="shared" si="11"/>
        <v>0</v>
      </c>
    </row>
    <row r="15" spans="1:33" x14ac:dyDescent="0.3">
      <c r="B15" s="2" t="s">
        <v>7</v>
      </c>
      <c r="C15" s="2">
        <v>0</v>
      </c>
      <c r="D15" s="8">
        <f t="shared" ref="D15:E15" si="13">D34+D40</f>
        <v>0</v>
      </c>
      <c r="E15" s="8">
        <f t="shared" si="13"/>
        <v>0</v>
      </c>
      <c r="F15" s="8">
        <f t="shared" ref="F15:AB15" si="14">F34+F40</f>
        <v>17843</v>
      </c>
      <c r="G15" s="8">
        <f t="shared" si="14"/>
        <v>0</v>
      </c>
      <c r="H15" s="8">
        <f t="shared" si="14"/>
        <v>120000</v>
      </c>
      <c r="I15" s="8">
        <f t="shared" si="14"/>
        <v>60000</v>
      </c>
      <c r="J15" s="8">
        <f t="shared" si="14"/>
        <v>236121.80482343677</v>
      </c>
      <c r="K15" s="8">
        <f t="shared" si="14"/>
        <v>86240.800321501069</v>
      </c>
      <c r="L15" s="8">
        <f t="shared" si="14"/>
        <v>85520.264545645914</v>
      </c>
      <c r="M15" s="8">
        <f t="shared" si="14"/>
        <v>84896.139117218772</v>
      </c>
      <c r="N15" s="8">
        <f t="shared" si="14"/>
        <v>81739.536609821982</v>
      </c>
      <c r="O15" s="8">
        <f t="shared" si="14"/>
        <v>80792.554480657505</v>
      </c>
      <c r="P15" s="8">
        <f t="shared" si="14"/>
        <v>90290.744945766928</v>
      </c>
      <c r="Q15" s="8">
        <f t="shared" si="14"/>
        <v>209795.33569879565</v>
      </c>
      <c r="R15" s="8">
        <f t="shared" si="14"/>
        <v>180778.89236106118</v>
      </c>
      <c r="S15" s="8">
        <f t="shared" si="14"/>
        <v>167724.39815966773</v>
      </c>
      <c r="T15" s="8">
        <f t="shared" si="14"/>
        <v>180002.53855422779</v>
      </c>
      <c r="U15" s="8">
        <f t="shared" si="14"/>
        <v>180365.8349958896</v>
      </c>
      <c r="V15" s="8">
        <f t="shared" si="14"/>
        <v>183278.79214305384</v>
      </c>
      <c r="W15" s="8">
        <f t="shared" si="14"/>
        <v>175624</v>
      </c>
      <c r="X15" s="8">
        <f t="shared" si="14"/>
        <v>186263</v>
      </c>
      <c r="Y15" s="8">
        <f t="shared" si="14"/>
        <v>187501</v>
      </c>
      <c r="Z15" s="8">
        <f t="shared" si="14"/>
        <v>203536</v>
      </c>
      <c r="AA15" s="8">
        <f t="shared" si="14"/>
        <v>210600</v>
      </c>
      <c r="AB15" s="8">
        <f t="shared" si="14"/>
        <v>168934</v>
      </c>
      <c r="AC15" s="8">
        <f t="shared" ref="AC15:AE15" si="15">AC34+AC40</f>
        <v>147538</v>
      </c>
      <c r="AD15" s="8">
        <f t="shared" si="15"/>
        <v>160132</v>
      </c>
      <c r="AE15" s="8">
        <f t="shared" si="15"/>
        <v>154727</v>
      </c>
    </row>
    <row r="16" spans="1:33" x14ac:dyDescent="0.3">
      <c r="B16" s="2" t="s">
        <v>8</v>
      </c>
      <c r="C16" s="8">
        <f t="shared" ref="C16:E16" si="16">C39+C35+C30</f>
        <v>189144</v>
      </c>
      <c r="D16" s="8">
        <f t="shared" si="16"/>
        <v>140772</v>
      </c>
      <c r="E16" s="8">
        <f t="shared" si="16"/>
        <v>143228.1765</v>
      </c>
      <c r="F16" s="8">
        <f t="shared" ref="F16:AB16" si="17">F39+F35+F30</f>
        <v>412238</v>
      </c>
      <c r="G16" s="8">
        <f t="shared" si="17"/>
        <v>219673</v>
      </c>
      <c r="H16" s="8">
        <f t="shared" si="17"/>
        <v>227588</v>
      </c>
      <c r="I16" s="8">
        <f t="shared" si="17"/>
        <v>257288</v>
      </c>
      <c r="J16" s="8">
        <f t="shared" si="17"/>
        <v>219052.20789710424</v>
      </c>
      <c r="K16" s="8">
        <f t="shared" si="17"/>
        <v>294930.51292860857</v>
      </c>
      <c r="L16" s="8">
        <f t="shared" si="17"/>
        <v>296910.01947640476</v>
      </c>
      <c r="M16" s="8">
        <f t="shared" si="17"/>
        <v>292761.98745870986</v>
      </c>
      <c r="N16" s="8">
        <f t="shared" si="17"/>
        <v>315421.25651541457</v>
      </c>
      <c r="O16" s="8">
        <f t="shared" si="17"/>
        <v>288211.63807071699</v>
      </c>
      <c r="P16" s="8">
        <f t="shared" si="17"/>
        <v>232545.67389757413</v>
      </c>
      <c r="Q16" s="8">
        <f t="shared" si="17"/>
        <v>225585.64869890537</v>
      </c>
      <c r="R16" s="8">
        <f t="shared" si="17"/>
        <v>251791.88506994647</v>
      </c>
      <c r="S16" s="8">
        <f t="shared" si="17"/>
        <v>259879.01488761575</v>
      </c>
      <c r="T16" s="8">
        <f t="shared" si="17"/>
        <v>244292.70423247165</v>
      </c>
      <c r="U16" s="8">
        <f t="shared" si="17"/>
        <v>241260.34563527998</v>
      </c>
      <c r="V16" s="8">
        <f t="shared" si="17"/>
        <v>236887.02276943473</v>
      </c>
      <c r="W16" s="8">
        <f t="shared" si="17"/>
        <v>242127.14114230598</v>
      </c>
      <c r="X16" s="8">
        <f t="shared" si="17"/>
        <v>230541.08469430223</v>
      </c>
      <c r="Y16" s="8">
        <f t="shared" si="17"/>
        <v>228663.39334598032</v>
      </c>
      <c r="Z16" s="8">
        <f t="shared" si="17"/>
        <v>213871.12006177555</v>
      </c>
      <c r="AA16" s="8">
        <f t="shared" si="17"/>
        <v>205440.74326100398</v>
      </c>
      <c r="AB16" s="8">
        <f t="shared" si="17"/>
        <v>247733.89899766538</v>
      </c>
      <c r="AC16" s="8">
        <f t="shared" ref="AC16:AE16" si="18">AC39+AC35+AC30</f>
        <v>269432.29886068986</v>
      </c>
      <c r="AD16" s="8">
        <f t="shared" si="18"/>
        <v>258709.40016499959</v>
      </c>
      <c r="AE16" s="8">
        <f t="shared" si="18"/>
        <v>263795.0144417198</v>
      </c>
    </row>
    <row r="19" spans="1:31" x14ac:dyDescent="0.3">
      <c r="B19" s="11" t="s">
        <v>4</v>
      </c>
      <c r="C19" s="11">
        <v>2017</v>
      </c>
      <c r="D19" s="10">
        <f>D$6</f>
        <v>2018</v>
      </c>
      <c r="E19" s="10">
        <f t="shared" ref="E19:AB19" si="19">D19+1</f>
        <v>2019</v>
      </c>
      <c r="F19" s="10">
        <f t="shared" si="19"/>
        <v>2020</v>
      </c>
      <c r="G19" s="10">
        <f t="shared" si="19"/>
        <v>2021</v>
      </c>
      <c r="H19" s="10">
        <f t="shared" si="19"/>
        <v>2022</v>
      </c>
      <c r="I19" s="10">
        <f t="shared" si="19"/>
        <v>2023</v>
      </c>
      <c r="J19" s="10">
        <f t="shared" si="19"/>
        <v>2024</v>
      </c>
      <c r="K19" s="10">
        <f t="shared" si="19"/>
        <v>2025</v>
      </c>
      <c r="L19" s="10">
        <f t="shared" si="19"/>
        <v>2026</v>
      </c>
      <c r="M19" s="10">
        <f t="shared" si="19"/>
        <v>2027</v>
      </c>
      <c r="N19" s="10">
        <f t="shared" si="19"/>
        <v>2028</v>
      </c>
      <c r="O19" s="10">
        <f t="shared" si="19"/>
        <v>2029</v>
      </c>
      <c r="P19" s="10">
        <f t="shared" si="19"/>
        <v>2030</v>
      </c>
      <c r="Q19" s="10">
        <f t="shared" si="19"/>
        <v>2031</v>
      </c>
      <c r="R19" s="10">
        <f t="shared" si="19"/>
        <v>2032</v>
      </c>
      <c r="S19" s="10">
        <f t="shared" si="19"/>
        <v>2033</v>
      </c>
      <c r="T19" s="10">
        <f t="shared" si="19"/>
        <v>2034</v>
      </c>
      <c r="U19" s="10">
        <f t="shared" si="19"/>
        <v>2035</v>
      </c>
      <c r="V19" s="10">
        <f t="shared" si="19"/>
        <v>2036</v>
      </c>
      <c r="W19" s="10">
        <f t="shared" si="19"/>
        <v>2037</v>
      </c>
      <c r="X19" s="10">
        <f t="shared" si="19"/>
        <v>2038</v>
      </c>
      <c r="Y19" s="10">
        <f t="shared" si="19"/>
        <v>2039</v>
      </c>
      <c r="Z19" s="10">
        <f t="shared" si="19"/>
        <v>2040</v>
      </c>
      <c r="AA19" s="10">
        <f t="shared" si="19"/>
        <v>2041</v>
      </c>
      <c r="AB19" s="10">
        <f t="shared" si="19"/>
        <v>2042</v>
      </c>
      <c r="AC19" s="10">
        <f t="shared" ref="AC19" si="20">AB19+1</f>
        <v>2043</v>
      </c>
      <c r="AD19" s="10">
        <f t="shared" ref="AD19" si="21">AC19+1</f>
        <v>2044</v>
      </c>
      <c r="AE19" s="10">
        <v>2045</v>
      </c>
    </row>
    <row r="20" spans="1:31" x14ac:dyDescent="0.3">
      <c r="B20" s="2" t="s">
        <v>27</v>
      </c>
      <c r="C20" s="8">
        <f t="shared" ref="C20" si="22">MIN(C13,C$9)</f>
        <v>0</v>
      </c>
      <c r="D20" s="8">
        <f t="shared" ref="D20:AB20" si="23">MIN(D13,D$9)</f>
        <v>0</v>
      </c>
      <c r="E20" s="8">
        <f t="shared" si="23"/>
        <v>0</v>
      </c>
      <c r="F20" s="8">
        <f t="shared" si="23"/>
        <v>0</v>
      </c>
      <c r="G20" s="8">
        <f t="shared" si="23"/>
        <v>0</v>
      </c>
      <c r="H20" s="8">
        <f t="shared" si="23"/>
        <v>0</v>
      </c>
      <c r="I20" s="8">
        <f t="shared" si="23"/>
        <v>0</v>
      </c>
      <c r="J20" s="8">
        <f t="shared" si="23"/>
        <v>0</v>
      </c>
      <c r="K20" s="8">
        <f t="shared" si="23"/>
        <v>0</v>
      </c>
      <c r="L20" s="8">
        <f t="shared" si="23"/>
        <v>0</v>
      </c>
      <c r="M20" s="8">
        <f t="shared" si="23"/>
        <v>0</v>
      </c>
      <c r="N20" s="8">
        <f t="shared" si="23"/>
        <v>0</v>
      </c>
      <c r="O20" s="8">
        <f t="shared" si="23"/>
        <v>0</v>
      </c>
      <c r="P20" s="8">
        <f t="shared" si="23"/>
        <v>0</v>
      </c>
      <c r="Q20" s="8">
        <f t="shared" si="23"/>
        <v>0</v>
      </c>
      <c r="R20" s="8">
        <f t="shared" si="23"/>
        <v>0</v>
      </c>
      <c r="S20" s="8">
        <f t="shared" si="23"/>
        <v>0</v>
      </c>
      <c r="T20" s="8">
        <f t="shared" si="23"/>
        <v>0</v>
      </c>
      <c r="U20" s="8">
        <f t="shared" si="23"/>
        <v>0</v>
      </c>
      <c r="V20" s="8">
        <f t="shared" si="23"/>
        <v>0</v>
      </c>
      <c r="W20" s="8">
        <f t="shared" si="23"/>
        <v>0</v>
      </c>
      <c r="X20" s="8">
        <f t="shared" si="23"/>
        <v>0</v>
      </c>
      <c r="Y20" s="8">
        <f t="shared" si="23"/>
        <v>0</v>
      </c>
      <c r="Z20" s="8">
        <f t="shared" si="23"/>
        <v>0</v>
      </c>
      <c r="AA20" s="8">
        <f t="shared" si="23"/>
        <v>0</v>
      </c>
      <c r="AB20" s="8">
        <f t="shared" si="23"/>
        <v>0</v>
      </c>
      <c r="AC20" s="8">
        <f t="shared" ref="AC20:AE20" si="24">MIN(AC13,AC$9)</f>
        <v>0</v>
      </c>
      <c r="AD20" s="8">
        <f t="shared" si="24"/>
        <v>0</v>
      </c>
      <c r="AE20" s="8">
        <f t="shared" si="24"/>
        <v>0</v>
      </c>
    </row>
    <row r="21" spans="1:31" x14ac:dyDescent="0.3">
      <c r="B21" s="2" t="s">
        <v>28</v>
      </c>
      <c r="C21" s="8">
        <f>MIN(C14,C$9-SUM(C$20:C20))</f>
        <v>0</v>
      </c>
      <c r="D21" s="8">
        <f>MIN(D14,D$9-SUM(D$20:D20))</f>
        <v>0</v>
      </c>
      <c r="E21" s="8">
        <f>MIN(E14,E$9-SUM(E$20:E20))</f>
        <v>0</v>
      </c>
      <c r="F21" s="8">
        <f>MIN(F14,F$9-SUM(F$20:F20))</f>
        <v>0</v>
      </c>
      <c r="G21" s="8">
        <f>MIN(G14,G$9-SUM(G$20:G20))</f>
        <v>0</v>
      </c>
      <c r="H21" s="8">
        <f>MIN(H14,H$9-SUM(H$20:H20))</f>
        <v>0</v>
      </c>
      <c r="I21" s="8">
        <f>MIN(I14,I$9-SUM(I$20:I20))</f>
        <v>39769.787375000014</v>
      </c>
      <c r="J21" s="8">
        <f>MIN(J14,J$9-SUM(J$20:J20))</f>
        <v>43386.599875000014</v>
      </c>
      <c r="K21" s="8">
        <f>MIN(K14,K$9-SUM(K$20:K20))</f>
        <v>163681.20097129725</v>
      </c>
      <c r="L21" s="8">
        <f>MIN(L14,L$9-SUM(L$20:L20))</f>
        <v>189132.47451948322</v>
      </c>
      <c r="M21" s="8">
        <f>MIN(M14,M$9-SUM(M$20:M20))</f>
        <v>197030.3755996598</v>
      </c>
      <c r="N21" s="8">
        <f>MIN(N14,N$9-SUM(N$20:N20))</f>
        <v>183209.99902136647</v>
      </c>
      <c r="O21" s="8">
        <f>MIN(O14,O$9-SUM(O$20:O20))</f>
        <v>171258.2902729488</v>
      </c>
      <c r="P21" s="8">
        <f>MIN(P14,P$9-SUM(P$20:P20))</f>
        <v>116506.13729446632</v>
      </c>
      <c r="Q21" s="8">
        <f>MIN(Q14,Q$9-SUM(Q$20:Q20))</f>
        <v>0</v>
      </c>
      <c r="R21" s="8">
        <f>MIN(R14,R$9-SUM(R$20:R20))</f>
        <v>0</v>
      </c>
      <c r="S21" s="8">
        <f>MIN(S14,S$9-SUM(S$20:S20))</f>
        <v>0</v>
      </c>
      <c r="T21" s="8">
        <f>MIN(T14,T$9-SUM(T$20:T20))</f>
        <v>0.25137063657166436</v>
      </c>
      <c r="U21" s="8">
        <f>MIN(U14,U$9-SUM(U$20:U20))</f>
        <v>0</v>
      </c>
      <c r="V21" s="8">
        <f>MIN(V14,V$9-SUM(V$20:V20))</f>
        <v>0</v>
      </c>
      <c r="W21" s="8">
        <f>MIN(W14,W$9-SUM(W$20:W20))</f>
        <v>0</v>
      </c>
      <c r="X21" s="8">
        <f>MIN(X14,X$9-SUM(X$20:X20))</f>
        <v>0</v>
      </c>
      <c r="Y21" s="8">
        <f>MIN(Y14,Y$9-SUM(Y$20:Y20))</f>
        <v>0</v>
      </c>
      <c r="Z21" s="8">
        <f>MIN(Z14,Z$9-SUM(Z$20:Z20))</f>
        <v>0</v>
      </c>
      <c r="AA21" s="8">
        <f>MIN(AA14,AA$9-SUM(AA$20:AA20))</f>
        <v>0</v>
      </c>
      <c r="AB21" s="8">
        <f>MIN(AB14,AB$9-SUM(AB$20:AB20))</f>
        <v>0</v>
      </c>
      <c r="AC21" s="8">
        <f>MIN(AC14,AC$9-SUM(AC$20:AC20))</f>
        <v>0</v>
      </c>
      <c r="AD21" s="8">
        <f>MIN(AD14,AD$9-SUM(AD$20:AD20))</f>
        <v>0</v>
      </c>
      <c r="AE21" s="8">
        <f>MIN(AE14,AE$9-SUM(AE$20:AE20))</f>
        <v>0</v>
      </c>
    </row>
    <row r="22" spans="1:31" x14ac:dyDescent="0.3">
      <c r="B22" s="2" t="s">
        <v>7</v>
      </c>
      <c r="C22" s="8">
        <f>MIN(C15,C$9-SUM(C$20:C21))</f>
        <v>0</v>
      </c>
      <c r="D22" s="8">
        <f>MIN(D15,D$9-SUM(D$20:D21))</f>
        <v>0</v>
      </c>
      <c r="E22" s="8">
        <f>MIN(E15,E$9-SUM(E$20:E21))</f>
        <v>0</v>
      </c>
      <c r="F22" s="8">
        <f>MIN(F15,F$9-SUM(F$20:F21))</f>
        <v>17843</v>
      </c>
      <c r="G22" s="8">
        <f>MIN(G15,G$9-SUM(G$20:G21))</f>
        <v>0</v>
      </c>
      <c r="H22" s="8">
        <f>MIN(H15,H$9-SUM(H$20:H21))</f>
        <v>120000</v>
      </c>
      <c r="I22" s="8">
        <f>MIN(I15,I$9-SUM(I$20:I21))</f>
        <v>60000</v>
      </c>
      <c r="J22" s="8">
        <f>MIN(J15,J$9-SUM(J$20:J21))</f>
        <v>236121.80482343677</v>
      </c>
      <c r="K22" s="8">
        <f>MIN(K15,K$9-SUM(K$20:K21))</f>
        <v>86240.800321501069</v>
      </c>
      <c r="L22" s="8">
        <f>MIN(L15,L$9-SUM(L$20:L21))</f>
        <v>85520.264545645914</v>
      </c>
      <c r="M22" s="8">
        <f>MIN(M15,M$9-SUM(M$20:M21))</f>
        <v>84896.139117218772</v>
      </c>
      <c r="N22" s="8">
        <f>MIN(N15,N$9-SUM(N$20:N21))</f>
        <v>81739.536609821982</v>
      </c>
      <c r="O22" s="8">
        <f>MIN(O15,O$9-SUM(O$20:O21))</f>
        <v>80792.554480657505</v>
      </c>
      <c r="P22" s="8">
        <f>MIN(P15,P$9-SUM(P$20:P21))</f>
        <v>90290.744945766928</v>
      </c>
      <c r="Q22" s="8">
        <f>MIN(Q15,Q$9-SUM(Q$20:Q21))</f>
        <v>209795.33569879565</v>
      </c>
      <c r="R22" s="8">
        <f>MIN(R15,R$9-SUM(R$20:R21))</f>
        <v>180778.89236106118</v>
      </c>
      <c r="S22" s="8">
        <f>MIN(S15,S$9-SUM(S$20:S21))</f>
        <v>167724.39815966773</v>
      </c>
      <c r="T22" s="8">
        <f>MIN(T15,T$9-SUM(T$20:T21))</f>
        <v>180002.53855422779</v>
      </c>
      <c r="U22" s="8">
        <f>MIN(U15,U$9-SUM(U$20:U21))</f>
        <v>180365.8349958896</v>
      </c>
      <c r="V22" s="8">
        <f>MIN(V15,V$9-SUM(V$20:V21))</f>
        <v>183278.79214305384</v>
      </c>
      <c r="W22" s="8">
        <f>MIN(W15,W$9-SUM(W$20:W21))</f>
        <v>175624</v>
      </c>
      <c r="X22" s="8">
        <f>MIN(X15,X$9-SUM(X$20:X21))</f>
        <v>186263</v>
      </c>
      <c r="Y22" s="8">
        <f>MIN(Y15,Y$9-SUM(Y$20:Y21))</f>
        <v>187501</v>
      </c>
      <c r="Z22" s="8">
        <f>MIN(Z15,Z$9-SUM(Z$20:Z21))</f>
        <v>203536</v>
      </c>
      <c r="AA22" s="8">
        <f>MIN(AA15,AA$9-SUM(AA$20:AA21))</f>
        <v>210600</v>
      </c>
      <c r="AB22" s="8">
        <f>MIN(AB15,AB$9-SUM(AB$20:AB21))</f>
        <v>168934</v>
      </c>
      <c r="AC22" s="8">
        <f>MIN(AC15,AC$9-SUM(AC$20:AC21))</f>
        <v>147538</v>
      </c>
      <c r="AD22" s="8">
        <f>MIN(AD15,AD$9-SUM(AD$20:AD21))</f>
        <v>160132</v>
      </c>
      <c r="AE22" s="8">
        <f>MIN(AE15,AE$9-SUM(AE$20:AE21))</f>
        <v>154727</v>
      </c>
    </row>
    <row r="23" spans="1:31" x14ac:dyDescent="0.3">
      <c r="B23" s="2" t="s">
        <v>8</v>
      </c>
      <c r="C23" s="8">
        <f>MIN(C16,C$9-SUM(C$20:C22))</f>
        <v>189144</v>
      </c>
      <c r="D23" s="8">
        <f>MIN(D16,D$9-SUM(D$20:D22))</f>
        <v>140772</v>
      </c>
      <c r="E23" s="8">
        <f>MIN(E16,E$9-SUM(E$20:E22))</f>
        <v>143228.1765</v>
      </c>
      <c r="F23" s="8">
        <f>MIN(F16,F$9-SUM(F$20:F22))</f>
        <v>232568.44282000003</v>
      </c>
      <c r="G23" s="8">
        <f>MIN(G16,G$9-SUM(G$20:G22))</f>
        <v>219673</v>
      </c>
      <c r="H23" s="8">
        <f>MIN(H16,H$9-SUM(H$20:H22))</f>
        <v>187818.21262499999</v>
      </c>
      <c r="I23" s="8">
        <f>MIN(I16,I$9-SUM(I$20:I22))</f>
        <v>213901.40012499999</v>
      </c>
      <c r="J23" s="8">
        <f>MIN(J16,J$9-SUM(J$20:J22))</f>
        <v>55371.006925806985</v>
      </c>
      <c r="K23" s="8">
        <f>MIN(K16,K$9-SUM(K$20:K22))</f>
        <v>105798.03840912535</v>
      </c>
      <c r="L23" s="8">
        <f>MIN(L16,L$9-SUM(L$20:L22))</f>
        <v>99879.643876744958</v>
      </c>
      <c r="M23" s="8">
        <f>MIN(M16,M$9-SUM(M$20:M22))</f>
        <v>109551.98843734339</v>
      </c>
      <c r="N23" s="8">
        <f>MIN(N16,N$9-SUM(N$20:N22))</f>
        <v>144162.96624246577</v>
      </c>
      <c r="O23" s="8">
        <f>MIN(O16,O$9-SUM(O$20:O22))</f>
        <v>171705.50077625067</v>
      </c>
      <c r="P23" s="8">
        <f>MIN(P16,P$9-SUM(P$20:P22))</f>
        <v>232545.67389757413</v>
      </c>
      <c r="Q23" s="8">
        <f>MIN(Q16,Q$9-SUM(Q$20:Q22))</f>
        <v>225585.64869890537</v>
      </c>
      <c r="R23" s="8">
        <f>MIN(R16,R$9-SUM(R$20:R22))</f>
        <v>251791.88506994647</v>
      </c>
      <c r="S23" s="8">
        <f>MIN(S16,S$9-SUM(S$20:S22))</f>
        <v>259878.76351697918</v>
      </c>
      <c r="T23" s="8">
        <f>MIN(T16,T$9-SUM(T$20:T22))</f>
        <v>244292.70423247165</v>
      </c>
      <c r="U23" s="8">
        <f>MIN(U16,U$9-SUM(U$20:U22))</f>
        <v>241260.34563527998</v>
      </c>
      <c r="V23" s="8">
        <f>MIN(V16,V$9-SUM(V$20:V22))</f>
        <v>236887.02276943473</v>
      </c>
      <c r="W23" s="8">
        <f>MIN(W16,W$9-SUM(W$20:W22))</f>
        <v>242127.14114230598</v>
      </c>
      <c r="X23" s="8">
        <f>MIN(X16,X$9-SUM(X$20:X22))</f>
        <v>230541.08469430223</v>
      </c>
      <c r="Y23" s="8">
        <f>MIN(Y16,Y$9-SUM(Y$20:Y22))</f>
        <v>228663.39334598032</v>
      </c>
      <c r="Z23" s="8">
        <f>MIN(Z16,Z$9-SUM(Z$20:Z22))</f>
        <v>213871.12006177555</v>
      </c>
      <c r="AA23" s="8">
        <f>MIN(AA16,AA$9-SUM(AA$20:AA22))</f>
        <v>205440.74326100398</v>
      </c>
      <c r="AB23" s="8">
        <f>MIN(AB16,AB$9-SUM(AB$20:AB22))</f>
        <v>247733.89899766538</v>
      </c>
      <c r="AC23" s="8">
        <f>MIN(AC16,AC$9-SUM(AC$20:AC22))</f>
        <v>269432.29886068986</v>
      </c>
      <c r="AD23" s="8">
        <f>MIN(AD16,AD$9-SUM(AD$20:AD22))</f>
        <v>258709.40016499959</v>
      </c>
      <c r="AE23" s="8">
        <f>MIN(AE16,AE$9-SUM(AE$20:AE22))</f>
        <v>263795.0144417198</v>
      </c>
    </row>
    <row r="25" spans="1:31" x14ac:dyDescent="0.3">
      <c r="B25" s="16" t="s">
        <v>9</v>
      </c>
      <c r="C25" s="17">
        <f>(C20+C22)/C$9</f>
        <v>0</v>
      </c>
      <c r="D25" s="17">
        <f>(D20+D22)/D$9</f>
        <v>0</v>
      </c>
      <c r="E25" s="17">
        <f t="shared" ref="E25:AB25" si="25">(E20+E22)/E$9</f>
        <v>0</v>
      </c>
      <c r="F25" s="17">
        <f t="shared" si="25"/>
        <v>7.1254731010139377E-2</v>
      </c>
      <c r="G25" s="17">
        <f t="shared" si="25"/>
        <v>0</v>
      </c>
      <c r="H25" s="17">
        <f t="shared" si="25"/>
        <v>0.38984048077165007</v>
      </c>
      <c r="I25" s="17">
        <f t="shared" si="25"/>
        <v>0.19128310916347713</v>
      </c>
      <c r="J25" s="17">
        <f t="shared" si="25"/>
        <v>0.70509501816845233</v>
      </c>
      <c r="K25" s="17">
        <f t="shared" si="25"/>
        <v>0.24244009528888708</v>
      </c>
      <c r="L25" s="17">
        <f t="shared" si="25"/>
        <v>0.22833877240174</v>
      </c>
      <c r="M25" s="17">
        <f t="shared" si="25"/>
        <v>0.21686028334427893</v>
      </c>
      <c r="N25" s="17">
        <f t="shared" si="25"/>
        <v>0.19979721038949214</v>
      </c>
      <c r="O25" s="17">
        <f t="shared" si="25"/>
        <v>0.19065804048228707</v>
      </c>
      <c r="P25" s="17">
        <f t="shared" si="25"/>
        <v>0.20551327956314983</v>
      </c>
      <c r="Q25" s="17">
        <f t="shared" si="25"/>
        <v>0.48186587326134855</v>
      </c>
      <c r="R25" s="17">
        <f t="shared" si="25"/>
        <v>0.4179174044005613</v>
      </c>
      <c r="S25" s="17">
        <f t="shared" si="25"/>
        <v>0.39224311977024334</v>
      </c>
      <c r="T25" s="17">
        <f t="shared" si="25"/>
        <v>0.42422509395587843</v>
      </c>
      <c r="U25" s="17">
        <f t="shared" si="25"/>
        <v>0.42777212759297062</v>
      </c>
      <c r="V25" s="17">
        <f t="shared" si="25"/>
        <v>0.43569334818470867</v>
      </c>
      <c r="W25" s="17">
        <f t="shared" si="25"/>
        <v>0.41989636786948331</v>
      </c>
      <c r="X25" s="17">
        <f t="shared" si="25"/>
        <v>0.44636549996717512</v>
      </c>
      <c r="Y25" s="17">
        <f t="shared" si="25"/>
        <v>0.45000185059918951</v>
      </c>
      <c r="Z25" s="17">
        <f t="shared" si="25"/>
        <v>0.487052234350558</v>
      </c>
      <c r="AA25" s="17">
        <f t="shared" si="25"/>
        <v>0.50563630413837557</v>
      </c>
      <c r="AB25" s="17">
        <f t="shared" si="25"/>
        <v>0.40496593686468541</v>
      </c>
      <c r="AC25" s="17">
        <f t="shared" ref="AC25:AE25" si="26">(AC20+AC22)/AC$9</f>
        <v>0.35343045263925965</v>
      </c>
      <c r="AD25" s="17">
        <f t="shared" si="26"/>
        <v>0.38189849353228811</v>
      </c>
      <c r="AE25" s="17">
        <f t="shared" si="26"/>
        <v>0.36927867664875424</v>
      </c>
    </row>
    <row r="26" spans="1:31" x14ac:dyDescent="0.3">
      <c r="B26" s="16" t="s">
        <v>10</v>
      </c>
      <c r="C26" s="18">
        <f t="shared" ref="C26" si="27">SUM(C20:C23)-C9</f>
        <v>-16690.983030000003</v>
      </c>
      <c r="D26" s="18">
        <f t="shared" ref="D26:AB26" si="28">SUM(D20:D23)-D9</f>
        <v>-76517.482039999973</v>
      </c>
      <c r="E26" s="18">
        <f>SUM(E20:E23)-E9</f>
        <v>-86460.525259999995</v>
      </c>
      <c r="F26" s="18">
        <f t="shared" si="28"/>
        <v>0</v>
      </c>
      <c r="G26" s="18">
        <f t="shared" si="28"/>
        <v>-65638.8125</v>
      </c>
      <c r="H26" s="18">
        <f t="shared" si="28"/>
        <v>0</v>
      </c>
      <c r="I26" s="18">
        <f t="shared" si="28"/>
        <v>0</v>
      </c>
      <c r="J26" s="18">
        <f t="shared" si="28"/>
        <v>0</v>
      </c>
      <c r="K26" s="18">
        <f t="shared" si="28"/>
        <v>0</v>
      </c>
      <c r="L26" s="18">
        <f t="shared" si="28"/>
        <v>0</v>
      </c>
      <c r="M26" s="18">
        <f t="shared" si="28"/>
        <v>0</v>
      </c>
      <c r="N26" s="18">
        <f t="shared" si="28"/>
        <v>0</v>
      </c>
      <c r="O26" s="18">
        <f t="shared" si="28"/>
        <v>0</v>
      </c>
      <c r="P26" s="18">
        <f t="shared" si="28"/>
        <v>-7.4847858515568078E-2</v>
      </c>
      <c r="Q26" s="18">
        <f t="shared" si="28"/>
        <v>-0.20223596919095144</v>
      </c>
      <c r="R26" s="18">
        <f t="shared" si="28"/>
        <v>-8.5752737708389759E-2</v>
      </c>
      <c r="S26" s="18">
        <f t="shared" si="28"/>
        <v>0</v>
      </c>
      <c r="T26" s="18">
        <f t="shared" si="28"/>
        <v>-13.53687077423092</v>
      </c>
      <c r="U26" s="18">
        <f t="shared" si="28"/>
        <v>-13.807955252472311</v>
      </c>
      <c r="V26" s="18">
        <f t="shared" si="28"/>
        <v>-494.25003152404679</v>
      </c>
      <c r="W26" s="18">
        <f t="shared" si="28"/>
        <v>-504.44151753099868</v>
      </c>
      <c r="X26" s="18">
        <f t="shared" si="28"/>
        <v>-483.98979554395191</v>
      </c>
      <c r="Y26" s="18">
        <f t="shared" si="28"/>
        <v>-502.78202304849401</v>
      </c>
      <c r="Z26" s="18">
        <f t="shared" si="28"/>
        <v>-486.45611983799608</v>
      </c>
      <c r="AA26" s="18">
        <f t="shared" si="28"/>
        <v>-464.16011786001036</v>
      </c>
      <c r="AB26" s="18">
        <f t="shared" si="28"/>
        <v>-488.17419682483887</v>
      </c>
      <c r="AC26" s="18">
        <f t="shared" ref="AC26:AE26" si="29">SUM(AC20:AC23)-AC9</f>
        <v>-475.3369023083942</v>
      </c>
      <c r="AD26" s="18">
        <f t="shared" si="29"/>
        <v>-463.73644052469172</v>
      </c>
      <c r="AE26" s="18">
        <f t="shared" si="29"/>
        <v>-475.91255521657877</v>
      </c>
    </row>
    <row r="27" spans="1:31" x14ac:dyDescent="0.3">
      <c r="B27" s="16" t="s">
        <v>11</v>
      </c>
      <c r="C27" s="8">
        <f t="shared" ref="C27" si="30">(C13-C20)+(C14-C21)</f>
        <v>0</v>
      </c>
      <c r="D27" s="8">
        <f t="shared" ref="D27:AB27" si="31">(D13-D20)+(D14-D21)</f>
        <v>0</v>
      </c>
      <c r="E27" s="8">
        <f t="shared" si="31"/>
        <v>0</v>
      </c>
      <c r="F27" s="8">
        <f t="shared" si="31"/>
        <v>0</v>
      </c>
      <c r="G27" s="8">
        <f t="shared" si="31"/>
        <v>0</v>
      </c>
      <c r="H27" s="8">
        <f t="shared" si="31"/>
        <v>0</v>
      </c>
      <c r="I27" s="8">
        <f t="shared" si="31"/>
        <v>0</v>
      </c>
      <c r="J27" s="8">
        <f t="shared" si="31"/>
        <v>0</v>
      </c>
      <c r="K27" s="8">
        <f t="shared" si="31"/>
        <v>0</v>
      </c>
      <c r="L27" s="8">
        <f t="shared" si="31"/>
        <v>0</v>
      </c>
      <c r="M27" s="8">
        <f t="shared" si="31"/>
        <v>0</v>
      </c>
      <c r="N27" s="8">
        <f t="shared" si="31"/>
        <v>0</v>
      </c>
      <c r="O27" s="8">
        <f t="shared" si="31"/>
        <v>0</v>
      </c>
      <c r="P27" s="8">
        <f t="shared" si="31"/>
        <v>0</v>
      </c>
      <c r="Q27" s="8">
        <f t="shared" si="31"/>
        <v>0</v>
      </c>
      <c r="R27" s="8">
        <f t="shared" si="31"/>
        <v>0</v>
      </c>
      <c r="S27" s="8">
        <f t="shared" si="31"/>
        <v>0</v>
      </c>
      <c r="T27" s="8">
        <f t="shared" si="31"/>
        <v>0</v>
      </c>
      <c r="U27" s="8">
        <f t="shared" si="31"/>
        <v>0</v>
      </c>
      <c r="V27" s="8">
        <f t="shared" si="31"/>
        <v>0</v>
      </c>
      <c r="W27" s="8">
        <f t="shared" si="31"/>
        <v>0</v>
      </c>
      <c r="X27" s="8">
        <f t="shared" si="31"/>
        <v>0</v>
      </c>
      <c r="Y27" s="8">
        <f t="shared" si="31"/>
        <v>0</v>
      </c>
      <c r="Z27" s="8">
        <f t="shared" si="31"/>
        <v>0</v>
      </c>
      <c r="AA27" s="8">
        <f t="shared" si="31"/>
        <v>0</v>
      </c>
      <c r="AB27" s="8">
        <f t="shared" si="31"/>
        <v>0</v>
      </c>
      <c r="AC27" s="8">
        <f t="shared" ref="AC27:AE27" si="32">(AC13-AC20)+(AC14-AC21)</f>
        <v>0</v>
      </c>
      <c r="AD27" s="8">
        <f t="shared" si="32"/>
        <v>0</v>
      </c>
      <c r="AE27" s="8">
        <f t="shared" si="32"/>
        <v>0</v>
      </c>
    </row>
    <row r="28" spans="1:31" x14ac:dyDescent="0.3"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31" x14ac:dyDescent="0.3">
      <c r="B29" s="11" t="s">
        <v>35</v>
      </c>
      <c r="C29" s="11">
        <v>2017</v>
      </c>
      <c r="D29" s="10">
        <f>D$6</f>
        <v>2018</v>
      </c>
      <c r="E29" s="10">
        <f t="shared" ref="E29:AB29" si="33">D29+1</f>
        <v>2019</v>
      </c>
      <c r="F29" s="10">
        <f t="shared" si="33"/>
        <v>2020</v>
      </c>
      <c r="G29" s="10">
        <f t="shared" si="33"/>
        <v>2021</v>
      </c>
      <c r="H29" s="10">
        <f t="shared" si="33"/>
        <v>2022</v>
      </c>
      <c r="I29" s="10">
        <f t="shared" si="33"/>
        <v>2023</v>
      </c>
      <c r="J29" s="10">
        <f t="shared" si="33"/>
        <v>2024</v>
      </c>
      <c r="K29" s="10">
        <f t="shared" si="33"/>
        <v>2025</v>
      </c>
      <c r="L29" s="10">
        <f t="shared" si="33"/>
        <v>2026</v>
      </c>
      <c r="M29" s="10">
        <f t="shared" si="33"/>
        <v>2027</v>
      </c>
      <c r="N29" s="10">
        <f t="shared" si="33"/>
        <v>2028</v>
      </c>
      <c r="O29" s="10">
        <f t="shared" si="33"/>
        <v>2029</v>
      </c>
      <c r="P29" s="10">
        <f t="shared" si="33"/>
        <v>2030</v>
      </c>
      <c r="Q29" s="10">
        <f t="shared" si="33"/>
        <v>2031</v>
      </c>
      <c r="R29" s="10">
        <f t="shared" si="33"/>
        <v>2032</v>
      </c>
      <c r="S29" s="10">
        <f t="shared" si="33"/>
        <v>2033</v>
      </c>
      <c r="T29" s="10">
        <f t="shared" si="33"/>
        <v>2034</v>
      </c>
      <c r="U29" s="10">
        <f t="shared" si="33"/>
        <v>2035</v>
      </c>
      <c r="V29" s="10">
        <f t="shared" si="33"/>
        <v>2036</v>
      </c>
      <c r="W29" s="10">
        <f t="shared" si="33"/>
        <v>2037</v>
      </c>
      <c r="X29" s="10">
        <f t="shared" si="33"/>
        <v>2038</v>
      </c>
      <c r="Y29" s="10">
        <f t="shared" si="33"/>
        <v>2039</v>
      </c>
      <c r="Z29" s="10">
        <f t="shared" si="33"/>
        <v>2040</v>
      </c>
      <c r="AA29" s="10">
        <f t="shared" si="33"/>
        <v>2041</v>
      </c>
      <c r="AB29" s="10">
        <f t="shared" si="33"/>
        <v>2042</v>
      </c>
      <c r="AC29" s="10">
        <f t="shared" ref="AC29" si="34">AB29+1</f>
        <v>2043</v>
      </c>
      <c r="AD29" s="10">
        <f t="shared" ref="AD29" si="35">AC29+1</f>
        <v>2044</v>
      </c>
      <c r="AE29" s="10">
        <v>2045</v>
      </c>
    </row>
    <row r="30" spans="1:31" x14ac:dyDescent="0.3">
      <c r="A30" s="2" t="s">
        <v>76</v>
      </c>
      <c r="B30" s="2" t="s">
        <v>8</v>
      </c>
      <c r="C30" s="8">
        <v>0</v>
      </c>
      <c r="D30" s="8">
        <v>0</v>
      </c>
      <c r="E30" s="8">
        <f>'IRP RE Inputs'!C19*$N$56</f>
        <v>0</v>
      </c>
      <c r="F30" s="8">
        <f>'IRP RE Inputs'!D19*$N$56</f>
        <v>0</v>
      </c>
      <c r="G30" s="8">
        <f>'IRP RE Inputs'!E19*$N$56</f>
        <v>0</v>
      </c>
      <c r="H30" s="8">
        <f>'IRP RE Inputs'!F19*$N$56</f>
        <v>0</v>
      </c>
      <c r="I30" s="8">
        <f>'IRP RE Inputs'!G19*$N$56</f>
        <v>0</v>
      </c>
      <c r="J30" s="8">
        <f>'IRP RE Inputs'!H19*$N$56</f>
        <v>0</v>
      </c>
      <c r="K30" s="8">
        <f>'IRP RE Inputs'!I19*$N$56</f>
        <v>0</v>
      </c>
      <c r="L30" s="8">
        <f>'IRP RE Inputs'!J19*$N$56</f>
        <v>0</v>
      </c>
      <c r="M30" s="8">
        <f>'IRP RE Inputs'!K19*$N$56</f>
        <v>0</v>
      </c>
      <c r="N30" s="8">
        <f>'IRP RE Inputs'!L19*$N$56</f>
        <v>27335.176044742839</v>
      </c>
      <c r="O30" s="8">
        <f>'IRP RE Inputs'!M19*$N$56</f>
        <v>37117.523814836248</v>
      </c>
      <c r="P30" s="8">
        <f>'IRP RE Inputs'!N19*$N$56</f>
        <v>35713.913009109776</v>
      </c>
      <c r="Q30" s="8">
        <f>'IRP RE Inputs'!O19*$N$56</f>
        <v>35068.67991751826</v>
      </c>
      <c r="R30" s="8">
        <f>'IRP RE Inputs'!P19*$N$56</f>
        <v>70960.677699966167</v>
      </c>
      <c r="S30" s="8">
        <f>'IRP RE Inputs'!Q19*$N$56</f>
        <v>74628.911246381453</v>
      </c>
      <c r="T30" s="8">
        <f>'IRP RE Inputs'!R19*$N$56</f>
        <v>69171.856410049775</v>
      </c>
      <c r="U30" s="8">
        <f>'IRP RE Inputs'!S19*$N$56</f>
        <v>69212.029468801426</v>
      </c>
      <c r="V30" s="8">
        <f>'IRP RE Inputs'!T19*$N$56</f>
        <v>92037.709378075117</v>
      </c>
      <c r="W30" s="8">
        <f>'IRP RE Inputs'!U19*$N$56</f>
        <v>93783.070281823617</v>
      </c>
      <c r="X30" s="8">
        <f>'IRP RE Inputs'!V19*$N$56</f>
        <v>85354.179428787887</v>
      </c>
      <c r="Y30" s="8">
        <f>'IRP RE Inputs'!W19*$N$56</f>
        <v>78705.784712046603</v>
      </c>
      <c r="Z30" s="8">
        <f>'IRP RE Inputs'!X19*$N$56</f>
        <v>65119.469744477596</v>
      </c>
      <c r="AA30" s="8">
        <f>'IRP RE Inputs'!Y19*$N$56</f>
        <v>62335.424899748665</v>
      </c>
      <c r="AB30" s="8">
        <f>'IRP RE Inputs'!Z19*$N$56</f>
        <v>99626.215762739826</v>
      </c>
      <c r="AC30" s="8">
        <f>'IRP RE Inputs'!AA19*$N$56</f>
        <v>131219.55740298785</v>
      </c>
      <c r="AD30" s="8">
        <f>'IRP RE Inputs'!AB19*$N$56</f>
        <v>124639.60154987122</v>
      </c>
      <c r="AE30" s="8">
        <f>'IRP RE Inputs'!AC19*$N$56</f>
        <v>127914.57945003676</v>
      </c>
    </row>
    <row r="32" spans="1:31" x14ac:dyDescent="0.3">
      <c r="S32" s="15"/>
    </row>
    <row r="33" spans="1:31" x14ac:dyDescent="0.3">
      <c r="B33" s="11" t="s">
        <v>12</v>
      </c>
      <c r="C33" s="11">
        <v>2017</v>
      </c>
      <c r="D33" s="10">
        <f>D$6</f>
        <v>2018</v>
      </c>
      <c r="E33" s="10">
        <f t="shared" ref="E33:AB33" si="36">D33+1</f>
        <v>2019</v>
      </c>
      <c r="F33" s="10">
        <f t="shared" si="36"/>
        <v>2020</v>
      </c>
      <c r="G33" s="10">
        <f t="shared" si="36"/>
        <v>2021</v>
      </c>
      <c r="H33" s="10">
        <f t="shared" si="36"/>
        <v>2022</v>
      </c>
      <c r="I33" s="10">
        <f t="shared" si="36"/>
        <v>2023</v>
      </c>
      <c r="J33" s="10">
        <f t="shared" si="36"/>
        <v>2024</v>
      </c>
      <c r="K33" s="10">
        <f t="shared" si="36"/>
        <v>2025</v>
      </c>
      <c r="L33" s="10">
        <f t="shared" si="36"/>
        <v>2026</v>
      </c>
      <c r="M33" s="10">
        <f t="shared" si="36"/>
        <v>2027</v>
      </c>
      <c r="N33" s="10">
        <f t="shared" si="36"/>
        <v>2028</v>
      </c>
      <c r="O33" s="10">
        <f t="shared" si="36"/>
        <v>2029</v>
      </c>
      <c r="P33" s="10">
        <f t="shared" si="36"/>
        <v>2030</v>
      </c>
      <c r="Q33" s="10">
        <f t="shared" si="36"/>
        <v>2031</v>
      </c>
      <c r="R33" s="10">
        <f t="shared" si="36"/>
        <v>2032</v>
      </c>
      <c r="S33" s="10">
        <f t="shared" si="36"/>
        <v>2033</v>
      </c>
      <c r="T33" s="10">
        <f t="shared" si="36"/>
        <v>2034</v>
      </c>
      <c r="U33" s="10">
        <f t="shared" si="36"/>
        <v>2035</v>
      </c>
      <c r="V33" s="10">
        <f t="shared" si="36"/>
        <v>2036</v>
      </c>
      <c r="W33" s="10">
        <f t="shared" si="36"/>
        <v>2037</v>
      </c>
      <c r="X33" s="10">
        <f t="shared" si="36"/>
        <v>2038</v>
      </c>
      <c r="Y33" s="10">
        <f t="shared" si="36"/>
        <v>2039</v>
      </c>
      <c r="Z33" s="10">
        <f t="shared" si="36"/>
        <v>2040</v>
      </c>
      <c r="AA33" s="10">
        <f t="shared" si="36"/>
        <v>2041</v>
      </c>
      <c r="AB33" s="10">
        <f t="shared" si="36"/>
        <v>2042</v>
      </c>
      <c r="AC33" s="10">
        <f t="shared" ref="AC33" si="37">AB33+1</f>
        <v>2043</v>
      </c>
      <c r="AD33" s="10">
        <f t="shared" ref="AD33" si="38">AC33+1</f>
        <v>2044</v>
      </c>
      <c r="AE33" s="10">
        <v>2045</v>
      </c>
    </row>
    <row r="34" spans="1:31" x14ac:dyDescent="0.3">
      <c r="B34" s="2" t="s">
        <v>7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195064</v>
      </c>
      <c r="K34" s="8">
        <v>40000</v>
      </c>
      <c r="L34" s="8">
        <v>40000</v>
      </c>
      <c r="M34" s="8">
        <v>40000</v>
      </c>
      <c r="N34" s="8">
        <v>40000</v>
      </c>
      <c r="O34" s="8">
        <v>40000</v>
      </c>
      <c r="P34" s="8">
        <f>40000+40129</f>
        <v>80129</v>
      </c>
      <c r="Q34" s="8">
        <f>40000+159696</f>
        <v>199696</v>
      </c>
      <c r="R34" s="8">
        <f>40000+131189</f>
        <v>171189</v>
      </c>
      <c r="S34" s="8">
        <f>40000+118057</f>
        <v>158057</v>
      </c>
      <c r="T34" s="8">
        <v>170891</v>
      </c>
      <c r="U34" s="8">
        <v>171610</v>
      </c>
      <c r="V34" s="8">
        <v>178349</v>
      </c>
      <c r="W34" s="8">
        <v>175624</v>
      </c>
      <c r="X34" s="8">
        <v>186263</v>
      </c>
      <c r="Y34" s="8">
        <v>187501</v>
      </c>
      <c r="Z34" s="8">
        <v>203536</v>
      </c>
      <c r="AA34" s="8">
        <v>210600</v>
      </c>
      <c r="AB34" s="8">
        <v>168934</v>
      </c>
      <c r="AC34" s="8">
        <v>147538</v>
      </c>
      <c r="AD34" s="8">
        <v>160132</v>
      </c>
      <c r="AE34" s="8">
        <v>154727</v>
      </c>
    </row>
    <row r="35" spans="1:31" x14ac:dyDescent="0.3">
      <c r="B35" s="2" t="s">
        <v>8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</row>
    <row r="36" spans="1:31" x14ac:dyDescent="0.3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31" x14ac:dyDescent="0.3">
      <c r="F37" s="23"/>
      <c r="G37" s="23"/>
      <c r="H37" s="23"/>
      <c r="I37" s="23"/>
      <c r="J37" s="23"/>
      <c r="K37" s="24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</row>
    <row r="38" spans="1:31" x14ac:dyDescent="0.3">
      <c r="B38" s="11" t="s">
        <v>13</v>
      </c>
      <c r="C38" s="11">
        <v>2017</v>
      </c>
      <c r="D38" s="10">
        <f>D$6</f>
        <v>2018</v>
      </c>
      <c r="E38" s="10">
        <f t="shared" ref="E38:AB38" si="39">D38+1</f>
        <v>2019</v>
      </c>
      <c r="F38" s="10">
        <f t="shared" si="39"/>
        <v>2020</v>
      </c>
      <c r="G38" s="10">
        <f t="shared" si="39"/>
        <v>2021</v>
      </c>
      <c r="H38" s="10">
        <f t="shared" si="39"/>
        <v>2022</v>
      </c>
      <c r="I38" s="10">
        <f t="shared" si="39"/>
        <v>2023</v>
      </c>
      <c r="J38" s="10">
        <f t="shared" si="39"/>
        <v>2024</v>
      </c>
      <c r="K38" s="10">
        <f t="shared" si="39"/>
        <v>2025</v>
      </c>
      <c r="L38" s="10">
        <f t="shared" si="39"/>
        <v>2026</v>
      </c>
      <c r="M38" s="10">
        <f t="shared" si="39"/>
        <v>2027</v>
      </c>
      <c r="N38" s="10">
        <f t="shared" si="39"/>
        <v>2028</v>
      </c>
      <c r="O38" s="10">
        <f t="shared" si="39"/>
        <v>2029</v>
      </c>
      <c r="P38" s="10">
        <f t="shared" si="39"/>
        <v>2030</v>
      </c>
      <c r="Q38" s="10">
        <f t="shared" si="39"/>
        <v>2031</v>
      </c>
      <c r="R38" s="10">
        <f t="shared" si="39"/>
        <v>2032</v>
      </c>
      <c r="S38" s="10">
        <f t="shared" si="39"/>
        <v>2033</v>
      </c>
      <c r="T38" s="10">
        <f t="shared" si="39"/>
        <v>2034</v>
      </c>
      <c r="U38" s="10">
        <f t="shared" si="39"/>
        <v>2035</v>
      </c>
      <c r="V38" s="10">
        <f t="shared" si="39"/>
        <v>2036</v>
      </c>
      <c r="W38" s="10">
        <f t="shared" si="39"/>
        <v>2037</v>
      </c>
      <c r="X38" s="10">
        <f t="shared" si="39"/>
        <v>2038</v>
      </c>
      <c r="Y38" s="10">
        <f t="shared" si="39"/>
        <v>2039</v>
      </c>
      <c r="Z38" s="10">
        <f t="shared" si="39"/>
        <v>2040</v>
      </c>
      <c r="AA38" s="10">
        <f t="shared" si="39"/>
        <v>2041</v>
      </c>
      <c r="AB38" s="10">
        <f t="shared" si="39"/>
        <v>2042</v>
      </c>
      <c r="AC38" s="10">
        <f t="shared" ref="AC38" si="40">AB38+1</f>
        <v>2043</v>
      </c>
      <c r="AD38" s="10">
        <f t="shared" ref="AD38" si="41">AC38+1</f>
        <v>2044</v>
      </c>
      <c r="AE38" s="10">
        <v>2045</v>
      </c>
    </row>
    <row r="39" spans="1:31" x14ac:dyDescent="0.3">
      <c r="A39" s="2" t="s">
        <v>75</v>
      </c>
      <c r="B39" s="2" t="s">
        <v>8</v>
      </c>
      <c r="C39" s="9">
        <v>189144</v>
      </c>
      <c r="D39" s="9">
        <v>140772</v>
      </c>
      <c r="E39" s="9">
        <v>143228.1765</v>
      </c>
      <c r="F39" s="9">
        <v>412238</v>
      </c>
      <c r="G39" s="9">
        <v>219673</v>
      </c>
      <c r="H39" s="9">
        <f>'IRP RE Inputs'!F5</f>
        <v>227588</v>
      </c>
      <c r="I39" s="9">
        <f>'IRP RE Inputs'!G5</f>
        <v>257288</v>
      </c>
      <c r="J39" s="9">
        <f>'IRP RE Inputs'!H5</f>
        <v>219052.20789710424</v>
      </c>
      <c r="K39" s="9">
        <f>'IRP RE Inputs'!I5</f>
        <v>294930.51292860857</v>
      </c>
      <c r="L39" s="9">
        <f>'IRP RE Inputs'!J5</f>
        <v>296910.01947640476</v>
      </c>
      <c r="M39" s="9">
        <f>'IRP RE Inputs'!K5</f>
        <v>292761.98745870986</v>
      </c>
      <c r="N39" s="9">
        <f>'IRP RE Inputs'!L5</f>
        <v>288086.0804706717</v>
      </c>
      <c r="O39" s="9">
        <f>'IRP RE Inputs'!M5</f>
        <v>251094.11425588076</v>
      </c>
      <c r="P39" s="9">
        <f>'IRP RE Inputs'!N5</f>
        <v>196831.76088846437</v>
      </c>
      <c r="Q39" s="9">
        <f>'IRP RE Inputs'!O5</f>
        <v>190516.96878138711</v>
      </c>
      <c r="R39" s="9">
        <f>'IRP RE Inputs'!P5</f>
        <v>180831.20736998031</v>
      </c>
      <c r="S39" s="9">
        <f>'IRP RE Inputs'!Q5</f>
        <v>185250.10364123428</v>
      </c>
      <c r="T39" s="9">
        <f>'IRP RE Inputs'!R5</f>
        <v>175120.84782242187</v>
      </c>
      <c r="U39" s="9">
        <f>'IRP RE Inputs'!S5</f>
        <v>172048.31616647856</v>
      </c>
      <c r="V39" s="9">
        <f>'IRP RE Inputs'!T5</f>
        <v>144849.31339135961</v>
      </c>
      <c r="W39" s="9">
        <f>'IRP RE Inputs'!U5</f>
        <v>148344.07086048234</v>
      </c>
      <c r="X39" s="9">
        <f>'IRP RE Inputs'!V5</f>
        <v>145186.90526551436</v>
      </c>
      <c r="Y39" s="9">
        <f>'IRP RE Inputs'!W5</f>
        <v>149957.60863393373</v>
      </c>
      <c r="Z39" s="9">
        <f>'IRP RE Inputs'!X5</f>
        <v>148751.65031729796</v>
      </c>
      <c r="AA39" s="9">
        <f>'IRP RE Inputs'!Y5</f>
        <v>143105.31836125531</v>
      </c>
      <c r="AB39" s="9">
        <f>'IRP RE Inputs'!Z5</f>
        <v>148107.68323492556</v>
      </c>
      <c r="AC39" s="9">
        <f>'IRP RE Inputs'!AA5</f>
        <v>138212.74145770201</v>
      </c>
      <c r="AD39" s="9">
        <f>'IRP RE Inputs'!AB5</f>
        <v>134069.79861512835</v>
      </c>
      <c r="AE39" s="9">
        <f>'IRP RE Inputs'!AC5</f>
        <v>135880.43499168305</v>
      </c>
    </row>
    <row r="40" spans="1:31" x14ac:dyDescent="0.3">
      <c r="A40" s="2" t="s">
        <v>75</v>
      </c>
      <c r="B40" s="2" t="s">
        <v>7</v>
      </c>
      <c r="C40" s="9">
        <v>0</v>
      </c>
      <c r="D40" s="9">
        <v>0</v>
      </c>
      <c r="E40" s="9">
        <v>0</v>
      </c>
      <c r="F40" s="9">
        <v>17843</v>
      </c>
      <c r="G40" s="9">
        <f>'IRP RE Inputs'!E12</f>
        <v>0</v>
      </c>
      <c r="H40" s="9">
        <f>'IRP RE Inputs'!F12</f>
        <v>120000</v>
      </c>
      <c r="I40" s="9">
        <f>'IRP RE Inputs'!G12</f>
        <v>60000</v>
      </c>
      <c r="J40" s="9">
        <f>'IRP RE Inputs'!H12</f>
        <v>41057.804823436774</v>
      </c>
      <c r="K40" s="9">
        <f>'IRP RE Inputs'!I12</f>
        <v>46240.800321501061</v>
      </c>
      <c r="L40" s="9">
        <f>'IRP RE Inputs'!J12</f>
        <v>45520.264545645914</v>
      </c>
      <c r="M40" s="9">
        <f>'IRP RE Inputs'!K12</f>
        <v>44896.139117218772</v>
      </c>
      <c r="N40" s="9">
        <f>'IRP RE Inputs'!L12</f>
        <v>41739.536609821982</v>
      </c>
      <c r="O40" s="9">
        <f>'IRP RE Inputs'!M12</f>
        <v>40792.554480657498</v>
      </c>
      <c r="P40" s="9">
        <f>'IRP RE Inputs'!N12</f>
        <v>10161.744945766923</v>
      </c>
      <c r="Q40" s="9">
        <f>'IRP RE Inputs'!O12</f>
        <v>10099.335698795659</v>
      </c>
      <c r="R40" s="9">
        <f>'IRP RE Inputs'!P12</f>
        <v>9589.8923610611691</v>
      </c>
      <c r="S40" s="9">
        <f>'IRP RE Inputs'!Q12</f>
        <v>9667.3981596677331</v>
      </c>
      <c r="T40" s="9">
        <f>'IRP RE Inputs'!R12</f>
        <v>9111.5385542278073</v>
      </c>
      <c r="U40" s="9">
        <f>'IRP RE Inputs'!S12</f>
        <v>8755.8349958895978</v>
      </c>
      <c r="V40" s="9">
        <f>'IRP RE Inputs'!T12</f>
        <v>4929.7921430538336</v>
      </c>
      <c r="W40" s="9">
        <f>'IRP RE Inputs'!U12</f>
        <v>0</v>
      </c>
      <c r="X40" s="9">
        <f>'IRP RE Inputs'!V12</f>
        <v>0</v>
      </c>
      <c r="Y40" s="9">
        <f>'IRP RE Inputs'!W12</f>
        <v>0</v>
      </c>
      <c r="Z40" s="9">
        <f>'IRP RE Inputs'!X12</f>
        <v>0</v>
      </c>
      <c r="AA40" s="9">
        <f>'IRP RE Inputs'!Y12</f>
        <v>0</v>
      </c>
      <c r="AB40" s="9">
        <f>'IRP RE Inputs'!Z12</f>
        <v>0</v>
      </c>
      <c r="AC40" s="9">
        <f>'IRP RE Inputs'!AA12</f>
        <v>0</v>
      </c>
      <c r="AD40" s="9">
        <f>'IRP RE Inputs'!AB12</f>
        <v>0</v>
      </c>
      <c r="AE40" s="9">
        <f>'IRP RE Inputs'!AC12</f>
        <v>0</v>
      </c>
    </row>
    <row r="41" spans="1:31" x14ac:dyDescent="0.3">
      <c r="D41" s="8"/>
      <c r="E41" s="8"/>
      <c r="F41" s="8"/>
      <c r="G41" s="8">
        <v>5437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3" spans="1:31" x14ac:dyDescent="0.3">
      <c r="B43" s="11" t="s">
        <v>14</v>
      </c>
      <c r="C43" s="11">
        <v>2017</v>
      </c>
      <c r="D43" s="10">
        <f>D$6</f>
        <v>2018</v>
      </c>
      <c r="E43" s="10">
        <f t="shared" ref="E43:AB43" si="42">D43+1</f>
        <v>2019</v>
      </c>
      <c r="F43" s="10">
        <f t="shared" si="42"/>
        <v>2020</v>
      </c>
      <c r="G43" s="10">
        <f t="shared" si="42"/>
        <v>2021</v>
      </c>
      <c r="H43" s="10">
        <f t="shared" si="42"/>
        <v>2022</v>
      </c>
      <c r="I43" s="10">
        <f t="shared" si="42"/>
        <v>2023</v>
      </c>
      <c r="J43" s="10">
        <f t="shared" si="42"/>
        <v>2024</v>
      </c>
      <c r="K43" s="10">
        <f t="shared" si="42"/>
        <v>2025</v>
      </c>
      <c r="L43" s="10">
        <f t="shared" si="42"/>
        <v>2026</v>
      </c>
      <c r="M43" s="10">
        <f t="shared" si="42"/>
        <v>2027</v>
      </c>
      <c r="N43" s="10">
        <f t="shared" si="42"/>
        <v>2028</v>
      </c>
      <c r="O43" s="10">
        <f t="shared" si="42"/>
        <v>2029</v>
      </c>
      <c r="P43" s="10">
        <f t="shared" si="42"/>
        <v>2030</v>
      </c>
      <c r="Q43" s="10">
        <f t="shared" si="42"/>
        <v>2031</v>
      </c>
      <c r="R43" s="10">
        <f t="shared" si="42"/>
        <v>2032</v>
      </c>
      <c r="S43" s="10">
        <f t="shared" si="42"/>
        <v>2033</v>
      </c>
      <c r="T43" s="10">
        <f t="shared" si="42"/>
        <v>2034</v>
      </c>
      <c r="U43" s="10">
        <f t="shared" si="42"/>
        <v>2035</v>
      </c>
      <c r="V43" s="10">
        <f t="shared" si="42"/>
        <v>2036</v>
      </c>
      <c r="W43" s="10">
        <f t="shared" si="42"/>
        <v>2037</v>
      </c>
      <c r="X43" s="10">
        <f t="shared" si="42"/>
        <v>2038</v>
      </c>
      <c r="Y43" s="10">
        <f t="shared" si="42"/>
        <v>2039</v>
      </c>
      <c r="Z43" s="10">
        <f t="shared" si="42"/>
        <v>2040</v>
      </c>
      <c r="AA43" s="10">
        <f t="shared" si="42"/>
        <v>2041</v>
      </c>
      <c r="AB43" s="10">
        <f t="shared" si="42"/>
        <v>2042</v>
      </c>
      <c r="AC43" s="10">
        <f t="shared" ref="AC43" si="43">AB43+1</f>
        <v>2043</v>
      </c>
      <c r="AD43" s="10">
        <f t="shared" ref="AD43" si="44">AC43+1</f>
        <v>2044</v>
      </c>
      <c r="AE43" s="10">
        <v>2045</v>
      </c>
    </row>
    <row r="44" spans="1:31" x14ac:dyDescent="0.3">
      <c r="B44" s="2" t="s">
        <v>15</v>
      </c>
      <c r="C44" s="8">
        <f t="shared" ref="C44" si="45">C9/1000</f>
        <v>205.83498302999999</v>
      </c>
      <c r="D44" s="8">
        <f t="shared" ref="D44:AB44" si="46">D9/1000</f>
        <v>217.28948203999997</v>
      </c>
      <c r="E44" s="8">
        <f t="shared" si="46"/>
        <v>229.68870175999999</v>
      </c>
      <c r="F44" s="8">
        <f t="shared" si="46"/>
        <v>250.41144282000002</v>
      </c>
      <c r="G44" s="8">
        <f t="shared" si="46"/>
        <v>285.31181249999997</v>
      </c>
      <c r="H44" s="8">
        <f t="shared" si="46"/>
        <v>307.818212625</v>
      </c>
      <c r="I44" s="8">
        <f t="shared" si="46"/>
        <v>313.67118749999997</v>
      </c>
      <c r="J44" s="8">
        <f t="shared" si="46"/>
        <v>334.8794116242438</v>
      </c>
      <c r="K44" s="8">
        <f t="shared" si="46"/>
        <v>355.72003970192367</v>
      </c>
      <c r="L44" s="8">
        <f t="shared" si="46"/>
        <v>374.53238294187412</v>
      </c>
      <c r="M44" s="8">
        <f t="shared" si="46"/>
        <v>391.47850315422198</v>
      </c>
      <c r="N44" s="8">
        <f t="shared" si="46"/>
        <v>409.1125018736542</v>
      </c>
      <c r="O44" s="8">
        <f t="shared" si="46"/>
        <v>423.75634552985696</v>
      </c>
      <c r="P44" s="8">
        <f t="shared" si="46"/>
        <v>439.34263098566589</v>
      </c>
      <c r="Q44" s="8">
        <f t="shared" si="46"/>
        <v>435.38118663367015</v>
      </c>
      <c r="R44" s="8">
        <f t="shared" si="46"/>
        <v>432.57086318374536</v>
      </c>
      <c r="S44" s="8">
        <f t="shared" si="46"/>
        <v>427.60316167664689</v>
      </c>
      <c r="T44" s="8">
        <f t="shared" si="46"/>
        <v>424.30903102811027</v>
      </c>
      <c r="U44" s="8">
        <f t="shared" si="46"/>
        <v>421.63998858642208</v>
      </c>
      <c r="V44" s="8">
        <f t="shared" si="46"/>
        <v>420.66006494401262</v>
      </c>
      <c r="W44" s="8">
        <f t="shared" si="46"/>
        <v>418.25558265983699</v>
      </c>
      <c r="X44" s="8">
        <f t="shared" si="46"/>
        <v>417.28807448984617</v>
      </c>
      <c r="Y44" s="8">
        <f t="shared" si="46"/>
        <v>416.66717536902883</v>
      </c>
      <c r="Z44" s="8">
        <f t="shared" si="46"/>
        <v>417.89357618161353</v>
      </c>
      <c r="AA44" s="8">
        <f t="shared" si="46"/>
        <v>416.50490337886401</v>
      </c>
      <c r="AB44" s="8">
        <f t="shared" si="46"/>
        <v>417.1560731944902</v>
      </c>
      <c r="AC44" s="8">
        <f t="shared" ref="AC44:AE44" si="47">AC9/1000</f>
        <v>417.44563576299828</v>
      </c>
      <c r="AD44" s="8">
        <f t="shared" si="47"/>
        <v>419.3051366055243</v>
      </c>
      <c r="AE44" s="8">
        <f t="shared" si="47"/>
        <v>418.99792699693637</v>
      </c>
    </row>
    <row r="45" spans="1:31" x14ac:dyDescent="0.3">
      <c r="B45" s="2" t="s">
        <v>16</v>
      </c>
      <c r="C45" s="8">
        <f t="shared" ref="C45" si="48">(C23)/1000</f>
        <v>189.14400000000001</v>
      </c>
      <c r="D45" s="8">
        <f t="shared" ref="D45:AB45" si="49">(D23)/1000</f>
        <v>140.77199999999999</v>
      </c>
      <c r="E45" s="8">
        <f t="shared" si="49"/>
        <v>143.22817649999999</v>
      </c>
      <c r="F45" s="8">
        <f t="shared" si="49"/>
        <v>232.56844282000003</v>
      </c>
      <c r="G45" s="8">
        <f t="shared" si="49"/>
        <v>219.673</v>
      </c>
      <c r="H45" s="8">
        <f t="shared" si="49"/>
        <v>187.81821262499997</v>
      </c>
      <c r="I45" s="8">
        <f t="shared" si="49"/>
        <v>213.90140012499998</v>
      </c>
      <c r="J45" s="8">
        <f t="shared" si="49"/>
        <v>55.371006925806988</v>
      </c>
      <c r="K45" s="8">
        <f t="shared" si="49"/>
        <v>105.79803840912535</v>
      </c>
      <c r="L45" s="8">
        <f t="shared" si="49"/>
        <v>99.879643876744964</v>
      </c>
      <c r="M45" s="8">
        <f t="shared" si="49"/>
        <v>109.55198843734338</v>
      </c>
      <c r="N45" s="8">
        <f t="shared" si="49"/>
        <v>144.16296624246579</v>
      </c>
      <c r="O45" s="8">
        <f t="shared" si="49"/>
        <v>171.70550077625066</v>
      </c>
      <c r="P45" s="8">
        <f t="shared" si="49"/>
        <v>232.54567389757412</v>
      </c>
      <c r="Q45" s="8">
        <f t="shared" si="49"/>
        <v>225.58564869890537</v>
      </c>
      <c r="R45" s="8">
        <f t="shared" si="49"/>
        <v>251.79188506994646</v>
      </c>
      <c r="S45" s="8">
        <f t="shared" si="49"/>
        <v>259.87876351697918</v>
      </c>
      <c r="T45" s="8">
        <f t="shared" si="49"/>
        <v>244.29270423247164</v>
      </c>
      <c r="U45" s="8">
        <f t="shared" si="49"/>
        <v>241.26034563527998</v>
      </c>
      <c r="V45" s="8">
        <f t="shared" si="49"/>
        <v>236.88702276943474</v>
      </c>
      <c r="W45" s="8">
        <f t="shared" si="49"/>
        <v>242.12714114230599</v>
      </c>
      <c r="X45" s="8">
        <f t="shared" si="49"/>
        <v>230.54108469430224</v>
      </c>
      <c r="Y45" s="8">
        <f t="shared" si="49"/>
        <v>228.66339334598032</v>
      </c>
      <c r="Z45" s="8">
        <f t="shared" si="49"/>
        <v>213.87112006177554</v>
      </c>
      <c r="AA45" s="8">
        <f t="shared" si="49"/>
        <v>205.44074326100397</v>
      </c>
      <c r="AB45" s="8">
        <f t="shared" si="49"/>
        <v>247.73389899766539</v>
      </c>
      <c r="AC45" s="8">
        <f t="shared" ref="AC45:AE45" si="50">(AC23)/1000</f>
        <v>269.43229886068985</v>
      </c>
      <c r="AD45" s="8">
        <f t="shared" si="50"/>
        <v>258.70940016499958</v>
      </c>
      <c r="AE45" s="8">
        <f t="shared" si="50"/>
        <v>263.79501444171979</v>
      </c>
    </row>
    <row r="46" spans="1:31" x14ac:dyDescent="0.3">
      <c r="B46" s="2" t="s">
        <v>17</v>
      </c>
      <c r="C46" s="8">
        <f t="shared" ref="C46" si="51">(C21)/1000</f>
        <v>0</v>
      </c>
      <c r="D46" s="8">
        <f t="shared" ref="D46:AB46" si="52">(D21)/1000</f>
        <v>0</v>
      </c>
      <c r="E46" s="8">
        <f t="shared" si="52"/>
        <v>0</v>
      </c>
      <c r="F46" s="8">
        <f t="shared" si="52"/>
        <v>0</v>
      </c>
      <c r="G46" s="8">
        <f t="shared" si="52"/>
        <v>0</v>
      </c>
      <c r="H46" s="8">
        <f t="shared" si="52"/>
        <v>0</v>
      </c>
      <c r="I46" s="8">
        <f t="shared" si="52"/>
        <v>39.769787375000014</v>
      </c>
      <c r="J46" s="8">
        <f t="shared" si="52"/>
        <v>43.386599875000016</v>
      </c>
      <c r="K46" s="8">
        <f t="shared" si="52"/>
        <v>163.68120097129724</v>
      </c>
      <c r="L46" s="8">
        <f t="shared" si="52"/>
        <v>189.13247451948322</v>
      </c>
      <c r="M46" s="8">
        <f t="shared" si="52"/>
        <v>197.03037559965981</v>
      </c>
      <c r="N46" s="8">
        <f t="shared" si="52"/>
        <v>183.20999902136649</v>
      </c>
      <c r="O46" s="8">
        <f t="shared" si="52"/>
        <v>171.25829027294878</v>
      </c>
      <c r="P46" s="8">
        <f t="shared" si="52"/>
        <v>116.50613729446631</v>
      </c>
      <c r="Q46" s="8">
        <f t="shared" si="52"/>
        <v>0</v>
      </c>
      <c r="R46" s="8">
        <f t="shared" si="52"/>
        <v>0</v>
      </c>
      <c r="S46" s="8">
        <f t="shared" si="52"/>
        <v>0</v>
      </c>
      <c r="T46" s="8">
        <f t="shared" si="52"/>
        <v>2.5137063657166436E-4</v>
      </c>
      <c r="U46" s="8">
        <f t="shared" si="52"/>
        <v>0</v>
      </c>
      <c r="V46" s="8">
        <f t="shared" si="52"/>
        <v>0</v>
      </c>
      <c r="W46" s="8">
        <f t="shared" si="52"/>
        <v>0</v>
      </c>
      <c r="X46" s="8">
        <f t="shared" si="52"/>
        <v>0</v>
      </c>
      <c r="Y46" s="8">
        <f t="shared" si="52"/>
        <v>0</v>
      </c>
      <c r="Z46" s="8">
        <f t="shared" si="52"/>
        <v>0</v>
      </c>
      <c r="AA46" s="8">
        <f t="shared" si="52"/>
        <v>0</v>
      </c>
      <c r="AB46" s="8">
        <f t="shared" si="52"/>
        <v>0</v>
      </c>
      <c r="AC46" s="8">
        <f t="shared" ref="AC46:AE46" si="53">(AC21)/1000</f>
        <v>0</v>
      </c>
      <c r="AD46" s="8">
        <f t="shared" si="53"/>
        <v>0</v>
      </c>
      <c r="AE46" s="8">
        <f t="shared" si="53"/>
        <v>0</v>
      </c>
    </row>
    <row r="47" spans="1:31" x14ac:dyDescent="0.3">
      <c r="B47" s="2" t="s">
        <v>33</v>
      </c>
      <c r="C47" s="8">
        <f t="shared" ref="C47" si="54">(C22)/1000</f>
        <v>0</v>
      </c>
      <c r="D47" s="8">
        <f t="shared" ref="D47:AB47" si="55">(D22)/1000</f>
        <v>0</v>
      </c>
      <c r="E47" s="8">
        <f t="shared" si="55"/>
        <v>0</v>
      </c>
      <c r="F47" s="8">
        <f t="shared" si="55"/>
        <v>17.843</v>
      </c>
      <c r="G47" s="8">
        <f t="shared" si="55"/>
        <v>0</v>
      </c>
      <c r="H47" s="8">
        <f t="shared" si="55"/>
        <v>120</v>
      </c>
      <c r="I47" s="8">
        <f t="shared" si="55"/>
        <v>60</v>
      </c>
      <c r="J47" s="8">
        <f t="shared" si="55"/>
        <v>236.12180482343678</v>
      </c>
      <c r="K47" s="8">
        <f t="shared" si="55"/>
        <v>86.240800321501069</v>
      </c>
      <c r="L47" s="8">
        <f t="shared" si="55"/>
        <v>85.520264545645915</v>
      </c>
      <c r="M47" s="8">
        <f t="shared" si="55"/>
        <v>84.896139117218766</v>
      </c>
      <c r="N47" s="8">
        <f t="shared" si="55"/>
        <v>81.739536609821982</v>
      </c>
      <c r="O47" s="8">
        <f t="shared" si="55"/>
        <v>80.7925544806575</v>
      </c>
      <c r="P47" s="8">
        <f t="shared" si="55"/>
        <v>90.290744945766932</v>
      </c>
      <c r="Q47" s="8">
        <f t="shared" si="55"/>
        <v>209.79533569879564</v>
      </c>
      <c r="R47" s="8">
        <f t="shared" si="55"/>
        <v>180.7788923610612</v>
      </c>
      <c r="S47" s="8">
        <f t="shared" si="55"/>
        <v>167.72439815966774</v>
      </c>
      <c r="T47" s="8">
        <f t="shared" si="55"/>
        <v>180.00253855422778</v>
      </c>
      <c r="U47" s="8">
        <f t="shared" si="55"/>
        <v>180.3658349958896</v>
      </c>
      <c r="V47" s="8">
        <f t="shared" si="55"/>
        <v>183.27879214305383</v>
      </c>
      <c r="W47" s="8">
        <f t="shared" si="55"/>
        <v>175.624</v>
      </c>
      <c r="X47" s="8">
        <f t="shared" si="55"/>
        <v>186.26300000000001</v>
      </c>
      <c r="Y47" s="8">
        <f t="shared" si="55"/>
        <v>187.501</v>
      </c>
      <c r="Z47" s="8">
        <f t="shared" si="55"/>
        <v>203.536</v>
      </c>
      <c r="AA47" s="8">
        <f t="shared" si="55"/>
        <v>210.6</v>
      </c>
      <c r="AB47" s="8">
        <f t="shared" si="55"/>
        <v>168.934</v>
      </c>
      <c r="AC47" s="8">
        <f t="shared" ref="AC47:AE47" si="56">(AC22)/1000</f>
        <v>147.53800000000001</v>
      </c>
      <c r="AD47" s="8">
        <f t="shared" si="56"/>
        <v>160.13200000000001</v>
      </c>
      <c r="AE47" s="8">
        <f t="shared" si="56"/>
        <v>154.727</v>
      </c>
    </row>
    <row r="48" spans="1:31" x14ac:dyDescent="0.3">
      <c r="B48" s="2" t="s">
        <v>18</v>
      </c>
      <c r="C48" s="8">
        <f t="shared" ref="C48" si="57">(C20)/1000</f>
        <v>0</v>
      </c>
      <c r="D48" s="8">
        <f t="shared" ref="D48:AB48" si="58">(D20)/1000</f>
        <v>0</v>
      </c>
      <c r="E48" s="8">
        <f t="shared" si="58"/>
        <v>0</v>
      </c>
      <c r="F48" s="8">
        <f t="shared" si="58"/>
        <v>0</v>
      </c>
      <c r="G48" s="8">
        <f t="shared" si="58"/>
        <v>0</v>
      </c>
      <c r="H48" s="8">
        <f t="shared" si="58"/>
        <v>0</v>
      </c>
      <c r="I48" s="8">
        <f t="shared" si="58"/>
        <v>0</v>
      </c>
      <c r="J48" s="8">
        <f t="shared" si="58"/>
        <v>0</v>
      </c>
      <c r="K48" s="8">
        <f t="shared" si="58"/>
        <v>0</v>
      </c>
      <c r="L48" s="8">
        <f t="shared" si="58"/>
        <v>0</v>
      </c>
      <c r="M48" s="8">
        <f t="shared" si="58"/>
        <v>0</v>
      </c>
      <c r="N48" s="8">
        <f t="shared" si="58"/>
        <v>0</v>
      </c>
      <c r="O48" s="8">
        <f t="shared" si="58"/>
        <v>0</v>
      </c>
      <c r="P48" s="8">
        <f t="shared" si="58"/>
        <v>0</v>
      </c>
      <c r="Q48" s="8">
        <f t="shared" si="58"/>
        <v>0</v>
      </c>
      <c r="R48" s="8">
        <f t="shared" si="58"/>
        <v>0</v>
      </c>
      <c r="S48" s="8">
        <f t="shared" si="58"/>
        <v>0</v>
      </c>
      <c r="T48" s="8">
        <f t="shared" si="58"/>
        <v>0</v>
      </c>
      <c r="U48" s="8">
        <f t="shared" si="58"/>
        <v>0</v>
      </c>
      <c r="V48" s="8">
        <f t="shared" si="58"/>
        <v>0</v>
      </c>
      <c r="W48" s="8">
        <f t="shared" si="58"/>
        <v>0</v>
      </c>
      <c r="X48" s="8">
        <f t="shared" si="58"/>
        <v>0</v>
      </c>
      <c r="Y48" s="8">
        <f t="shared" si="58"/>
        <v>0</v>
      </c>
      <c r="Z48" s="8">
        <f t="shared" si="58"/>
        <v>0</v>
      </c>
      <c r="AA48" s="8">
        <f t="shared" si="58"/>
        <v>0</v>
      </c>
      <c r="AB48" s="8">
        <f t="shared" si="58"/>
        <v>0</v>
      </c>
      <c r="AC48" s="8">
        <f t="shared" ref="AC48:AE48" si="59">(AC20)/1000</f>
        <v>0</v>
      </c>
      <c r="AD48" s="8">
        <f t="shared" si="59"/>
        <v>0</v>
      </c>
      <c r="AE48" s="8">
        <f t="shared" si="59"/>
        <v>0</v>
      </c>
    </row>
    <row r="49" spans="2:31" x14ac:dyDescent="0.3">
      <c r="B49" s="2" t="s">
        <v>20</v>
      </c>
      <c r="C49" s="8">
        <f t="shared" ref="C49" si="60">((C14-C21)+(C16-C23))/1000</f>
        <v>0</v>
      </c>
      <c r="D49" s="8">
        <f t="shared" ref="D49:AB49" si="61">((D14-D21)+(D16-D23))/1000</f>
        <v>0</v>
      </c>
      <c r="E49" s="8">
        <f t="shared" si="61"/>
        <v>0</v>
      </c>
      <c r="F49" s="8">
        <f t="shared" si="61"/>
        <v>179.66955717999997</v>
      </c>
      <c r="G49" s="8">
        <f t="shared" si="61"/>
        <v>0</v>
      </c>
      <c r="H49" s="8">
        <f t="shared" si="61"/>
        <v>39.769787375000014</v>
      </c>
      <c r="I49" s="8">
        <f t="shared" si="61"/>
        <v>43.386599875000016</v>
      </c>
      <c r="J49" s="8">
        <f t="shared" si="61"/>
        <v>163.68120097129724</v>
      </c>
      <c r="K49" s="8">
        <f t="shared" si="61"/>
        <v>189.13247451948322</v>
      </c>
      <c r="L49" s="8">
        <f t="shared" si="61"/>
        <v>197.03037559965981</v>
      </c>
      <c r="M49" s="8">
        <f t="shared" si="61"/>
        <v>183.20999902136649</v>
      </c>
      <c r="N49" s="8">
        <f t="shared" si="61"/>
        <v>171.25829027294878</v>
      </c>
      <c r="O49" s="8">
        <f t="shared" si="61"/>
        <v>116.50613729446631</v>
      </c>
      <c r="P49" s="8">
        <f t="shared" si="61"/>
        <v>0</v>
      </c>
      <c r="Q49" s="8">
        <f t="shared" si="61"/>
        <v>0</v>
      </c>
      <c r="R49" s="8">
        <f t="shared" si="61"/>
        <v>0</v>
      </c>
      <c r="S49" s="8">
        <f t="shared" si="61"/>
        <v>2.5137063657166436E-4</v>
      </c>
      <c r="T49" s="8">
        <f t="shared" si="61"/>
        <v>0</v>
      </c>
      <c r="U49" s="8">
        <f t="shared" si="61"/>
        <v>0</v>
      </c>
      <c r="V49" s="8">
        <f t="shared" si="61"/>
        <v>0</v>
      </c>
      <c r="W49" s="8">
        <f t="shared" si="61"/>
        <v>0</v>
      </c>
      <c r="X49" s="8">
        <f t="shared" si="61"/>
        <v>0</v>
      </c>
      <c r="Y49" s="8">
        <f t="shared" si="61"/>
        <v>0</v>
      </c>
      <c r="Z49" s="8">
        <f t="shared" si="61"/>
        <v>0</v>
      </c>
      <c r="AA49" s="8">
        <f t="shared" si="61"/>
        <v>0</v>
      </c>
      <c r="AB49" s="8">
        <f t="shared" si="61"/>
        <v>0</v>
      </c>
      <c r="AC49" s="8">
        <f t="shared" ref="AC49:AE49" si="62">((AC14-AC21)+(AC16-AC23))/1000</f>
        <v>0</v>
      </c>
      <c r="AD49" s="8">
        <f t="shared" si="62"/>
        <v>0</v>
      </c>
      <c r="AE49" s="8">
        <f t="shared" si="62"/>
        <v>0</v>
      </c>
    </row>
    <row r="50" spans="2:31" x14ac:dyDescent="0.3">
      <c r="B50" s="2" t="s">
        <v>19</v>
      </c>
      <c r="C50" s="8">
        <f t="shared" ref="C50" si="63">-C26/1000</f>
        <v>16.690983030000002</v>
      </c>
      <c r="D50" s="8">
        <f t="shared" ref="D50:AB50" si="64">-D26/1000</f>
        <v>76.517482039999976</v>
      </c>
      <c r="E50" s="8">
        <f t="shared" si="64"/>
        <v>86.460525259999997</v>
      </c>
      <c r="F50" s="8">
        <f t="shared" si="64"/>
        <v>0</v>
      </c>
      <c r="G50" s="8">
        <f t="shared" si="64"/>
        <v>65.6388125</v>
      </c>
      <c r="H50" s="8">
        <f t="shared" si="64"/>
        <v>0</v>
      </c>
      <c r="I50" s="8">
        <f t="shared" si="64"/>
        <v>0</v>
      </c>
      <c r="J50" s="8">
        <f t="shared" si="64"/>
        <v>0</v>
      </c>
      <c r="K50" s="8">
        <f t="shared" si="64"/>
        <v>0</v>
      </c>
      <c r="L50" s="8">
        <f t="shared" si="64"/>
        <v>0</v>
      </c>
      <c r="M50" s="8">
        <f t="shared" si="64"/>
        <v>0</v>
      </c>
      <c r="N50" s="8">
        <f t="shared" si="64"/>
        <v>0</v>
      </c>
      <c r="O50" s="8">
        <f t="shared" si="64"/>
        <v>0</v>
      </c>
      <c r="P50" s="8">
        <f t="shared" si="64"/>
        <v>7.4847858515568081E-5</v>
      </c>
      <c r="Q50" s="8">
        <f t="shared" si="64"/>
        <v>2.0223596919095144E-4</v>
      </c>
      <c r="R50" s="8">
        <f t="shared" si="64"/>
        <v>8.5752737708389765E-5</v>
      </c>
      <c r="S50" s="8">
        <f t="shared" si="64"/>
        <v>0</v>
      </c>
      <c r="T50" s="8">
        <f t="shared" si="64"/>
        <v>1.353687077423092E-2</v>
      </c>
      <c r="U50" s="8">
        <f t="shared" si="64"/>
        <v>1.3807955252472311E-2</v>
      </c>
      <c r="V50" s="8">
        <f t="shared" si="64"/>
        <v>0.49425003152404678</v>
      </c>
      <c r="W50" s="8">
        <f t="shared" si="64"/>
        <v>0.50444151753099864</v>
      </c>
      <c r="X50" s="8">
        <f t="shared" si="64"/>
        <v>0.48398979554395194</v>
      </c>
      <c r="Y50" s="8">
        <f t="shared" si="64"/>
        <v>0.50278202304849406</v>
      </c>
      <c r="Z50" s="8">
        <f t="shared" si="64"/>
        <v>0.48645611983799608</v>
      </c>
      <c r="AA50" s="8">
        <f t="shared" si="64"/>
        <v>0.46416011786001038</v>
      </c>
      <c r="AB50" s="8">
        <f t="shared" si="64"/>
        <v>0.48817419682483887</v>
      </c>
      <c r="AC50" s="8">
        <f t="shared" ref="AC50:AE50" si="65">-AC26/1000</f>
        <v>0.4753369023083942</v>
      </c>
      <c r="AD50" s="8">
        <f t="shared" si="65"/>
        <v>0.46373644052469171</v>
      </c>
      <c r="AE50" s="8">
        <f t="shared" si="65"/>
        <v>0.47591255521657877</v>
      </c>
    </row>
    <row r="51" spans="2:31" x14ac:dyDescent="0.3">
      <c r="B51" s="2" t="s">
        <v>21</v>
      </c>
      <c r="C51" s="8">
        <f t="shared" ref="C51" si="66">((C13-C20)+(C15-C22))/1000</f>
        <v>0</v>
      </c>
      <c r="D51" s="8">
        <f t="shared" ref="D51:AB51" si="67">((D13-D20)+(D15-D22))/1000</f>
        <v>0</v>
      </c>
      <c r="E51" s="8">
        <f t="shared" si="67"/>
        <v>0</v>
      </c>
      <c r="F51" s="8">
        <f t="shared" si="67"/>
        <v>0</v>
      </c>
      <c r="G51" s="8">
        <f t="shared" si="67"/>
        <v>0</v>
      </c>
      <c r="H51" s="8">
        <f t="shared" si="67"/>
        <v>0</v>
      </c>
      <c r="I51" s="8">
        <f t="shared" si="67"/>
        <v>0</v>
      </c>
      <c r="J51" s="8">
        <f t="shared" si="67"/>
        <v>0</v>
      </c>
      <c r="K51" s="8">
        <f t="shared" si="67"/>
        <v>0</v>
      </c>
      <c r="L51" s="8">
        <f t="shared" si="67"/>
        <v>0</v>
      </c>
      <c r="M51" s="8">
        <f t="shared" si="67"/>
        <v>0</v>
      </c>
      <c r="N51" s="8">
        <f t="shared" si="67"/>
        <v>0</v>
      </c>
      <c r="O51" s="8">
        <f t="shared" si="67"/>
        <v>0</v>
      </c>
      <c r="P51" s="8">
        <f t="shared" si="67"/>
        <v>0</v>
      </c>
      <c r="Q51" s="8">
        <f t="shared" si="67"/>
        <v>0</v>
      </c>
      <c r="R51" s="8">
        <f t="shared" si="67"/>
        <v>0</v>
      </c>
      <c r="S51" s="8">
        <f t="shared" si="67"/>
        <v>0</v>
      </c>
      <c r="T51" s="8">
        <f t="shared" si="67"/>
        <v>0</v>
      </c>
      <c r="U51" s="8">
        <f t="shared" si="67"/>
        <v>0</v>
      </c>
      <c r="V51" s="8">
        <f t="shared" si="67"/>
        <v>0</v>
      </c>
      <c r="W51" s="8">
        <f t="shared" si="67"/>
        <v>0</v>
      </c>
      <c r="X51" s="8">
        <f t="shared" si="67"/>
        <v>0</v>
      </c>
      <c r="Y51" s="8">
        <f t="shared" si="67"/>
        <v>0</v>
      </c>
      <c r="Z51" s="8">
        <f t="shared" si="67"/>
        <v>0</v>
      </c>
      <c r="AA51" s="8">
        <f t="shared" si="67"/>
        <v>0</v>
      </c>
      <c r="AB51" s="8">
        <f t="shared" si="67"/>
        <v>0</v>
      </c>
      <c r="AC51" s="8">
        <f t="shared" ref="AC51:AE51" si="68">((AC13-AC20)+(AC15-AC22))/1000</f>
        <v>0</v>
      </c>
      <c r="AD51" s="8">
        <f t="shared" si="68"/>
        <v>0</v>
      </c>
      <c r="AE51" s="8">
        <f t="shared" si="68"/>
        <v>0</v>
      </c>
    </row>
    <row r="53" spans="2:31" x14ac:dyDescent="0.3">
      <c r="J53" s="20"/>
    </row>
    <row r="56" spans="2:31" x14ac:dyDescent="0.3">
      <c r="J56" s="2" t="s">
        <v>36</v>
      </c>
      <c r="M56" s="21" t="b">
        <v>1</v>
      </c>
      <c r="N56" s="2">
        <f>IF(M56,1,0)</f>
        <v>1</v>
      </c>
    </row>
    <row r="57" spans="2:31" x14ac:dyDescent="0.3">
      <c r="I57" s="8">
        <f t="shared" ref="I57" si="69">((I22-I29)+(I24-I31))/1000</f>
        <v>57.976999999999997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AF56"/>
  <sheetViews>
    <sheetView showGridLines="0" zoomScaleNormal="100" workbookViewId="0"/>
  </sheetViews>
  <sheetFormatPr defaultRowHeight="14" x14ac:dyDescent="0.3"/>
  <cols>
    <col min="1" max="1" width="8.7265625" style="2"/>
    <col min="2" max="2" width="40.26953125" style="2" customWidth="1"/>
    <col min="3" max="3" width="11" style="2" customWidth="1"/>
    <col min="4" max="27" width="11.453125" style="2" customWidth="1"/>
    <col min="28" max="30" width="9.81640625" style="2" bestFit="1" customWidth="1"/>
    <col min="31" max="16384" width="8.7265625" style="2"/>
  </cols>
  <sheetData>
    <row r="1" spans="1:32" x14ac:dyDescent="0.3">
      <c r="A1" s="3"/>
    </row>
    <row r="2" spans="1:32" x14ac:dyDescent="0.3">
      <c r="B2" s="21" t="s">
        <v>38</v>
      </c>
      <c r="C2" s="8">
        <f>'Retail Sales'!I4</f>
        <v>3981653.9279999998</v>
      </c>
    </row>
    <row r="3" spans="1:32" x14ac:dyDescent="0.3">
      <c r="B3" s="21" t="s">
        <v>39</v>
      </c>
      <c r="C3" s="8">
        <f>'Retail Sales'!J4</f>
        <v>4221297.9519999996</v>
      </c>
    </row>
    <row r="5" spans="1:32" x14ac:dyDescent="0.3">
      <c r="G5" s="25">
        <f>G11*0.2</f>
        <v>0</v>
      </c>
    </row>
    <row r="6" spans="1:32" x14ac:dyDescent="0.3">
      <c r="B6" s="11" t="s">
        <v>2</v>
      </c>
      <c r="C6" s="10">
        <v>2018</v>
      </c>
      <c r="D6" s="10">
        <f t="shared" ref="D6:AA6" si="0">C6+1</f>
        <v>2019</v>
      </c>
      <c r="E6" s="10">
        <f t="shared" si="0"/>
        <v>2020</v>
      </c>
      <c r="F6" s="10">
        <f t="shared" si="0"/>
        <v>2021</v>
      </c>
      <c r="G6" s="10">
        <f t="shared" si="0"/>
        <v>2022</v>
      </c>
      <c r="H6" s="10">
        <f t="shared" si="0"/>
        <v>2023</v>
      </c>
      <c r="I6" s="10">
        <f t="shared" si="0"/>
        <v>2024</v>
      </c>
      <c r="J6" s="10">
        <f t="shared" si="0"/>
        <v>2025</v>
      </c>
      <c r="K6" s="10">
        <f t="shared" si="0"/>
        <v>2026</v>
      </c>
      <c r="L6" s="10">
        <f t="shared" si="0"/>
        <v>2027</v>
      </c>
      <c r="M6" s="10">
        <f t="shared" si="0"/>
        <v>2028</v>
      </c>
      <c r="N6" s="10">
        <f t="shared" si="0"/>
        <v>2029</v>
      </c>
      <c r="O6" s="10">
        <f t="shared" si="0"/>
        <v>2030</v>
      </c>
      <c r="P6" s="10">
        <f t="shared" si="0"/>
        <v>2031</v>
      </c>
      <c r="Q6" s="10">
        <f t="shared" si="0"/>
        <v>2032</v>
      </c>
      <c r="R6" s="10">
        <f t="shared" si="0"/>
        <v>2033</v>
      </c>
      <c r="S6" s="10">
        <f t="shared" si="0"/>
        <v>2034</v>
      </c>
      <c r="T6" s="10">
        <f t="shared" si="0"/>
        <v>2035</v>
      </c>
      <c r="U6" s="10">
        <f t="shared" si="0"/>
        <v>2036</v>
      </c>
      <c r="V6" s="10">
        <f t="shared" si="0"/>
        <v>2037</v>
      </c>
      <c r="W6" s="10">
        <f t="shared" si="0"/>
        <v>2038</v>
      </c>
      <c r="X6" s="10">
        <f t="shared" si="0"/>
        <v>2039</v>
      </c>
      <c r="Y6" s="10">
        <f t="shared" si="0"/>
        <v>2040</v>
      </c>
      <c r="Z6" s="10">
        <f t="shared" si="0"/>
        <v>2041</v>
      </c>
      <c r="AA6" s="10">
        <f t="shared" si="0"/>
        <v>2042</v>
      </c>
      <c r="AB6" s="10">
        <f t="shared" ref="AB6" si="1">AA6+1</f>
        <v>2043</v>
      </c>
      <c r="AC6" s="10">
        <f t="shared" ref="AC6" si="2">AB6+1</f>
        <v>2044</v>
      </c>
      <c r="AD6" s="10">
        <v>2045</v>
      </c>
    </row>
    <row r="7" spans="1:32" x14ac:dyDescent="0.3">
      <c r="A7" s="2" t="s">
        <v>78</v>
      </c>
      <c r="B7" s="2" t="s">
        <v>32</v>
      </c>
      <c r="C7" s="8">
        <f>'Retail Sales'!K4</f>
        <v>3949115.5449999999</v>
      </c>
      <c r="D7" s="8">
        <f>'Retail Sales'!L4</f>
        <v>4144589.8369999998</v>
      </c>
      <c r="E7" s="8">
        <f>'Retail Sales'!M4</f>
        <v>4065151.3369999998</v>
      </c>
      <c r="F7" s="8">
        <f>'Retail Sales'!N4</f>
        <v>4198960.8439999996</v>
      </c>
      <c r="G7" s="8">
        <f>'Retail Sales'!O4</f>
        <v>4181079.2790000001</v>
      </c>
      <c r="H7" s="8">
        <f>'Retail Sales'!P4</f>
        <v>4132188.1305148057</v>
      </c>
      <c r="I7" s="8">
        <f>'Retail Sales'!Q4</f>
        <v>4073599.2600332648</v>
      </c>
      <c r="J7" s="8">
        <f>'Retail Sales'!R4</f>
        <v>4085409.4639083464</v>
      </c>
      <c r="K7" s="8">
        <f>'Retail Sales'!S4</f>
        <v>4081065.5964874574</v>
      </c>
      <c r="L7" s="8">
        <f>'Retail Sales'!T4</f>
        <v>4216512.7274765717</v>
      </c>
      <c r="M7" s="8">
        <f>'Retail Sales'!U4</f>
        <v>4353735.6593244243</v>
      </c>
      <c r="N7" s="8">
        <f>'Retail Sales'!V4</f>
        <v>4321802.4846412856</v>
      </c>
      <c r="O7" s="8">
        <f>'Retail Sales'!W4</f>
        <v>4301258.3245911673</v>
      </c>
      <c r="P7" s="8">
        <f>'Retail Sales'!X4</f>
        <v>4275545.7055316865</v>
      </c>
      <c r="Q7" s="8">
        <f>'Retail Sales'!Y4</f>
        <v>4259294.6658705128</v>
      </c>
      <c r="R7" s="8">
        <f>'Retail Sales'!Z4</f>
        <v>4222598.5718206493</v>
      </c>
      <c r="S7" s="8">
        <f>'Retail Sales'!AA4</f>
        <v>4200441.7619505227</v>
      </c>
      <c r="T7" s="8">
        <f>'Retail Sales'!AB4</f>
        <v>4187365.3439584668</v>
      </c>
      <c r="U7" s="8">
        <f>'Retail Sales'!AC4</f>
        <v>4198062.6938743144</v>
      </c>
      <c r="V7" s="8">
        <f>'Retail Sales'!AD4</f>
        <v>4193830.8966573761</v>
      </c>
      <c r="W7" s="8">
        <f>'Retail Sales'!AE4</f>
        <v>4209226.7491549291</v>
      </c>
      <c r="X7" s="8">
        <f>'Retail Sales'!AF4</f>
        <v>4229179.8536066487</v>
      </c>
      <c r="Y7" s="8">
        <f>'Retail Sales'!AG4</f>
        <v>4268150.9120296678</v>
      </c>
      <c r="Z7" s="8">
        <f>'Retail Sales'!AH4</f>
        <v>4281705.8521556221</v>
      </c>
      <c r="AA7" s="8">
        <f>'Retail Sales'!AI4</f>
        <v>4315209.8671130314</v>
      </c>
      <c r="AB7" s="8">
        <f>'Retail Sales'!AJ4</f>
        <v>4344139.6795650152</v>
      </c>
      <c r="AC7" s="8">
        <f>'Retail Sales'!AK4</f>
        <v>4391159.2617252395</v>
      </c>
      <c r="AD7" s="8">
        <f>'Retail Sales'!AL4</f>
        <v>4421036.514029311</v>
      </c>
    </row>
    <row r="8" spans="1:32" x14ac:dyDescent="0.3">
      <c r="A8" s="2" t="s">
        <v>77</v>
      </c>
      <c r="B8" s="2" t="s">
        <v>0</v>
      </c>
      <c r="C8" s="12">
        <f>Targets!D4</f>
        <v>0.09</v>
      </c>
      <c r="D8" s="12">
        <f>Targets!E4</f>
        <v>0.09</v>
      </c>
      <c r="E8" s="12">
        <f>Targets!F4</f>
        <v>0.15</v>
      </c>
      <c r="F8" s="12">
        <f>Targets!G4</f>
        <v>0.15</v>
      </c>
      <c r="G8" s="12">
        <f>Targets!H4</f>
        <v>0.15</v>
      </c>
      <c r="H8" s="12">
        <f>Targets!I4</f>
        <v>0.15</v>
      </c>
      <c r="I8" s="12">
        <f>Targets!J4</f>
        <v>0.15</v>
      </c>
      <c r="J8" s="12">
        <f>Targets!K4</f>
        <v>0.15</v>
      </c>
      <c r="K8" s="12">
        <f>Targets!L4</f>
        <v>0.15</v>
      </c>
      <c r="L8" s="12">
        <f>Targets!M4</f>
        <v>0.15</v>
      </c>
      <c r="M8" s="12">
        <f>Targets!N4</f>
        <v>0.15</v>
      </c>
      <c r="N8" s="12">
        <f>Targets!O4</f>
        <v>0.15</v>
      </c>
      <c r="O8" s="12">
        <f>Targets!P4</f>
        <v>0.15</v>
      </c>
      <c r="P8" s="12">
        <f>Targets!Q4</f>
        <v>0.15</v>
      </c>
      <c r="Q8" s="12">
        <f>Targets!R4</f>
        <v>0.15</v>
      </c>
      <c r="R8" s="12">
        <f>Targets!S4</f>
        <v>0.15</v>
      </c>
      <c r="S8" s="12">
        <f>Targets!T4</f>
        <v>0.15</v>
      </c>
      <c r="T8" s="12">
        <f>Targets!U4</f>
        <v>0.15</v>
      </c>
      <c r="U8" s="12">
        <f>Targets!V4</f>
        <v>0.15</v>
      </c>
      <c r="V8" s="12">
        <f>Targets!W4</f>
        <v>0.15</v>
      </c>
      <c r="W8" s="12">
        <f>Targets!X4</f>
        <v>0.15</v>
      </c>
      <c r="X8" s="12">
        <f>Targets!Y4</f>
        <v>0.15</v>
      </c>
      <c r="Y8" s="12">
        <f>Targets!Z4</f>
        <v>0.15</v>
      </c>
      <c r="Z8" s="12">
        <f>Targets!AA4</f>
        <v>0.15</v>
      </c>
      <c r="AA8" s="12">
        <f>Targets!AB4</f>
        <v>0.15</v>
      </c>
      <c r="AB8" s="12">
        <f>Targets!AC4</f>
        <v>0.15</v>
      </c>
      <c r="AC8" s="12">
        <f>Targets!AD4</f>
        <v>0.15</v>
      </c>
      <c r="AD8" s="12">
        <f>Targets!AE4</f>
        <v>0.15</v>
      </c>
      <c r="AE8" s="12"/>
      <c r="AF8" s="12"/>
    </row>
    <row r="9" spans="1:32" x14ac:dyDescent="0.3">
      <c r="B9" s="2" t="s">
        <v>1</v>
      </c>
      <c r="C9" s="8">
        <f>AVERAGE(C2:C3)*C8</f>
        <v>369132.83459999994</v>
      </c>
      <c r="D9" s="8">
        <f>AVERAGE(C3,C7)*D8</f>
        <v>367668.60736499995</v>
      </c>
      <c r="E9" s="8">
        <f>AVERAGE(C7:D7)*E8</f>
        <v>607027.90364999988</v>
      </c>
      <c r="F9" s="8">
        <f t="shared" ref="F9:AA9" si="3">AVERAGE(D7:E7)*F8</f>
        <v>615730.5880499999</v>
      </c>
      <c r="G9" s="8">
        <f t="shared" si="3"/>
        <v>619808.41357500001</v>
      </c>
      <c r="H9" s="8">
        <f t="shared" si="3"/>
        <v>628503.00922499993</v>
      </c>
      <c r="I9" s="8">
        <f t="shared" si="3"/>
        <v>623495.05571361037</v>
      </c>
      <c r="J9" s="8">
        <f t="shared" si="3"/>
        <v>615434.05429110525</v>
      </c>
      <c r="K9" s="8">
        <f t="shared" si="3"/>
        <v>611925.65429562086</v>
      </c>
      <c r="L9" s="8">
        <f t="shared" si="3"/>
        <v>612485.62952968525</v>
      </c>
      <c r="M9" s="8">
        <f t="shared" si="3"/>
        <v>622318.37429730222</v>
      </c>
      <c r="N9" s="8">
        <f t="shared" si="3"/>
        <v>642768.62901007477</v>
      </c>
      <c r="O9" s="8">
        <f t="shared" si="3"/>
        <v>650665.36079742818</v>
      </c>
      <c r="P9" s="8">
        <f t="shared" si="3"/>
        <v>646729.56069243397</v>
      </c>
      <c r="Q9" s="8">
        <f t="shared" si="3"/>
        <v>643260.30225921399</v>
      </c>
      <c r="R9" s="8">
        <f t="shared" si="3"/>
        <v>640113.02785516495</v>
      </c>
      <c r="S9" s="8">
        <f t="shared" si="3"/>
        <v>636141.99282683711</v>
      </c>
      <c r="T9" s="8">
        <f t="shared" si="3"/>
        <v>631728.02503283799</v>
      </c>
      <c r="U9" s="8">
        <f t="shared" si="3"/>
        <v>629085.53294317424</v>
      </c>
      <c r="V9" s="8">
        <f t="shared" si="3"/>
        <v>628907.1028374586</v>
      </c>
      <c r="W9" s="8">
        <f t="shared" si="3"/>
        <v>629392.01928987668</v>
      </c>
      <c r="X9" s="8">
        <f t="shared" si="3"/>
        <v>630229.32343592285</v>
      </c>
      <c r="Y9" s="8">
        <f t="shared" si="3"/>
        <v>632880.49520711834</v>
      </c>
      <c r="Z9" s="8">
        <f t="shared" si="3"/>
        <v>637299.80742272374</v>
      </c>
      <c r="AA9" s="8">
        <f t="shared" si="3"/>
        <v>641239.25731389679</v>
      </c>
      <c r="AB9" s="8">
        <f t="shared" ref="AB9" si="4">AVERAGE(Z7:AA7)*AB8</f>
        <v>644768.67894514895</v>
      </c>
      <c r="AC9" s="8">
        <f t="shared" ref="AC9" si="5">AVERAGE(AA7:AB7)*AC8</f>
        <v>649451.21600085357</v>
      </c>
      <c r="AD9" s="8">
        <f t="shared" ref="AD9" si="6">AVERAGE(AB7:AC7)*AD8</f>
        <v>655147.4205967692</v>
      </c>
    </row>
    <row r="10" spans="1:32" x14ac:dyDescent="0.3">
      <c r="C10" s="8"/>
      <c r="D10" s="8"/>
      <c r="E10" s="8"/>
    </row>
    <row r="11" spans="1:32" x14ac:dyDescent="0.3">
      <c r="G11" s="14"/>
      <c r="H11" s="14"/>
      <c r="I11" s="14"/>
      <c r="J11" s="14"/>
      <c r="K11" s="14"/>
      <c r="L11" s="14"/>
      <c r="M11" s="14"/>
      <c r="N11" s="14"/>
      <c r="O11" s="14"/>
    </row>
    <row r="12" spans="1:32" x14ac:dyDescent="0.3">
      <c r="B12" s="11" t="s">
        <v>3</v>
      </c>
      <c r="C12" s="10">
        <f>C$6</f>
        <v>2018</v>
      </c>
      <c r="D12" s="10">
        <f t="shared" ref="D12:AA12" si="7">C12+1</f>
        <v>2019</v>
      </c>
      <c r="E12" s="10">
        <f t="shared" si="7"/>
        <v>2020</v>
      </c>
      <c r="F12" s="10">
        <f t="shared" si="7"/>
        <v>2021</v>
      </c>
      <c r="G12" s="10">
        <f t="shared" si="7"/>
        <v>2022</v>
      </c>
      <c r="H12" s="10">
        <f t="shared" si="7"/>
        <v>2023</v>
      </c>
      <c r="I12" s="10">
        <f t="shared" si="7"/>
        <v>2024</v>
      </c>
      <c r="J12" s="10">
        <f t="shared" si="7"/>
        <v>2025</v>
      </c>
      <c r="K12" s="10">
        <f t="shared" si="7"/>
        <v>2026</v>
      </c>
      <c r="L12" s="10">
        <f t="shared" si="7"/>
        <v>2027</v>
      </c>
      <c r="M12" s="10">
        <f t="shared" si="7"/>
        <v>2028</v>
      </c>
      <c r="N12" s="10">
        <f t="shared" si="7"/>
        <v>2029</v>
      </c>
      <c r="O12" s="10">
        <f t="shared" si="7"/>
        <v>2030</v>
      </c>
      <c r="P12" s="10">
        <f t="shared" si="7"/>
        <v>2031</v>
      </c>
      <c r="Q12" s="10">
        <f t="shared" si="7"/>
        <v>2032</v>
      </c>
      <c r="R12" s="10">
        <f t="shared" si="7"/>
        <v>2033</v>
      </c>
      <c r="S12" s="10">
        <f t="shared" si="7"/>
        <v>2034</v>
      </c>
      <c r="T12" s="10">
        <f t="shared" si="7"/>
        <v>2035</v>
      </c>
      <c r="U12" s="10">
        <f t="shared" si="7"/>
        <v>2036</v>
      </c>
      <c r="V12" s="10">
        <f t="shared" si="7"/>
        <v>2037</v>
      </c>
      <c r="W12" s="10">
        <f t="shared" si="7"/>
        <v>2038</v>
      </c>
      <c r="X12" s="10">
        <f t="shared" si="7"/>
        <v>2039</v>
      </c>
      <c r="Y12" s="10">
        <f t="shared" si="7"/>
        <v>2040</v>
      </c>
      <c r="Z12" s="10">
        <f t="shared" si="7"/>
        <v>2041</v>
      </c>
      <c r="AA12" s="10">
        <f t="shared" si="7"/>
        <v>2042</v>
      </c>
      <c r="AB12" s="10">
        <f t="shared" ref="AB12" si="8">AA12+1</f>
        <v>2043</v>
      </c>
      <c r="AC12" s="10">
        <f t="shared" ref="AC12" si="9">AB12+1</f>
        <v>2044</v>
      </c>
      <c r="AD12" s="10">
        <v>2045</v>
      </c>
    </row>
    <row r="13" spans="1:32" x14ac:dyDescent="0.3">
      <c r="B13" s="2" t="s">
        <v>5</v>
      </c>
      <c r="C13" s="9">
        <v>0</v>
      </c>
      <c r="D13" s="9">
        <v>0</v>
      </c>
      <c r="E13" s="8">
        <f t="shared" ref="E13:AA14" si="10">D15-D22</f>
        <v>0</v>
      </c>
      <c r="F13" s="8">
        <f t="shared" si="10"/>
        <v>0</v>
      </c>
      <c r="G13" s="8">
        <f t="shared" si="10"/>
        <v>0</v>
      </c>
      <c r="H13" s="8">
        <f t="shared" si="10"/>
        <v>0</v>
      </c>
      <c r="I13" s="8">
        <f t="shared" si="10"/>
        <v>0</v>
      </c>
      <c r="J13" s="8">
        <f t="shared" si="10"/>
        <v>92224.910170489879</v>
      </c>
      <c r="K13" s="8">
        <f t="shared" si="10"/>
        <v>84969.816605979999</v>
      </c>
      <c r="L13" s="8">
        <f t="shared" si="10"/>
        <v>83144.243572299965</v>
      </c>
      <c r="M13" s="8">
        <f t="shared" si="10"/>
        <v>79124.103677740044</v>
      </c>
      <c r="N13" s="8">
        <f t="shared" si="10"/>
        <v>59496.868546640027</v>
      </c>
      <c r="O13" s="8">
        <f t="shared" si="10"/>
        <v>55916.969178979984</v>
      </c>
      <c r="P13" s="8">
        <f t="shared" si="10"/>
        <v>75337.900740631609</v>
      </c>
      <c r="Q13" s="8">
        <f t="shared" si="10"/>
        <v>74750.786173886459</v>
      </c>
      <c r="R13" s="8">
        <f t="shared" si="10"/>
        <v>74146.70116923048</v>
      </c>
      <c r="S13" s="8">
        <f t="shared" si="10"/>
        <v>73455.635977720813</v>
      </c>
      <c r="T13" s="8">
        <f t="shared" si="10"/>
        <v>72939.292344561763</v>
      </c>
      <c r="U13" s="8">
        <f t="shared" si="10"/>
        <v>72261.162270420347</v>
      </c>
      <c r="V13" s="8">
        <f t="shared" si="10"/>
        <v>32535.788297706142</v>
      </c>
      <c r="W13" s="8">
        <f t="shared" si="10"/>
        <v>0</v>
      </c>
      <c r="X13" s="8">
        <f t="shared" si="10"/>
        <v>0</v>
      </c>
      <c r="Y13" s="8">
        <f t="shared" si="10"/>
        <v>0</v>
      </c>
      <c r="Z13" s="8">
        <f t="shared" si="10"/>
        <v>0</v>
      </c>
      <c r="AA13" s="8">
        <f t="shared" si="10"/>
        <v>0</v>
      </c>
      <c r="AB13" s="8">
        <f t="shared" ref="AB13:AB14" si="11">AA15-AA22</f>
        <v>0</v>
      </c>
      <c r="AC13" s="8">
        <f t="shared" ref="AC13:AC14" si="12">AB15-AB22</f>
        <v>0</v>
      </c>
      <c r="AD13" s="8">
        <f t="shared" ref="AD13:AD14" si="13">AC15-AC22</f>
        <v>0</v>
      </c>
    </row>
    <row r="14" spans="1:32" x14ac:dyDescent="0.3">
      <c r="B14" s="2" t="s">
        <v>6</v>
      </c>
      <c r="C14" s="9">
        <v>0</v>
      </c>
      <c r="D14" s="9">
        <v>0</v>
      </c>
      <c r="E14" s="8">
        <f t="shared" si="10"/>
        <v>0</v>
      </c>
      <c r="F14" s="8">
        <f t="shared" si="10"/>
        <v>0</v>
      </c>
      <c r="G14" s="8">
        <f t="shared" si="10"/>
        <v>161475.4119500001</v>
      </c>
      <c r="H14" s="8">
        <f t="shared" si="10"/>
        <v>428928.96574505756</v>
      </c>
      <c r="I14" s="8">
        <f t="shared" si="10"/>
        <v>650907.40129488683</v>
      </c>
      <c r="J14" s="8">
        <f t="shared" si="10"/>
        <v>796891.33542026603</v>
      </c>
      <c r="K14" s="8">
        <f t="shared" si="10"/>
        <v>944366.94843858469</v>
      </c>
      <c r="L14" s="8">
        <f t="shared" si="10"/>
        <v>984896.17383739795</v>
      </c>
      <c r="M14" s="8">
        <f t="shared" si="10"/>
        <v>1003660.4725032493</v>
      </c>
      <c r="N14" s="8">
        <f t="shared" si="10"/>
        <v>1091740.1859921571</v>
      </c>
      <c r="O14" s="8">
        <f t="shared" si="10"/>
        <v>1266712.4769903685</v>
      </c>
      <c r="P14" s="8">
        <f t="shared" si="10"/>
        <v>1399881.6022662856</v>
      </c>
      <c r="Q14" s="8">
        <f t="shared" si="10"/>
        <v>1467149.9388566473</v>
      </c>
      <c r="R14" s="8">
        <f t="shared" si="10"/>
        <v>1662128.3423898453</v>
      </c>
      <c r="S14" s="8">
        <f t="shared" si="10"/>
        <v>1683346.8895425771</v>
      </c>
      <c r="T14" s="8">
        <f t="shared" si="10"/>
        <v>1693334.0942279692</v>
      </c>
      <c r="U14" s="8">
        <f t="shared" si="10"/>
        <v>1680623.9882005397</v>
      </c>
      <c r="V14" s="8">
        <f t="shared" si="10"/>
        <v>2481593.5007759677</v>
      </c>
      <c r="W14" s="8">
        <f t="shared" si="10"/>
        <v>2505519.7435949193</v>
      </c>
      <c r="X14" s="8">
        <f t="shared" si="10"/>
        <v>2509665.1225423608</v>
      </c>
      <c r="Y14" s="8">
        <f t="shared" si="10"/>
        <v>2510138.8777651205</v>
      </c>
      <c r="Z14" s="8">
        <f t="shared" si="10"/>
        <v>2513899.2127466882</v>
      </c>
      <c r="AA14" s="8">
        <f t="shared" si="10"/>
        <v>2527200.4938387498</v>
      </c>
      <c r="AB14" s="8">
        <f t="shared" si="11"/>
        <v>2609559.040069235</v>
      </c>
      <c r="AC14" s="8">
        <f t="shared" si="12"/>
        <v>2704868.4548306949</v>
      </c>
      <c r="AD14" s="8">
        <f t="shared" si="13"/>
        <v>2700414.3944889666</v>
      </c>
    </row>
    <row r="15" spans="1:32" x14ac:dyDescent="0.3">
      <c r="B15" s="2" t="s">
        <v>7</v>
      </c>
      <c r="C15" s="8">
        <f>C34+C40</f>
        <v>83547</v>
      </c>
      <c r="D15" s="8">
        <f t="shared" ref="D15:AA15" si="14">D34+D40</f>
        <v>91888</v>
      </c>
      <c r="E15" s="8">
        <f t="shared" si="14"/>
        <v>99376</v>
      </c>
      <c r="F15" s="8">
        <f t="shared" si="14"/>
        <v>93809</v>
      </c>
      <c r="G15" s="8">
        <f t="shared" si="14"/>
        <v>91110.9065911621</v>
      </c>
      <c r="H15" s="8">
        <f t="shared" si="14"/>
        <v>93016.884669525869</v>
      </c>
      <c r="I15" s="8">
        <f t="shared" si="14"/>
        <v>92224.910170489879</v>
      </c>
      <c r="J15" s="8">
        <f t="shared" si="14"/>
        <v>84969.816605979999</v>
      </c>
      <c r="K15" s="8">
        <f t="shared" si="14"/>
        <v>83144.243572299965</v>
      </c>
      <c r="L15" s="8">
        <f t="shared" si="14"/>
        <v>79124.103677740044</v>
      </c>
      <c r="M15" s="8">
        <f t="shared" si="14"/>
        <v>59496.868546640027</v>
      </c>
      <c r="N15" s="8">
        <f t="shared" si="14"/>
        <v>55916.969178979984</v>
      </c>
      <c r="O15" s="8">
        <f t="shared" si="14"/>
        <v>75337.900740631609</v>
      </c>
      <c r="P15" s="8">
        <f t="shared" si="14"/>
        <v>74750.786173886459</v>
      </c>
      <c r="Q15" s="8">
        <f t="shared" si="14"/>
        <v>74146.70116923048</v>
      </c>
      <c r="R15" s="8">
        <f t="shared" si="14"/>
        <v>73455.635977720813</v>
      </c>
      <c r="S15" s="8">
        <f t="shared" si="14"/>
        <v>72939.292344561763</v>
      </c>
      <c r="T15" s="8">
        <f t="shared" si="14"/>
        <v>72261.162270420347</v>
      </c>
      <c r="U15" s="8">
        <f t="shared" si="14"/>
        <v>32535.788297706142</v>
      </c>
      <c r="V15" s="8">
        <f t="shared" si="14"/>
        <v>0</v>
      </c>
      <c r="W15" s="8">
        <f t="shared" si="14"/>
        <v>0</v>
      </c>
      <c r="X15" s="8">
        <f t="shared" si="14"/>
        <v>0</v>
      </c>
      <c r="Y15" s="8">
        <f t="shared" si="14"/>
        <v>0</v>
      </c>
      <c r="Z15" s="8">
        <f t="shared" si="14"/>
        <v>0</v>
      </c>
      <c r="AA15" s="8">
        <f t="shared" si="14"/>
        <v>0</v>
      </c>
      <c r="AB15" s="8">
        <f t="shared" ref="AB15:AD15" si="15">AB34+AB40</f>
        <v>0</v>
      </c>
      <c r="AC15" s="8">
        <f t="shared" si="15"/>
        <v>0</v>
      </c>
      <c r="AD15" s="8">
        <f t="shared" si="15"/>
        <v>0</v>
      </c>
    </row>
    <row r="16" spans="1:32" x14ac:dyDescent="0.3">
      <c r="B16" s="2" t="s">
        <v>8</v>
      </c>
      <c r="C16" s="8">
        <f>C39+C35+C30</f>
        <v>209666</v>
      </c>
      <c r="D16" s="8">
        <f>D39+D35+D30</f>
        <v>206909</v>
      </c>
      <c r="E16" s="8">
        <f t="shared" ref="E16:AA16" si="16">E39+E35+E30</f>
        <v>460806</v>
      </c>
      <c r="F16" s="8">
        <f t="shared" si="16"/>
        <v>683397</v>
      </c>
      <c r="G16" s="8">
        <f t="shared" si="16"/>
        <v>796151.06077889539</v>
      </c>
      <c r="H16" s="8">
        <f t="shared" si="16"/>
        <v>757464.5601053033</v>
      </c>
      <c r="I16" s="8">
        <f t="shared" si="16"/>
        <v>796891.33542026603</v>
      </c>
      <c r="J16" s="8">
        <f t="shared" si="16"/>
        <v>944366.94843858469</v>
      </c>
      <c r="K16" s="8">
        <f t="shared" si="16"/>
        <v>984896.17383739795</v>
      </c>
      <c r="L16" s="8">
        <f t="shared" si="16"/>
        <v>1003660.4725032493</v>
      </c>
      <c r="M16" s="8">
        <f t="shared" si="16"/>
        <v>1091740.1859921571</v>
      </c>
      <c r="N16" s="8">
        <f t="shared" si="16"/>
        <v>1266712.4769903685</v>
      </c>
      <c r="O16" s="8">
        <f t="shared" si="16"/>
        <v>1399881.6022662856</v>
      </c>
      <c r="P16" s="8">
        <f t="shared" si="16"/>
        <v>1467149.9388566473</v>
      </c>
      <c r="Q16" s="8">
        <f t="shared" si="16"/>
        <v>1662128.3423898453</v>
      </c>
      <c r="R16" s="8">
        <f t="shared" si="16"/>
        <v>1683346.8895425771</v>
      </c>
      <c r="S16" s="8">
        <f t="shared" si="16"/>
        <v>1693334.0942279692</v>
      </c>
      <c r="T16" s="8">
        <f t="shared" si="16"/>
        <v>1680623.9882005397</v>
      </c>
      <c r="U16" s="8">
        <f t="shared" si="16"/>
        <v>2481593.5007759677</v>
      </c>
      <c r="V16" s="8">
        <f t="shared" si="16"/>
        <v>2505519.7435949193</v>
      </c>
      <c r="W16" s="8">
        <f t="shared" si="16"/>
        <v>2509665.1225423608</v>
      </c>
      <c r="X16" s="8">
        <f t="shared" si="16"/>
        <v>2510138.8777651205</v>
      </c>
      <c r="Y16" s="8">
        <f t="shared" si="16"/>
        <v>2513899.2127466882</v>
      </c>
      <c r="Z16" s="8">
        <f t="shared" si="16"/>
        <v>2527200.4938387498</v>
      </c>
      <c r="AA16" s="8">
        <f t="shared" si="16"/>
        <v>2609559.040069235</v>
      </c>
      <c r="AB16" s="8">
        <f t="shared" ref="AB16:AD16" si="17">AB39+AB35+AB30</f>
        <v>2704868.4548306949</v>
      </c>
      <c r="AC16" s="8">
        <f t="shared" si="17"/>
        <v>2700414.3944889666</v>
      </c>
      <c r="AD16" s="8">
        <f t="shared" si="17"/>
        <v>2691844.7713370752</v>
      </c>
    </row>
    <row r="19" spans="1:30" x14ac:dyDescent="0.3">
      <c r="B19" s="11" t="s">
        <v>4</v>
      </c>
      <c r="C19" s="10">
        <f>C$6</f>
        <v>2018</v>
      </c>
      <c r="D19" s="10">
        <f t="shared" ref="D19:AA19" si="18">C19+1</f>
        <v>2019</v>
      </c>
      <c r="E19" s="10">
        <f t="shared" si="18"/>
        <v>2020</v>
      </c>
      <c r="F19" s="10">
        <f t="shared" si="18"/>
        <v>2021</v>
      </c>
      <c r="G19" s="10">
        <f t="shared" si="18"/>
        <v>2022</v>
      </c>
      <c r="H19" s="10">
        <f t="shared" si="18"/>
        <v>2023</v>
      </c>
      <c r="I19" s="10">
        <f t="shared" si="18"/>
        <v>2024</v>
      </c>
      <c r="J19" s="10">
        <f t="shared" si="18"/>
        <v>2025</v>
      </c>
      <c r="K19" s="10">
        <f t="shared" si="18"/>
        <v>2026</v>
      </c>
      <c r="L19" s="10">
        <f t="shared" si="18"/>
        <v>2027</v>
      </c>
      <c r="M19" s="10">
        <f t="shared" si="18"/>
        <v>2028</v>
      </c>
      <c r="N19" s="10">
        <f t="shared" si="18"/>
        <v>2029</v>
      </c>
      <c r="O19" s="10">
        <f t="shared" si="18"/>
        <v>2030</v>
      </c>
      <c r="P19" s="10">
        <f t="shared" si="18"/>
        <v>2031</v>
      </c>
      <c r="Q19" s="10">
        <f t="shared" si="18"/>
        <v>2032</v>
      </c>
      <c r="R19" s="10">
        <f t="shared" si="18"/>
        <v>2033</v>
      </c>
      <c r="S19" s="10">
        <f t="shared" si="18"/>
        <v>2034</v>
      </c>
      <c r="T19" s="10">
        <f t="shared" si="18"/>
        <v>2035</v>
      </c>
      <c r="U19" s="10">
        <f t="shared" si="18"/>
        <v>2036</v>
      </c>
      <c r="V19" s="10">
        <f t="shared" si="18"/>
        <v>2037</v>
      </c>
      <c r="W19" s="10">
        <f t="shared" si="18"/>
        <v>2038</v>
      </c>
      <c r="X19" s="10">
        <f t="shared" si="18"/>
        <v>2039</v>
      </c>
      <c r="Y19" s="10">
        <f t="shared" si="18"/>
        <v>2040</v>
      </c>
      <c r="Z19" s="10">
        <f t="shared" si="18"/>
        <v>2041</v>
      </c>
      <c r="AA19" s="10">
        <f t="shared" si="18"/>
        <v>2042</v>
      </c>
      <c r="AB19" s="10">
        <f t="shared" ref="AB19" si="19">AA19+1</f>
        <v>2043</v>
      </c>
      <c r="AC19" s="10">
        <f t="shared" ref="AC19" si="20">AB19+1</f>
        <v>2044</v>
      </c>
      <c r="AD19" s="10">
        <v>2045</v>
      </c>
    </row>
    <row r="20" spans="1:30" x14ac:dyDescent="0.3">
      <c r="B20" s="2" t="s">
        <v>5</v>
      </c>
      <c r="C20" s="8">
        <f>MIN(C13,C$9)</f>
        <v>0</v>
      </c>
      <c r="D20" s="8">
        <f t="shared" ref="D20:AA20" si="21">MIN(D13,D$9)</f>
        <v>0</v>
      </c>
      <c r="E20" s="8">
        <f t="shared" si="21"/>
        <v>0</v>
      </c>
      <c r="F20" s="8">
        <f t="shared" si="21"/>
        <v>0</v>
      </c>
      <c r="G20" s="8">
        <f t="shared" si="21"/>
        <v>0</v>
      </c>
      <c r="H20" s="8">
        <f t="shared" si="21"/>
        <v>0</v>
      </c>
      <c r="I20" s="8">
        <f t="shared" si="21"/>
        <v>0</v>
      </c>
      <c r="J20" s="8">
        <f t="shared" si="21"/>
        <v>92224.910170489879</v>
      </c>
      <c r="K20" s="8">
        <f t="shared" si="21"/>
        <v>84969.816605979999</v>
      </c>
      <c r="L20" s="8">
        <f t="shared" si="21"/>
        <v>83144.243572299965</v>
      </c>
      <c r="M20" s="8">
        <f t="shared" si="21"/>
        <v>79124.103677740044</v>
      </c>
      <c r="N20" s="8">
        <f t="shared" si="21"/>
        <v>59496.868546640027</v>
      </c>
      <c r="O20" s="8">
        <f t="shared" si="21"/>
        <v>55916.969178979984</v>
      </c>
      <c r="P20" s="8">
        <f t="shared" si="21"/>
        <v>75337.900740631609</v>
      </c>
      <c r="Q20" s="8">
        <f t="shared" si="21"/>
        <v>74750.786173886459</v>
      </c>
      <c r="R20" s="8">
        <f t="shared" si="21"/>
        <v>74146.70116923048</v>
      </c>
      <c r="S20" s="8">
        <f t="shared" si="21"/>
        <v>73455.635977720813</v>
      </c>
      <c r="T20" s="8">
        <f t="shared" si="21"/>
        <v>72939.292344561763</v>
      </c>
      <c r="U20" s="8">
        <f t="shared" si="21"/>
        <v>72261.162270420347</v>
      </c>
      <c r="V20" s="8">
        <f t="shared" si="21"/>
        <v>32535.788297706142</v>
      </c>
      <c r="W20" s="8">
        <f t="shared" si="21"/>
        <v>0</v>
      </c>
      <c r="X20" s="8">
        <f t="shared" si="21"/>
        <v>0</v>
      </c>
      <c r="Y20" s="8">
        <f t="shared" si="21"/>
        <v>0</v>
      </c>
      <c r="Z20" s="8">
        <f t="shared" si="21"/>
        <v>0</v>
      </c>
      <c r="AA20" s="8">
        <f t="shared" si="21"/>
        <v>0</v>
      </c>
      <c r="AB20" s="8">
        <f t="shared" ref="AB20:AD20" si="22">MIN(AB13,AB$9)</f>
        <v>0</v>
      </c>
      <c r="AC20" s="8">
        <f t="shared" si="22"/>
        <v>0</v>
      </c>
      <c r="AD20" s="8">
        <f t="shared" si="22"/>
        <v>0</v>
      </c>
    </row>
    <row r="21" spans="1:30" x14ac:dyDescent="0.3">
      <c r="B21" s="2" t="s">
        <v>6</v>
      </c>
      <c r="C21" s="8">
        <f>MIN(C14,C$9-SUM(C$20:C20))</f>
        <v>0</v>
      </c>
      <c r="D21" s="8">
        <f>MIN(D14,D$9-SUM(D$20:D20))</f>
        <v>0</v>
      </c>
      <c r="E21" s="8">
        <f>MIN(E14,E$9-SUM(E$20:E20))</f>
        <v>0</v>
      </c>
      <c r="F21" s="8">
        <f>MIN(F14,F$9-SUM(F$20:F20))</f>
        <v>0</v>
      </c>
      <c r="G21" s="8">
        <f>MIN(G14,G$9-SUM(G$20:G20))</f>
        <v>161475.4119500001</v>
      </c>
      <c r="H21" s="8">
        <f>MIN(H14,H$9-SUM(H$20:H20))</f>
        <v>428928.96574505756</v>
      </c>
      <c r="I21" s="8">
        <f>MIN(I14,I$9-SUM(I$20:I20))</f>
        <v>623495.05571361037</v>
      </c>
      <c r="J21" s="8">
        <f>MIN(J14,J$9-SUM(J$20:J20))</f>
        <v>523209.14412061538</v>
      </c>
      <c r="K21" s="8">
        <f>MIN(K14,K$9-SUM(K$20:K20))</f>
        <v>526955.83768964082</v>
      </c>
      <c r="L21" s="8">
        <f>MIN(L14,L$9-SUM(L$20:L20))</f>
        <v>529341.3859573853</v>
      </c>
      <c r="M21" s="8">
        <f>MIN(M14,M$9-SUM(M$20:M20))</f>
        <v>543194.27061956213</v>
      </c>
      <c r="N21" s="8">
        <f>MIN(N14,N$9-SUM(N$20:N20))</f>
        <v>583271.76046343474</v>
      </c>
      <c r="O21" s="8">
        <f>MIN(O14,O$9-SUM(O$20:O20))</f>
        <v>594748.39161844819</v>
      </c>
      <c r="P21" s="8">
        <f>MIN(P14,P$9-SUM(P$20:P20))</f>
        <v>571391.65995180234</v>
      </c>
      <c r="Q21" s="8">
        <f>MIN(Q14,Q$9-SUM(Q$20:Q20))</f>
        <v>568509.51608532749</v>
      </c>
      <c r="R21" s="8">
        <f>MIN(R14,R$9-SUM(R$20:R20))</f>
        <v>565966.32668593444</v>
      </c>
      <c r="S21" s="8">
        <f>MIN(S14,S$9-SUM(S$20:S20))</f>
        <v>562686.35684911627</v>
      </c>
      <c r="T21" s="8">
        <f>MIN(T14,T$9-SUM(T$20:T20))</f>
        <v>558788.73268827621</v>
      </c>
      <c r="U21" s="8">
        <f>MIN(U14,U$9-SUM(U$20:U20))</f>
        <v>556824.3706727539</v>
      </c>
      <c r="V21" s="8">
        <f>MIN(V14,V$9-SUM(V$20:V20))</f>
        <v>596371.31453975243</v>
      </c>
      <c r="W21" s="8">
        <f>MIN(W14,W$9-SUM(W$20:W20))</f>
        <v>629392.01928987668</v>
      </c>
      <c r="X21" s="8">
        <f>MIN(X14,X$9-SUM(X$20:X20))</f>
        <v>630229.32343592285</v>
      </c>
      <c r="Y21" s="8">
        <f>MIN(Y14,Y$9-SUM(Y$20:Y20))</f>
        <v>632880.49520711834</v>
      </c>
      <c r="Z21" s="8">
        <f>MIN(Z14,Z$9-SUM(Z$20:Z20))</f>
        <v>637299.80742272374</v>
      </c>
      <c r="AA21" s="8">
        <f>MIN(AA14,AA$9-SUM(AA$20:AA20))</f>
        <v>641239.25731389679</v>
      </c>
      <c r="AB21" s="8">
        <f>MIN(AB14,AB$9-SUM(AB$20:AB20))</f>
        <v>644768.67894514895</v>
      </c>
      <c r="AC21" s="8">
        <f>MIN(AC14,AC$9-SUM(AC$20:AC20))</f>
        <v>649451.21600085357</v>
      </c>
      <c r="AD21" s="8">
        <f>MIN(AD14,AD$9-SUM(AD$20:AD20))</f>
        <v>655147.4205967692</v>
      </c>
    </row>
    <row r="22" spans="1:30" x14ac:dyDescent="0.3">
      <c r="B22" s="2" t="s">
        <v>7</v>
      </c>
      <c r="C22" s="8">
        <f>MIN(C15,C$9-SUM(C$20:C21))</f>
        <v>83547</v>
      </c>
      <c r="D22" s="8">
        <f>MIN(D15,D$9-SUM(D$20:D21))</f>
        <v>91888</v>
      </c>
      <c r="E22" s="8">
        <f>MIN(E15,E$9-SUM(E$20:E21))</f>
        <v>99376</v>
      </c>
      <c r="F22" s="8">
        <f>MIN(F15,F$9-SUM(F$20:F21))</f>
        <v>93809</v>
      </c>
      <c r="G22" s="8">
        <f>MIN(G15,G$9-SUM(G$20:G21))</f>
        <v>91110.9065911621</v>
      </c>
      <c r="H22" s="8">
        <f>MIN(H15,H$9-SUM(H$20:H21))</f>
        <v>93016.884669525869</v>
      </c>
      <c r="I22" s="8">
        <f>MIN(I15,I$9-SUM(I$20:I21))</f>
        <v>0</v>
      </c>
      <c r="J22" s="8">
        <f>MIN(J15,J$9-SUM(J$20:J21))</f>
        <v>0</v>
      </c>
      <c r="K22" s="8">
        <f>MIN(K15,K$9-SUM(K$20:K21))</f>
        <v>0</v>
      </c>
      <c r="L22" s="8">
        <f>MIN(L15,L$9-SUM(L$20:L21))</f>
        <v>0</v>
      </c>
      <c r="M22" s="8">
        <f>MIN(M15,M$9-SUM(M$20:M21))</f>
        <v>0</v>
      </c>
      <c r="N22" s="8">
        <f>MIN(N15,N$9-SUM(N$20:N21))</f>
        <v>0</v>
      </c>
      <c r="O22" s="8">
        <f>MIN(O15,O$9-SUM(O$20:O21))</f>
        <v>0</v>
      </c>
      <c r="P22" s="8">
        <f>MIN(P15,P$9-SUM(P$20:P21))</f>
        <v>0</v>
      </c>
      <c r="Q22" s="8">
        <f>MIN(Q15,Q$9-SUM(Q$20:Q21))</f>
        <v>0</v>
      </c>
      <c r="R22" s="8">
        <f>MIN(R15,R$9-SUM(R$20:R21))</f>
        <v>0</v>
      </c>
      <c r="S22" s="8">
        <f>MIN(S15,S$9-SUM(S$20:S21))</f>
        <v>0</v>
      </c>
      <c r="T22" s="8">
        <f>MIN(T15,T$9-SUM(T$20:T21))</f>
        <v>0</v>
      </c>
      <c r="U22" s="8">
        <f>MIN(U15,U$9-SUM(U$20:U21))</f>
        <v>0</v>
      </c>
      <c r="V22" s="8">
        <f>MIN(V15,V$9-SUM(V$20:V21))</f>
        <v>0</v>
      </c>
      <c r="W22" s="8">
        <f>MIN(W15,W$9-SUM(W$20:W21))</f>
        <v>0</v>
      </c>
      <c r="X22" s="8">
        <f>MIN(X15,X$9-SUM(X$20:X21))</f>
        <v>0</v>
      </c>
      <c r="Y22" s="8">
        <f>MIN(Y15,Y$9-SUM(Y$20:Y21))</f>
        <v>0</v>
      </c>
      <c r="Z22" s="8">
        <f>MIN(Z15,Z$9-SUM(Z$20:Z21))</f>
        <v>0</v>
      </c>
      <c r="AA22" s="8">
        <f>MIN(AA15,AA$9-SUM(AA$20:AA21))</f>
        <v>0</v>
      </c>
      <c r="AB22" s="8">
        <f>MIN(AB15,AB$9-SUM(AB$20:AB21))</f>
        <v>0</v>
      </c>
      <c r="AC22" s="8">
        <f>MIN(AC15,AC$9-SUM(AC$20:AC21))</f>
        <v>0</v>
      </c>
      <c r="AD22" s="8">
        <f>MIN(AD15,AD$9-SUM(AD$20:AD21))</f>
        <v>0</v>
      </c>
    </row>
    <row r="23" spans="1:30" x14ac:dyDescent="0.3">
      <c r="B23" s="2" t="s">
        <v>8</v>
      </c>
      <c r="C23" s="8">
        <f>MIN(C16,C$9-SUM(C$20:C22))</f>
        <v>209666</v>
      </c>
      <c r="D23" s="8">
        <f>MIN(D16,D$9-SUM(D$20:D22))</f>
        <v>206909</v>
      </c>
      <c r="E23" s="8">
        <f>MIN(E16,E$9-SUM(E$20:E22))</f>
        <v>460806</v>
      </c>
      <c r="F23" s="8">
        <f>MIN(F16,F$9-SUM(F$20:F22))</f>
        <v>521921.5880499999</v>
      </c>
      <c r="G23" s="8">
        <f>MIN(G16,G$9-SUM(G$20:G22))</f>
        <v>367222.09503383783</v>
      </c>
      <c r="H23" s="8">
        <f>MIN(H16,H$9-SUM(H$20:H22))</f>
        <v>106557.15881041647</v>
      </c>
      <c r="I23" s="8">
        <f>MIN(I16,I$9-SUM(I$20:I22))</f>
        <v>0</v>
      </c>
      <c r="J23" s="8">
        <f>MIN(J16,J$9-SUM(J$20:J22))</f>
        <v>0</v>
      </c>
      <c r="K23" s="8">
        <f>MIN(K16,K$9-SUM(K$20:K22))</f>
        <v>0</v>
      </c>
      <c r="L23" s="8">
        <f>MIN(L16,L$9-SUM(L$20:L22))</f>
        <v>0</v>
      </c>
      <c r="M23" s="8">
        <f>MIN(M16,M$9-SUM(M$20:M22))</f>
        <v>0</v>
      </c>
      <c r="N23" s="8">
        <f>MIN(N16,N$9-SUM(N$20:N22))</f>
        <v>0</v>
      </c>
      <c r="O23" s="8">
        <f>MIN(O16,O$9-SUM(O$20:O22))</f>
        <v>0</v>
      </c>
      <c r="P23" s="8">
        <f>MIN(P16,P$9-SUM(P$20:P22))</f>
        <v>0</v>
      </c>
      <c r="Q23" s="8">
        <f>MIN(Q16,Q$9-SUM(Q$20:Q22))</f>
        <v>0</v>
      </c>
      <c r="R23" s="8">
        <f>MIN(R16,R$9-SUM(R$20:R22))</f>
        <v>0</v>
      </c>
      <c r="S23" s="8">
        <f>MIN(S16,S$9-SUM(S$20:S22))</f>
        <v>0</v>
      </c>
      <c r="T23" s="8">
        <f>MIN(T16,T$9-SUM(T$20:T22))</f>
        <v>0</v>
      </c>
      <c r="U23" s="8">
        <f>MIN(U16,U$9-SUM(U$20:U22))</f>
        <v>0</v>
      </c>
      <c r="V23" s="8">
        <f>MIN(V16,V$9-SUM(V$20:V22))</f>
        <v>0</v>
      </c>
      <c r="W23" s="8">
        <f>MIN(W16,W$9-SUM(W$20:W22))</f>
        <v>0</v>
      </c>
      <c r="X23" s="8">
        <f>MIN(X16,X$9-SUM(X$20:X22))</f>
        <v>0</v>
      </c>
      <c r="Y23" s="8">
        <f>MIN(Y16,Y$9-SUM(Y$20:Y22))</f>
        <v>0</v>
      </c>
      <c r="Z23" s="8">
        <f>MIN(Z16,Z$9-SUM(Z$20:Z22))</f>
        <v>0</v>
      </c>
      <c r="AA23" s="8">
        <f>MIN(AA16,AA$9-SUM(AA$20:AA22))</f>
        <v>0</v>
      </c>
      <c r="AB23" s="8">
        <f>MIN(AB16,AB$9-SUM(AB$20:AB22))</f>
        <v>0</v>
      </c>
      <c r="AC23" s="8">
        <f>MIN(AC16,AC$9-SUM(AC$20:AC22))</f>
        <v>0</v>
      </c>
      <c r="AD23" s="8">
        <f>MIN(AD16,AD$9-SUM(AD$20:AD22))</f>
        <v>0</v>
      </c>
    </row>
    <row r="25" spans="1:30" x14ac:dyDescent="0.3">
      <c r="B25" s="16" t="s">
        <v>9</v>
      </c>
      <c r="C25" s="17">
        <f>(C20+C22)/C$9</f>
        <v>0.2263331575218262</v>
      </c>
      <c r="D25" s="17">
        <f t="shared" ref="D25:AA25" si="23">(D20+D22)/D$9</f>
        <v>0.24992071163905205</v>
      </c>
      <c r="E25" s="17">
        <f t="shared" si="23"/>
        <v>0.16370911353903461</v>
      </c>
      <c r="F25" s="17">
        <f t="shared" si="23"/>
        <v>0.15235397074732029</v>
      </c>
      <c r="G25" s="17">
        <f t="shared" si="23"/>
        <v>0.1469984992066217</v>
      </c>
      <c r="H25" s="17">
        <f t="shared" si="23"/>
        <v>0.14799751680461157</v>
      </c>
      <c r="I25" s="17">
        <f t="shared" si="23"/>
        <v>0</v>
      </c>
      <c r="J25" s="17">
        <f t="shared" si="23"/>
        <v>0.14985344006795365</v>
      </c>
      <c r="K25" s="17">
        <f t="shared" si="23"/>
        <v>0.13885643788506885</v>
      </c>
      <c r="L25" s="17">
        <f t="shared" si="23"/>
        <v>0.13574888873089916</v>
      </c>
      <c r="M25" s="17">
        <f t="shared" si="23"/>
        <v>0.12714409046186997</v>
      </c>
      <c r="N25" s="17">
        <f t="shared" si="23"/>
        <v>9.2563429298456748E-2</v>
      </c>
      <c r="O25" s="17">
        <f t="shared" si="23"/>
        <v>8.5938137402074843E-2</v>
      </c>
      <c r="P25" s="17">
        <f t="shared" si="23"/>
        <v>0.11649057862759447</v>
      </c>
      <c r="Q25" s="17">
        <f t="shared" si="23"/>
        <v>0.11620612357291746</v>
      </c>
      <c r="R25" s="17">
        <f t="shared" si="23"/>
        <v>0.11583376363651712</v>
      </c>
      <c r="S25" s="17">
        <f t="shared" si="23"/>
        <v>0.11547050313610725</v>
      </c>
      <c r="T25" s="17">
        <f t="shared" si="23"/>
        <v>0.11545995975209472</v>
      </c>
      <c r="U25" s="17">
        <f t="shared" si="23"/>
        <v>0.11486699103116675</v>
      </c>
      <c r="V25" s="17">
        <f t="shared" si="23"/>
        <v>5.173385409532421E-2</v>
      </c>
      <c r="W25" s="17">
        <f t="shared" si="23"/>
        <v>0</v>
      </c>
      <c r="X25" s="17">
        <f t="shared" si="23"/>
        <v>0</v>
      </c>
      <c r="Y25" s="17">
        <f t="shared" si="23"/>
        <v>0</v>
      </c>
      <c r="Z25" s="17">
        <f t="shared" si="23"/>
        <v>0</v>
      </c>
      <c r="AA25" s="17">
        <f t="shared" si="23"/>
        <v>0</v>
      </c>
      <c r="AB25" s="17">
        <f t="shared" ref="AB25:AD25" si="24">(AB20+AB22)/AB$9</f>
        <v>0</v>
      </c>
      <c r="AC25" s="17">
        <f t="shared" si="24"/>
        <v>0</v>
      </c>
      <c r="AD25" s="17">
        <f t="shared" si="24"/>
        <v>0</v>
      </c>
    </row>
    <row r="26" spans="1:30" x14ac:dyDescent="0.3">
      <c r="B26" s="16" t="s">
        <v>10</v>
      </c>
      <c r="C26" s="18">
        <f t="shared" ref="C26:AA26" si="25">SUM(C20:C23)-C9</f>
        <v>-75919.834599999944</v>
      </c>
      <c r="D26" s="18">
        <f t="shared" si="25"/>
        <v>-68871.607364999945</v>
      </c>
      <c r="E26" s="18">
        <f>SUM(E20:E23)-E9</f>
        <v>-46845.903649999877</v>
      </c>
      <c r="F26" s="18">
        <f>SUM(F20:F23)-F9</f>
        <v>0</v>
      </c>
      <c r="G26" s="18">
        <f t="shared" si="25"/>
        <v>0</v>
      </c>
      <c r="H26" s="18">
        <f t="shared" si="25"/>
        <v>0</v>
      </c>
      <c r="I26" s="18">
        <f t="shared" si="25"/>
        <v>0</v>
      </c>
      <c r="J26" s="18">
        <f t="shared" si="25"/>
        <v>0</v>
      </c>
      <c r="K26" s="18">
        <f t="shared" si="25"/>
        <v>0</v>
      </c>
      <c r="L26" s="18">
        <f t="shared" si="25"/>
        <v>0</v>
      </c>
      <c r="M26" s="18">
        <f t="shared" si="25"/>
        <v>0</v>
      </c>
      <c r="N26" s="18">
        <f t="shared" si="25"/>
        <v>0</v>
      </c>
      <c r="O26" s="18">
        <f t="shared" si="25"/>
        <v>0</v>
      </c>
      <c r="P26" s="18">
        <f t="shared" si="25"/>
        <v>0</v>
      </c>
      <c r="Q26" s="18">
        <f t="shared" si="25"/>
        <v>0</v>
      </c>
      <c r="R26" s="18">
        <f t="shared" si="25"/>
        <v>0</v>
      </c>
      <c r="S26" s="18">
        <f t="shared" si="25"/>
        <v>0</v>
      </c>
      <c r="T26" s="18">
        <f t="shared" si="25"/>
        <v>0</v>
      </c>
      <c r="U26" s="18">
        <f t="shared" si="25"/>
        <v>0</v>
      </c>
      <c r="V26" s="18">
        <f t="shared" si="25"/>
        <v>0</v>
      </c>
      <c r="W26" s="18">
        <f t="shared" si="25"/>
        <v>0</v>
      </c>
      <c r="X26" s="18">
        <f t="shared" si="25"/>
        <v>0</v>
      </c>
      <c r="Y26" s="18">
        <f t="shared" si="25"/>
        <v>0</v>
      </c>
      <c r="Z26" s="18">
        <f t="shared" si="25"/>
        <v>0</v>
      </c>
      <c r="AA26" s="18">
        <f t="shared" si="25"/>
        <v>0</v>
      </c>
      <c r="AB26" s="18">
        <f t="shared" ref="AB26:AD26" si="26">SUM(AB20:AB23)-AB9</f>
        <v>0</v>
      </c>
      <c r="AC26" s="18">
        <f t="shared" si="26"/>
        <v>0</v>
      </c>
      <c r="AD26" s="18">
        <f t="shared" si="26"/>
        <v>0</v>
      </c>
    </row>
    <row r="27" spans="1:30" x14ac:dyDescent="0.3">
      <c r="B27" s="16" t="s">
        <v>11</v>
      </c>
      <c r="C27" s="8">
        <f>(C13-C20)+(C14-C21)</f>
        <v>0</v>
      </c>
      <c r="D27" s="8">
        <f>(D13-D20)+(D14-D21)</f>
        <v>0</v>
      </c>
      <c r="E27" s="8">
        <f t="shared" ref="E27:AA27" si="27">(E13-E20)+(E14-E21)</f>
        <v>0</v>
      </c>
      <c r="F27" s="8">
        <f t="shared" si="27"/>
        <v>0</v>
      </c>
      <c r="G27" s="8">
        <f t="shared" si="27"/>
        <v>0</v>
      </c>
      <c r="H27" s="8">
        <f t="shared" si="27"/>
        <v>0</v>
      </c>
      <c r="I27" s="8">
        <f t="shared" si="27"/>
        <v>27412.345581276459</v>
      </c>
      <c r="J27" s="8">
        <f t="shared" si="27"/>
        <v>273682.19129965064</v>
      </c>
      <c r="K27" s="8">
        <f t="shared" si="27"/>
        <v>417411.11074894387</v>
      </c>
      <c r="L27" s="8">
        <f t="shared" si="27"/>
        <v>455554.78788001265</v>
      </c>
      <c r="M27" s="8">
        <f t="shared" si="27"/>
        <v>460466.20188368717</v>
      </c>
      <c r="N27" s="8">
        <f t="shared" si="27"/>
        <v>508468.42552872235</v>
      </c>
      <c r="O27" s="8">
        <f t="shared" si="27"/>
        <v>671964.08537192026</v>
      </c>
      <c r="P27" s="8">
        <f t="shared" si="27"/>
        <v>828489.94231448323</v>
      </c>
      <c r="Q27" s="8">
        <f t="shared" si="27"/>
        <v>898640.42277131986</v>
      </c>
      <c r="R27" s="8">
        <f t="shared" si="27"/>
        <v>1096162.015703911</v>
      </c>
      <c r="S27" s="8">
        <f t="shared" si="27"/>
        <v>1120660.5326934608</v>
      </c>
      <c r="T27" s="8">
        <f t="shared" si="27"/>
        <v>1134545.3615396931</v>
      </c>
      <c r="U27" s="8">
        <f t="shared" si="27"/>
        <v>1123799.6175277857</v>
      </c>
      <c r="V27" s="8">
        <f t="shared" si="27"/>
        <v>1885222.1862362153</v>
      </c>
      <c r="W27" s="8">
        <f t="shared" si="27"/>
        <v>1876127.7243050425</v>
      </c>
      <c r="X27" s="8">
        <f t="shared" si="27"/>
        <v>1879435.7991064379</v>
      </c>
      <c r="Y27" s="8">
        <f t="shared" si="27"/>
        <v>1877258.3825580021</v>
      </c>
      <c r="Z27" s="8">
        <f t="shared" si="27"/>
        <v>1876599.4053239645</v>
      </c>
      <c r="AA27" s="8">
        <f t="shared" si="27"/>
        <v>1885961.2365248529</v>
      </c>
      <c r="AB27" s="8">
        <f t="shared" ref="AB27:AD27" si="28">(AB13-AB20)+(AB14-AB21)</f>
        <v>1964790.3611240862</v>
      </c>
      <c r="AC27" s="8">
        <f t="shared" si="28"/>
        <v>2055417.2388298414</v>
      </c>
      <c r="AD27" s="8">
        <f t="shared" si="28"/>
        <v>2045266.9738921975</v>
      </c>
    </row>
    <row r="28" spans="1:30" x14ac:dyDescent="0.3"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30" x14ac:dyDescent="0.3">
      <c r="B29" s="11" t="s">
        <v>35</v>
      </c>
      <c r="C29" s="10">
        <f>C$6</f>
        <v>2018</v>
      </c>
      <c r="D29" s="10">
        <f t="shared" ref="D29:AA29" si="29">C29+1</f>
        <v>2019</v>
      </c>
      <c r="E29" s="10">
        <f t="shared" si="29"/>
        <v>2020</v>
      </c>
      <c r="F29" s="10">
        <f t="shared" si="29"/>
        <v>2021</v>
      </c>
      <c r="G29" s="10">
        <f t="shared" si="29"/>
        <v>2022</v>
      </c>
      <c r="H29" s="10">
        <f t="shared" si="29"/>
        <v>2023</v>
      </c>
      <c r="I29" s="10">
        <f t="shared" si="29"/>
        <v>2024</v>
      </c>
      <c r="J29" s="10">
        <f t="shared" si="29"/>
        <v>2025</v>
      </c>
      <c r="K29" s="10">
        <f t="shared" si="29"/>
        <v>2026</v>
      </c>
      <c r="L29" s="10">
        <f t="shared" si="29"/>
        <v>2027</v>
      </c>
      <c r="M29" s="10">
        <f t="shared" si="29"/>
        <v>2028</v>
      </c>
      <c r="N29" s="10">
        <f t="shared" si="29"/>
        <v>2029</v>
      </c>
      <c r="O29" s="10">
        <f t="shared" si="29"/>
        <v>2030</v>
      </c>
      <c r="P29" s="10">
        <f t="shared" si="29"/>
        <v>2031</v>
      </c>
      <c r="Q29" s="10">
        <f t="shared" si="29"/>
        <v>2032</v>
      </c>
      <c r="R29" s="10">
        <f t="shared" si="29"/>
        <v>2033</v>
      </c>
      <c r="S29" s="10">
        <f t="shared" si="29"/>
        <v>2034</v>
      </c>
      <c r="T29" s="10">
        <f t="shared" si="29"/>
        <v>2035</v>
      </c>
      <c r="U29" s="10">
        <f t="shared" si="29"/>
        <v>2036</v>
      </c>
      <c r="V29" s="10">
        <f t="shared" si="29"/>
        <v>2037</v>
      </c>
      <c r="W29" s="10">
        <f t="shared" si="29"/>
        <v>2038</v>
      </c>
      <c r="X29" s="10">
        <f t="shared" si="29"/>
        <v>2039</v>
      </c>
      <c r="Y29" s="10">
        <f t="shared" si="29"/>
        <v>2040</v>
      </c>
      <c r="Z29" s="10">
        <f t="shared" si="29"/>
        <v>2041</v>
      </c>
      <c r="AA29" s="10">
        <f t="shared" si="29"/>
        <v>2042</v>
      </c>
      <c r="AB29" s="10">
        <f t="shared" ref="AB29" si="30">AA29+1</f>
        <v>2043</v>
      </c>
      <c r="AC29" s="10">
        <f t="shared" ref="AC29" si="31">AB29+1</f>
        <v>2044</v>
      </c>
      <c r="AD29" s="10">
        <v>2045</v>
      </c>
    </row>
    <row r="30" spans="1:30" x14ac:dyDescent="0.3">
      <c r="A30" s="2" t="s">
        <v>76</v>
      </c>
      <c r="B30" s="2" t="s">
        <v>8</v>
      </c>
      <c r="C30" s="8">
        <v>0</v>
      </c>
      <c r="D30" s="8">
        <f>'IRP RE Inputs'!C20*$M$56</f>
        <v>0</v>
      </c>
      <c r="E30" s="8">
        <f>'IRP RE Inputs'!D20*$M$56</f>
        <v>0</v>
      </c>
      <c r="F30" s="8">
        <f>'IRP RE Inputs'!E20*$M$56</f>
        <v>0</v>
      </c>
      <c r="G30" s="8">
        <f>'IRP RE Inputs'!F20*$M$56</f>
        <v>0</v>
      </c>
      <c r="H30" s="8">
        <f>'IRP RE Inputs'!G20*$M$56</f>
        <v>9644.7037888203504</v>
      </c>
      <c r="I30" s="8">
        <f>'IRP RE Inputs'!H20*$M$56</f>
        <v>45753.356848378899</v>
      </c>
      <c r="J30" s="8">
        <f>'IRP RE Inputs'!I20*$M$56</f>
        <v>0</v>
      </c>
      <c r="K30" s="8">
        <f>'IRP RE Inputs'!J20*$M$56</f>
        <v>0</v>
      </c>
      <c r="L30" s="8">
        <f>'IRP RE Inputs'!K20*$M$56</f>
        <v>44854.43033815996</v>
      </c>
      <c r="M30" s="8">
        <f>'IRP RE Inputs'!L20*$M$56</f>
        <v>193787.5793409599</v>
      </c>
      <c r="N30" s="8">
        <f>'IRP RE Inputs'!M20*$M$56</f>
        <v>446504.48460608005</v>
      </c>
      <c r="O30" s="8">
        <f>'IRP RE Inputs'!N20*$M$56</f>
        <v>669032.52211455954</v>
      </c>
      <c r="P30" s="8">
        <f>'IRP RE Inputs'!O20*$M$56</f>
        <v>777980.62972719979</v>
      </c>
      <c r="Q30" s="8">
        <f>'IRP RE Inputs'!P20*$M$56</f>
        <v>1002663.9976387207</v>
      </c>
      <c r="R30" s="8">
        <f>'IRP RE Inputs'!Q20*$M$56</f>
        <v>1019671.6091322406</v>
      </c>
      <c r="S30" s="8">
        <f>'IRP RE Inputs'!R20*$M$56</f>
        <v>1026421.3112460597</v>
      </c>
      <c r="T30" s="8">
        <f>'IRP RE Inputs'!S20*$M$56</f>
        <v>1027234.3930729196</v>
      </c>
      <c r="U30" s="8">
        <f>'IRP RE Inputs'!T20*$M$56</f>
        <v>1983294.7864037412</v>
      </c>
      <c r="V30" s="8">
        <f>'IRP RE Inputs'!U20*$M$56</f>
        <v>1995578.2176304006</v>
      </c>
      <c r="W30" s="8">
        <f>'IRP RE Inputs'!V20*$M$56</f>
        <v>1998966.7365922991</v>
      </c>
      <c r="X30" s="8">
        <f>'IRP RE Inputs'!W20*$M$56</f>
        <v>1987018.3872113409</v>
      </c>
      <c r="Y30" s="8">
        <f>'IRP RE Inputs'!X20*$M$56</f>
        <v>1983242.7102989601</v>
      </c>
      <c r="Z30" s="8">
        <f>'IRP RE Inputs'!Y20*$M$56</f>
        <v>2016392.2556416392</v>
      </c>
      <c r="AA30" s="8">
        <f>'IRP RE Inputs'!Z20*$M$56</f>
        <v>2088953.6342313595</v>
      </c>
      <c r="AB30" s="8">
        <f>'IRP RE Inputs'!AA20*$M$56</f>
        <v>2236859.3334532194</v>
      </c>
      <c r="AC30" s="8">
        <f>'IRP RE Inputs'!AB20*$M$56</f>
        <v>2233837.9591651396</v>
      </c>
      <c r="AD30" s="8">
        <f>'IRP RE Inputs'!AC20*$M$56</f>
        <v>2227140.1574683795</v>
      </c>
    </row>
    <row r="32" spans="1:30" x14ac:dyDescent="0.3"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23"/>
      <c r="Y32" s="23"/>
      <c r="Z32" s="23"/>
      <c r="AA32" s="23"/>
    </row>
    <row r="33" spans="1:30" x14ac:dyDescent="0.3">
      <c r="B33" s="11" t="s">
        <v>12</v>
      </c>
      <c r="C33" s="10">
        <f>C$6</f>
        <v>2018</v>
      </c>
      <c r="D33" s="10">
        <f t="shared" ref="D33:AA33" si="32">C33+1</f>
        <v>2019</v>
      </c>
      <c r="E33" s="10">
        <f t="shared" si="32"/>
        <v>2020</v>
      </c>
      <c r="F33" s="10">
        <f t="shared" si="32"/>
        <v>2021</v>
      </c>
      <c r="G33" s="10">
        <f t="shared" si="32"/>
        <v>2022</v>
      </c>
      <c r="H33" s="10">
        <f t="shared" si="32"/>
        <v>2023</v>
      </c>
      <c r="I33" s="10">
        <f t="shared" si="32"/>
        <v>2024</v>
      </c>
      <c r="J33" s="10">
        <f t="shared" si="32"/>
        <v>2025</v>
      </c>
      <c r="K33" s="10">
        <f t="shared" si="32"/>
        <v>2026</v>
      </c>
      <c r="L33" s="10">
        <f t="shared" si="32"/>
        <v>2027</v>
      </c>
      <c r="M33" s="10">
        <f t="shared" si="32"/>
        <v>2028</v>
      </c>
      <c r="N33" s="10">
        <f t="shared" si="32"/>
        <v>2029</v>
      </c>
      <c r="O33" s="10">
        <f t="shared" si="32"/>
        <v>2030</v>
      </c>
      <c r="P33" s="10">
        <f t="shared" si="32"/>
        <v>2031</v>
      </c>
      <c r="Q33" s="10">
        <f t="shared" si="32"/>
        <v>2032</v>
      </c>
      <c r="R33" s="10">
        <f t="shared" si="32"/>
        <v>2033</v>
      </c>
      <c r="S33" s="10">
        <f t="shared" si="32"/>
        <v>2034</v>
      </c>
      <c r="T33" s="10">
        <f t="shared" si="32"/>
        <v>2035</v>
      </c>
      <c r="U33" s="10">
        <f t="shared" si="32"/>
        <v>2036</v>
      </c>
      <c r="V33" s="10">
        <f t="shared" si="32"/>
        <v>2037</v>
      </c>
      <c r="W33" s="10">
        <f t="shared" si="32"/>
        <v>2038</v>
      </c>
      <c r="X33" s="10">
        <f t="shared" si="32"/>
        <v>2039</v>
      </c>
      <c r="Y33" s="10">
        <f t="shared" si="32"/>
        <v>2040</v>
      </c>
      <c r="Z33" s="10">
        <f t="shared" si="32"/>
        <v>2041</v>
      </c>
      <c r="AA33" s="10">
        <f t="shared" si="32"/>
        <v>2042</v>
      </c>
      <c r="AB33" s="10">
        <f t="shared" ref="AB33" si="33">AA33+1</f>
        <v>2043</v>
      </c>
      <c r="AC33" s="10">
        <f t="shared" ref="AC33" si="34">AB33+1</f>
        <v>2044</v>
      </c>
      <c r="AD33" s="10">
        <v>2045</v>
      </c>
    </row>
    <row r="34" spans="1:30" x14ac:dyDescent="0.3">
      <c r="B34" s="2" t="s">
        <v>7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</row>
    <row r="35" spans="1:30" x14ac:dyDescent="0.3">
      <c r="B35" s="2" t="s">
        <v>8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</row>
    <row r="36" spans="1:30" x14ac:dyDescent="0.3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8" spans="1:30" x14ac:dyDescent="0.3">
      <c r="B38" s="11" t="s">
        <v>13</v>
      </c>
      <c r="C38" s="10">
        <f>C$6</f>
        <v>2018</v>
      </c>
      <c r="D38" s="10">
        <f t="shared" ref="D38:AA38" si="35">C38+1</f>
        <v>2019</v>
      </c>
      <c r="E38" s="10">
        <f t="shared" si="35"/>
        <v>2020</v>
      </c>
      <c r="F38" s="10">
        <f t="shared" si="35"/>
        <v>2021</v>
      </c>
      <c r="G38" s="10">
        <f t="shared" si="35"/>
        <v>2022</v>
      </c>
      <c r="H38" s="10">
        <f t="shared" si="35"/>
        <v>2023</v>
      </c>
      <c r="I38" s="10">
        <f t="shared" si="35"/>
        <v>2024</v>
      </c>
      <c r="J38" s="10">
        <f t="shared" si="35"/>
        <v>2025</v>
      </c>
      <c r="K38" s="10">
        <f t="shared" si="35"/>
        <v>2026</v>
      </c>
      <c r="L38" s="10">
        <f t="shared" si="35"/>
        <v>2027</v>
      </c>
      <c r="M38" s="10">
        <f t="shared" si="35"/>
        <v>2028</v>
      </c>
      <c r="N38" s="10">
        <f t="shared" si="35"/>
        <v>2029</v>
      </c>
      <c r="O38" s="10">
        <f t="shared" si="35"/>
        <v>2030</v>
      </c>
      <c r="P38" s="10">
        <f t="shared" si="35"/>
        <v>2031</v>
      </c>
      <c r="Q38" s="10">
        <f t="shared" si="35"/>
        <v>2032</v>
      </c>
      <c r="R38" s="10">
        <f t="shared" si="35"/>
        <v>2033</v>
      </c>
      <c r="S38" s="10">
        <f t="shared" si="35"/>
        <v>2034</v>
      </c>
      <c r="T38" s="10">
        <f t="shared" si="35"/>
        <v>2035</v>
      </c>
      <c r="U38" s="10">
        <f t="shared" si="35"/>
        <v>2036</v>
      </c>
      <c r="V38" s="10">
        <f t="shared" si="35"/>
        <v>2037</v>
      </c>
      <c r="W38" s="10">
        <f t="shared" si="35"/>
        <v>2038</v>
      </c>
      <c r="X38" s="10">
        <f t="shared" si="35"/>
        <v>2039</v>
      </c>
      <c r="Y38" s="10">
        <f t="shared" si="35"/>
        <v>2040</v>
      </c>
      <c r="Z38" s="10">
        <f t="shared" si="35"/>
        <v>2041</v>
      </c>
      <c r="AA38" s="10">
        <f t="shared" si="35"/>
        <v>2042</v>
      </c>
      <c r="AB38" s="10">
        <f t="shared" ref="AB38" si="36">AA38+1</f>
        <v>2043</v>
      </c>
      <c r="AC38" s="10">
        <f t="shared" ref="AC38" si="37">AB38+1</f>
        <v>2044</v>
      </c>
      <c r="AD38" s="10">
        <v>2045</v>
      </c>
    </row>
    <row r="39" spans="1:30" x14ac:dyDescent="0.3">
      <c r="A39" s="2" t="s">
        <v>75</v>
      </c>
      <c r="B39" s="2" t="s">
        <v>8</v>
      </c>
      <c r="C39" s="9">
        <v>209666</v>
      </c>
      <c r="D39" s="9">
        <v>206909</v>
      </c>
      <c r="E39" s="9">
        <v>460806</v>
      </c>
      <c r="F39" s="9">
        <v>683397</v>
      </c>
      <c r="G39" s="9">
        <f>'IRP RE Inputs'!F6</f>
        <v>796151.06077889539</v>
      </c>
      <c r="H39" s="9">
        <f>'IRP RE Inputs'!G6</f>
        <v>747819.856316483</v>
      </c>
      <c r="I39" s="9">
        <f>'IRP RE Inputs'!H6</f>
        <v>751137.97857188713</v>
      </c>
      <c r="J39" s="9">
        <f>'IRP RE Inputs'!I6</f>
        <v>944366.94843858469</v>
      </c>
      <c r="K39" s="9">
        <f>'IRP RE Inputs'!J6</f>
        <v>984896.17383739795</v>
      </c>
      <c r="L39" s="9">
        <f>'IRP RE Inputs'!K6</f>
        <v>958806.0421650894</v>
      </c>
      <c r="M39" s="9">
        <f>'IRP RE Inputs'!L6</f>
        <v>897952.60665119719</v>
      </c>
      <c r="N39" s="9">
        <f>'IRP RE Inputs'!M6</f>
        <v>820207.99238428834</v>
      </c>
      <c r="O39" s="9">
        <f>'IRP RE Inputs'!N6</f>
        <v>730849.08015172603</v>
      </c>
      <c r="P39" s="9">
        <f>'IRP RE Inputs'!O6</f>
        <v>689169.30912944744</v>
      </c>
      <c r="Q39" s="9">
        <f>'IRP RE Inputs'!P6</f>
        <v>659464.34475112474</v>
      </c>
      <c r="R39" s="9">
        <f>'IRP RE Inputs'!Q6</f>
        <v>663675.28041033645</v>
      </c>
      <c r="S39" s="9">
        <f>'IRP RE Inputs'!R6</f>
        <v>666912.78298190946</v>
      </c>
      <c r="T39" s="9">
        <f>'IRP RE Inputs'!S6</f>
        <v>653389.59512762027</v>
      </c>
      <c r="U39" s="9">
        <f>'IRP RE Inputs'!T6</f>
        <v>498298.71437222644</v>
      </c>
      <c r="V39" s="9">
        <f>'IRP RE Inputs'!U6</f>
        <v>509941.52596451901</v>
      </c>
      <c r="W39" s="9">
        <f>'IRP RE Inputs'!V6</f>
        <v>510698.38595006173</v>
      </c>
      <c r="X39" s="9">
        <f>'IRP RE Inputs'!W6</f>
        <v>523120.49055377935</v>
      </c>
      <c r="Y39" s="9">
        <f>'IRP RE Inputs'!X6</f>
        <v>530656.50244772807</v>
      </c>
      <c r="Z39" s="9">
        <f>'IRP RE Inputs'!Y6</f>
        <v>510808.23819711054</v>
      </c>
      <c r="AA39" s="9">
        <f>'IRP RE Inputs'!Z6</f>
        <v>520605.40583787567</v>
      </c>
      <c r="AB39" s="9">
        <f>'IRP RE Inputs'!AA6</f>
        <v>468009.12137747562</v>
      </c>
      <c r="AC39" s="9">
        <f>'IRP RE Inputs'!AB6</f>
        <v>466576.43532382714</v>
      </c>
      <c r="AD39" s="9">
        <f>'IRP RE Inputs'!AC6</f>
        <v>464704.61386869574</v>
      </c>
    </row>
    <row r="40" spans="1:30" x14ac:dyDescent="0.3">
      <c r="A40" s="2" t="s">
        <v>75</v>
      </c>
      <c r="B40" s="2" t="s">
        <v>7</v>
      </c>
      <c r="C40" s="9">
        <v>83547</v>
      </c>
      <c r="D40" s="9">
        <v>91888</v>
      </c>
      <c r="E40" s="9">
        <v>99376</v>
      </c>
      <c r="F40" s="9">
        <v>93809</v>
      </c>
      <c r="G40" s="9">
        <f>'IRP RE Inputs'!F13</f>
        <v>91110.9065911621</v>
      </c>
      <c r="H40" s="9">
        <f>'IRP RE Inputs'!G13</f>
        <v>93016.884669525869</v>
      </c>
      <c r="I40" s="9">
        <f>'IRP RE Inputs'!H13</f>
        <v>92224.910170489879</v>
      </c>
      <c r="J40" s="9">
        <f>'IRP RE Inputs'!I13</f>
        <v>84969.816605979999</v>
      </c>
      <c r="K40" s="9">
        <f>'IRP RE Inputs'!J13</f>
        <v>83144.243572299965</v>
      </c>
      <c r="L40" s="9">
        <f>'IRP RE Inputs'!K13</f>
        <v>79124.103677740044</v>
      </c>
      <c r="M40" s="9">
        <f>'IRP RE Inputs'!L13</f>
        <v>59496.868546640027</v>
      </c>
      <c r="N40" s="9">
        <f>'IRP RE Inputs'!M13</f>
        <v>55916.969178979984</v>
      </c>
      <c r="O40" s="9">
        <f>'IRP RE Inputs'!N13</f>
        <v>75337.900740631609</v>
      </c>
      <c r="P40" s="9">
        <f>'IRP RE Inputs'!O13</f>
        <v>74750.786173886459</v>
      </c>
      <c r="Q40" s="9">
        <f>'IRP RE Inputs'!P13</f>
        <v>74146.70116923048</v>
      </c>
      <c r="R40" s="9">
        <f>'IRP RE Inputs'!Q13</f>
        <v>73455.635977720813</v>
      </c>
      <c r="S40" s="9">
        <f>'IRP RE Inputs'!R13</f>
        <v>72939.292344561763</v>
      </c>
      <c r="T40" s="9">
        <f>'IRP RE Inputs'!S13</f>
        <v>72261.162270420347</v>
      </c>
      <c r="U40" s="9">
        <f>'IRP RE Inputs'!T13</f>
        <v>32535.788297706142</v>
      </c>
      <c r="V40" s="9">
        <f>'IRP RE Inputs'!U13</f>
        <v>0</v>
      </c>
      <c r="W40" s="9">
        <f>'IRP RE Inputs'!V13</f>
        <v>0</v>
      </c>
      <c r="X40" s="9">
        <f>'IRP RE Inputs'!W13</f>
        <v>0</v>
      </c>
      <c r="Y40" s="9">
        <f>'IRP RE Inputs'!X13</f>
        <v>0</v>
      </c>
      <c r="Z40" s="9">
        <f>'IRP RE Inputs'!Y13</f>
        <v>0</v>
      </c>
      <c r="AA40" s="9">
        <f>'IRP RE Inputs'!Z13</f>
        <v>0</v>
      </c>
      <c r="AB40" s="9">
        <f>'IRP RE Inputs'!AA13</f>
        <v>0</v>
      </c>
      <c r="AC40" s="9">
        <f>'IRP RE Inputs'!AB13</f>
        <v>0</v>
      </c>
      <c r="AD40" s="9">
        <f>'IRP RE Inputs'!AC13</f>
        <v>0</v>
      </c>
    </row>
    <row r="41" spans="1:30" x14ac:dyDescent="0.3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3" spans="1:30" x14ac:dyDescent="0.3">
      <c r="B43" s="11" t="s">
        <v>14</v>
      </c>
      <c r="C43" s="10">
        <f>C$6</f>
        <v>2018</v>
      </c>
      <c r="D43" s="10">
        <f t="shared" ref="D43:AA43" si="38">C43+1</f>
        <v>2019</v>
      </c>
      <c r="E43" s="10">
        <f t="shared" si="38"/>
        <v>2020</v>
      </c>
      <c r="F43" s="10">
        <f t="shared" si="38"/>
        <v>2021</v>
      </c>
      <c r="G43" s="10">
        <f t="shared" si="38"/>
        <v>2022</v>
      </c>
      <c r="H43" s="10">
        <f t="shared" si="38"/>
        <v>2023</v>
      </c>
      <c r="I43" s="10">
        <f t="shared" si="38"/>
        <v>2024</v>
      </c>
      <c r="J43" s="10">
        <f t="shared" si="38"/>
        <v>2025</v>
      </c>
      <c r="K43" s="10">
        <f t="shared" si="38"/>
        <v>2026</v>
      </c>
      <c r="L43" s="10">
        <f t="shared" si="38"/>
        <v>2027</v>
      </c>
      <c r="M43" s="10">
        <f t="shared" si="38"/>
        <v>2028</v>
      </c>
      <c r="N43" s="10">
        <f t="shared" si="38"/>
        <v>2029</v>
      </c>
      <c r="O43" s="10">
        <f t="shared" si="38"/>
        <v>2030</v>
      </c>
      <c r="P43" s="10">
        <f t="shared" si="38"/>
        <v>2031</v>
      </c>
      <c r="Q43" s="10">
        <f t="shared" si="38"/>
        <v>2032</v>
      </c>
      <c r="R43" s="10">
        <f t="shared" si="38"/>
        <v>2033</v>
      </c>
      <c r="S43" s="10">
        <f t="shared" si="38"/>
        <v>2034</v>
      </c>
      <c r="T43" s="10">
        <f t="shared" si="38"/>
        <v>2035</v>
      </c>
      <c r="U43" s="10">
        <f t="shared" si="38"/>
        <v>2036</v>
      </c>
      <c r="V43" s="10">
        <f t="shared" si="38"/>
        <v>2037</v>
      </c>
      <c r="W43" s="10">
        <f t="shared" si="38"/>
        <v>2038</v>
      </c>
      <c r="X43" s="10">
        <f t="shared" si="38"/>
        <v>2039</v>
      </c>
      <c r="Y43" s="10">
        <f t="shared" si="38"/>
        <v>2040</v>
      </c>
      <c r="Z43" s="10">
        <f t="shared" si="38"/>
        <v>2041</v>
      </c>
      <c r="AA43" s="10">
        <f t="shared" si="38"/>
        <v>2042</v>
      </c>
      <c r="AB43" s="10">
        <f t="shared" ref="AB43" si="39">AA43+1</f>
        <v>2043</v>
      </c>
      <c r="AC43" s="10">
        <f t="shared" ref="AC43" si="40">AB43+1</f>
        <v>2044</v>
      </c>
      <c r="AD43" s="10">
        <v>2045</v>
      </c>
    </row>
    <row r="44" spans="1:30" x14ac:dyDescent="0.3">
      <c r="B44" s="2" t="s">
        <v>15</v>
      </c>
      <c r="C44" s="8">
        <f t="shared" ref="C44:AA44" si="41">C9/1000</f>
        <v>369.13283459999997</v>
      </c>
      <c r="D44" s="8">
        <f t="shared" si="41"/>
        <v>367.66860736499996</v>
      </c>
      <c r="E44" s="8">
        <f t="shared" si="41"/>
        <v>607.02790364999987</v>
      </c>
      <c r="F44" s="8">
        <f t="shared" si="41"/>
        <v>615.73058804999994</v>
      </c>
      <c r="G44" s="8">
        <f t="shared" si="41"/>
        <v>619.80841357500003</v>
      </c>
      <c r="H44" s="8">
        <f t="shared" si="41"/>
        <v>628.50300922499991</v>
      </c>
      <c r="I44" s="8">
        <f t="shared" si="41"/>
        <v>623.49505571361033</v>
      </c>
      <c r="J44" s="8">
        <f t="shared" si="41"/>
        <v>615.43405429110521</v>
      </c>
      <c r="K44" s="8">
        <f t="shared" si="41"/>
        <v>611.9256542956208</v>
      </c>
      <c r="L44" s="8">
        <f t="shared" si="41"/>
        <v>612.4856295296853</v>
      </c>
      <c r="M44" s="8">
        <f t="shared" si="41"/>
        <v>622.31837429730217</v>
      </c>
      <c r="N44" s="8">
        <f t="shared" si="41"/>
        <v>642.76862901007473</v>
      </c>
      <c r="O44" s="8">
        <f t="shared" si="41"/>
        <v>650.66536079742821</v>
      </c>
      <c r="P44" s="8">
        <f t="shared" si="41"/>
        <v>646.72956069243401</v>
      </c>
      <c r="Q44" s="8">
        <f t="shared" si="41"/>
        <v>643.26030225921397</v>
      </c>
      <c r="R44" s="8">
        <f t="shared" si="41"/>
        <v>640.113027855165</v>
      </c>
      <c r="S44" s="8">
        <f t="shared" si="41"/>
        <v>636.14199282683717</v>
      </c>
      <c r="T44" s="8">
        <f t="shared" si="41"/>
        <v>631.72802503283799</v>
      </c>
      <c r="U44" s="8">
        <f t="shared" si="41"/>
        <v>629.08553294317426</v>
      </c>
      <c r="V44" s="8">
        <f t="shared" si="41"/>
        <v>628.90710283745864</v>
      </c>
      <c r="W44" s="8">
        <f t="shared" si="41"/>
        <v>629.39201928987666</v>
      </c>
      <c r="X44" s="8">
        <f t="shared" si="41"/>
        <v>630.22932343592288</v>
      </c>
      <c r="Y44" s="8">
        <f t="shared" si="41"/>
        <v>632.88049520711832</v>
      </c>
      <c r="Z44" s="8">
        <f t="shared" si="41"/>
        <v>637.29980742272369</v>
      </c>
      <c r="AA44" s="8">
        <f t="shared" si="41"/>
        <v>641.23925731389681</v>
      </c>
      <c r="AB44" s="8">
        <f t="shared" ref="AB44:AD44" si="42">AB9/1000</f>
        <v>644.76867894514896</v>
      </c>
      <c r="AC44" s="8">
        <f t="shared" si="42"/>
        <v>649.45121600085361</v>
      </c>
      <c r="AD44" s="8">
        <f t="shared" si="42"/>
        <v>655.14742059676917</v>
      </c>
    </row>
    <row r="45" spans="1:30" x14ac:dyDescent="0.3">
      <c r="B45" s="2" t="s">
        <v>16</v>
      </c>
      <c r="C45" s="8">
        <f t="shared" ref="C45:AA45" si="43">(C23)/1000</f>
        <v>209.666</v>
      </c>
      <c r="D45" s="8">
        <f t="shared" si="43"/>
        <v>206.90899999999999</v>
      </c>
      <c r="E45" s="8">
        <f t="shared" si="43"/>
        <v>460.80599999999998</v>
      </c>
      <c r="F45" s="8">
        <f t="shared" si="43"/>
        <v>521.92158804999985</v>
      </c>
      <c r="G45" s="8">
        <f t="shared" si="43"/>
        <v>367.22209503383783</v>
      </c>
      <c r="H45" s="8">
        <f t="shared" si="43"/>
        <v>106.55715881041647</v>
      </c>
      <c r="I45" s="8">
        <f t="shared" si="43"/>
        <v>0</v>
      </c>
      <c r="J45" s="8">
        <f t="shared" si="43"/>
        <v>0</v>
      </c>
      <c r="K45" s="8">
        <f t="shared" si="43"/>
        <v>0</v>
      </c>
      <c r="L45" s="8">
        <f t="shared" si="43"/>
        <v>0</v>
      </c>
      <c r="M45" s="8">
        <f t="shared" si="43"/>
        <v>0</v>
      </c>
      <c r="N45" s="8">
        <f t="shared" si="43"/>
        <v>0</v>
      </c>
      <c r="O45" s="8">
        <f t="shared" si="43"/>
        <v>0</v>
      </c>
      <c r="P45" s="8">
        <f t="shared" si="43"/>
        <v>0</v>
      </c>
      <c r="Q45" s="8">
        <f t="shared" si="43"/>
        <v>0</v>
      </c>
      <c r="R45" s="8">
        <f t="shared" si="43"/>
        <v>0</v>
      </c>
      <c r="S45" s="8">
        <f t="shared" si="43"/>
        <v>0</v>
      </c>
      <c r="T45" s="8">
        <f t="shared" si="43"/>
        <v>0</v>
      </c>
      <c r="U45" s="8">
        <f t="shared" si="43"/>
        <v>0</v>
      </c>
      <c r="V45" s="8">
        <f t="shared" si="43"/>
        <v>0</v>
      </c>
      <c r="W45" s="8">
        <f t="shared" si="43"/>
        <v>0</v>
      </c>
      <c r="X45" s="8">
        <f t="shared" si="43"/>
        <v>0</v>
      </c>
      <c r="Y45" s="8">
        <f t="shared" si="43"/>
        <v>0</v>
      </c>
      <c r="Z45" s="8">
        <f t="shared" si="43"/>
        <v>0</v>
      </c>
      <c r="AA45" s="8">
        <f t="shared" si="43"/>
        <v>0</v>
      </c>
      <c r="AB45" s="8">
        <f t="shared" ref="AB45:AD45" si="44">(AB23)/1000</f>
        <v>0</v>
      </c>
      <c r="AC45" s="8">
        <f t="shared" si="44"/>
        <v>0</v>
      </c>
      <c r="AD45" s="8">
        <f t="shared" si="44"/>
        <v>0</v>
      </c>
    </row>
    <row r="46" spans="1:30" x14ac:dyDescent="0.3">
      <c r="B46" s="2" t="s">
        <v>17</v>
      </c>
      <c r="C46" s="8">
        <f t="shared" ref="C46:AA46" si="45">(C21)/1000</f>
        <v>0</v>
      </c>
      <c r="D46" s="8">
        <f t="shared" si="45"/>
        <v>0</v>
      </c>
      <c r="E46" s="8">
        <f t="shared" si="45"/>
        <v>0</v>
      </c>
      <c r="F46" s="8">
        <f t="shared" si="45"/>
        <v>0</v>
      </c>
      <c r="G46" s="8">
        <f t="shared" si="45"/>
        <v>161.47541195000011</v>
      </c>
      <c r="H46" s="8">
        <f t="shared" si="45"/>
        <v>428.92896574505755</v>
      </c>
      <c r="I46" s="8">
        <f t="shared" si="45"/>
        <v>623.49505571361033</v>
      </c>
      <c r="J46" s="8">
        <f t="shared" si="45"/>
        <v>523.20914412061541</v>
      </c>
      <c r="K46" s="8">
        <f t="shared" si="45"/>
        <v>526.95583768964082</v>
      </c>
      <c r="L46" s="8">
        <f t="shared" si="45"/>
        <v>529.34138595738534</v>
      </c>
      <c r="M46" s="8">
        <f t="shared" si="45"/>
        <v>543.19427061956208</v>
      </c>
      <c r="N46" s="8">
        <f t="shared" si="45"/>
        <v>583.2717604634347</v>
      </c>
      <c r="O46" s="8">
        <f t="shared" si="45"/>
        <v>594.74839161844818</v>
      </c>
      <c r="P46" s="8">
        <f t="shared" si="45"/>
        <v>571.39165995180235</v>
      </c>
      <c r="Q46" s="8">
        <f t="shared" si="45"/>
        <v>568.5095160853275</v>
      </c>
      <c r="R46" s="8">
        <f t="shared" si="45"/>
        <v>565.9663266859344</v>
      </c>
      <c r="S46" s="8">
        <f t="shared" si="45"/>
        <v>562.68635684911624</v>
      </c>
      <c r="T46" s="8">
        <f t="shared" si="45"/>
        <v>558.78873268827624</v>
      </c>
      <c r="U46" s="8">
        <f t="shared" si="45"/>
        <v>556.82437067275384</v>
      </c>
      <c r="V46" s="8">
        <f t="shared" si="45"/>
        <v>596.37131453975246</v>
      </c>
      <c r="W46" s="8">
        <f t="shared" si="45"/>
        <v>629.39201928987666</v>
      </c>
      <c r="X46" s="8">
        <f t="shared" si="45"/>
        <v>630.22932343592288</v>
      </c>
      <c r="Y46" s="8">
        <f t="shared" si="45"/>
        <v>632.88049520711832</v>
      </c>
      <c r="Z46" s="8">
        <f t="shared" si="45"/>
        <v>637.29980742272369</v>
      </c>
      <c r="AA46" s="8">
        <f t="shared" si="45"/>
        <v>641.23925731389681</v>
      </c>
      <c r="AB46" s="8">
        <f t="shared" ref="AB46:AD46" si="46">(AB21)/1000</f>
        <v>644.76867894514896</v>
      </c>
      <c r="AC46" s="8">
        <f t="shared" si="46"/>
        <v>649.45121600085361</v>
      </c>
      <c r="AD46" s="8">
        <f t="shared" si="46"/>
        <v>655.14742059676917</v>
      </c>
    </row>
    <row r="47" spans="1:30" x14ac:dyDescent="0.3">
      <c r="B47" s="2" t="s">
        <v>33</v>
      </c>
      <c r="C47" s="8">
        <f t="shared" ref="C47:AA47" si="47">(C22)/1000</f>
        <v>83.546999999999997</v>
      </c>
      <c r="D47" s="8">
        <f t="shared" si="47"/>
        <v>91.888000000000005</v>
      </c>
      <c r="E47" s="8">
        <f t="shared" si="47"/>
        <v>99.376000000000005</v>
      </c>
      <c r="F47" s="8">
        <f t="shared" si="47"/>
        <v>93.808999999999997</v>
      </c>
      <c r="G47" s="8">
        <f t="shared" si="47"/>
        <v>91.110906591162106</v>
      </c>
      <c r="H47" s="8">
        <f t="shared" si="47"/>
        <v>93.016884669525865</v>
      </c>
      <c r="I47" s="8">
        <f t="shared" si="47"/>
        <v>0</v>
      </c>
      <c r="J47" s="8">
        <f t="shared" si="47"/>
        <v>0</v>
      </c>
      <c r="K47" s="8">
        <f t="shared" si="47"/>
        <v>0</v>
      </c>
      <c r="L47" s="8">
        <f t="shared" si="47"/>
        <v>0</v>
      </c>
      <c r="M47" s="8">
        <f t="shared" si="47"/>
        <v>0</v>
      </c>
      <c r="N47" s="8">
        <f t="shared" si="47"/>
        <v>0</v>
      </c>
      <c r="O47" s="8">
        <f t="shared" si="47"/>
        <v>0</v>
      </c>
      <c r="P47" s="8">
        <f t="shared" si="47"/>
        <v>0</v>
      </c>
      <c r="Q47" s="8">
        <f t="shared" si="47"/>
        <v>0</v>
      </c>
      <c r="R47" s="8">
        <f t="shared" si="47"/>
        <v>0</v>
      </c>
      <c r="S47" s="8">
        <f t="shared" si="47"/>
        <v>0</v>
      </c>
      <c r="T47" s="8">
        <f t="shared" si="47"/>
        <v>0</v>
      </c>
      <c r="U47" s="8">
        <f t="shared" si="47"/>
        <v>0</v>
      </c>
      <c r="V47" s="8">
        <f t="shared" si="47"/>
        <v>0</v>
      </c>
      <c r="W47" s="8">
        <f t="shared" si="47"/>
        <v>0</v>
      </c>
      <c r="X47" s="8">
        <f t="shared" si="47"/>
        <v>0</v>
      </c>
      <c r="Y47" s="8">
        <f t="shared" si="47"/>
        <v>0</v>
      </c>
      <c r="Z47" s="8">
        <f t="shared" si="47"/>
        <v>0</v>
      </c>
      <c r="AA47" s="8">
        <f t="shared" si="47"/>
        <v>0</v>
      </c>
      <c r="AB47" s="8">
        <f t="shared" ref="AB47:AD47" si="48">(AB22)/1000</f>
        <v>0</v>
      </c>
      <c r="AC47" s="8">
        <f t="shared" si="48"/>
        <v>0</v>
      </c>
      <c r="AD47" s="8">
        <f t="shared" si="48"/>
        <v>0</v>
      </c>
    </row>
    <row r="48" spans="1:30" x14ac:dyDescent="0.3">
      <c r="B48" s="2" t="s">
        <v>18</v>
      </c>
      <c r="C48" s="8">
        <f t="shared" ref="C48:AA48" si="49">(C20)/1000</f>
        <v>0</v>
      </c>
      <c r="D48" s="8">
        <f t="shared" si="49"/>
        <v>0</v>
      </c>
      <c r="E48" s="8">
        <f t="shared" si="49"/>
        <v>0</v>
      </c>
      <c r="F48" s="8">
        <f t="shared" si="49"/>
        <v>0</v>
      </c>
      <c r="G48" s="8">
        <f t="shared" si="49"/>
        <v>0</v>
      </c>
      <c r="H48" s="8">
        <f t="shared" si="49"/>
        <v>0</v>
      </c>
      <c r="I48" s="8">
        <f t="shared" si="49"/>
        <v>0</v>
      </c>
      <c r="J48" s="8">
        <f t="shared" si="49"/>
        <v>92.224910170489878</v>
      </c>
      <c r="K48" s="8">
        <f t="shared" si="49"/>
        <v>84.96981660598</v>
      </c>
      <c r="L48" s="8">
        <f t="shared" si="49"/>
        <v>83.14424357229997</v>
      </c>
      <c r="M48" s="8">
        <f t="shared" si="49"/>
        <v>79.124103677740038</v>
      </c>
      <c r="N48" s="8">
        <f t="shared" si="49"/>
        <v>59.49686854664003</v>
      </c>
      <c r="O48" s="8">
        <f t="shared" si="49"/>
        <v>55.916969178979983</v>
      </c>
      <c r="P48" s="8">
        <f t="shared" si="49"/>
        <v>75.337900740631611</v>
      </c>
      <c r="Q48" s="8">
        <f t="shared" si="49"/>
        <v>74.750786173886453</v>
      </c>
      <c r="R48" s="8">
        <f t="shared" si="49"/>
        <v>74.146701169230482</v>
      </c>
      <c r="S48" s="8">
        <f t="shared" si="49"/>
        <v>73.455635977720817</v>
      </c>
      <c r="T48" s="8">
        <f t="shared" si="49"/>
        <v>72.939292344561764</v>
      </c>
      <c r="U48" s="8">
        <f t="shared" si="49"/>
        <v>72.261162270420343</v>
      </c>
      <c r="V48" s="8">
        <f t="shared" si="49"/>
        <v>32.535788297706141</v>
      </c>
      <c r="W48" s="8">
        <f t="shared" si="49"/>
        <v>0</v>
      </c>
      <c r="X48" s="8">
        <f t="shared" si="49"/>
        <v>0</v>
      </c>
      <c r="Y48" s="8">
        <f t="shared" si="49"/>
        <v>0</v>
      </c>
      <c r="Z48" s="8">
        <f t="shared" si="49"/>
        <v>0</v>
      </c>
      <c r="AA48" s="8">
        <f t="shared" si="49"/>
        <v>0</v>
      </c>
      <c r="AB48" s="8">
        <f t="shared" ref="AB48:AD48" si="50">(AB20)/1000</f>
        <v>0</v>
      </c>
      <c r="AC48" s="8">
        <f t="shared" si="50"/>
        <v>0</v>
      </c>
      <c r="AD48" s="8">
        <f t="shared" si="50"/>
        <v>0</v>
      </c>
    </row>
    <row r="49" spans="2:30" x14ac:dyDescent="0.3">
      <c r="B49" s="2" t="s">
        <v>20</v>
      </c>
      <c r="C49" s="8">
        <f t="shared" ref="C49:AA49" si="51">((C14-C21)+(C16-C23))/1000</f>
        <v>0</v>
      </c>
      <c r="D49" s="8">
        <f t="shared" si="51"/>
        <v>0</v>
      </c>
      <c r="E49" s="8">
        <f t="shared" si="51"/>
        <v>0</v>
      </c>
      <c r="F49" s="8">
        <f t="shared" si="51"/>
        <v>161.47541195000011</v>
      </c>
      <c r="G49" s="8">
        <f t="shared" si="51"/>
        <v>428.92896574505755</v>
      </c>
      <c r="H49" s="8">
        <f t="shared" si="51"/>
        <v>650.90740129488688</v>
      </c>
      <c r="I49" s="8">
        <f t="shared" si="51"/>
        <v>824.30368100154249</v>
      </c>
      <c r="J49" s="8">
        <f t="shared" si="51"/>
        <v>1218.0491397382355</v>
      </c>
      <c r="K49" s="8">
        <f t="shared" si="51"/>
        <v>1402.3072845863419</v>
      </c>
      <c r="L49" s="8">
        <f t="shared" si="51"/>
        <v>1459.2152603832619</v>
      </c>
      <c r="M49" s="8">
        <f t="shared" si="51"/>
        <v>1552.2063878758443</v>
      </c>
      <c r="N49" s="8">
        <f t="shared" si="51"/>
        <v>1775.1809025190908</v>
      </c>
      <c r="O49" s="8">
        <f t="shared" si="51"/>
        <v>2071.8456876382061</v>
      </c>
      <c r="P49" s="8">
        <f t="shared" si="51"/>
        <v>2295.6398811711306</v>
      </c>
      <c r="Q49" s="8">
        <f t="shared" si="51"/>
        <v>2560.768765161165</v>
      </c>
      <c r="R49" s="8">
        <f t="shared" si="51"/>
        <v>2779.5089052464878</v>
      </c>
      <c r="S49" s="8">
        <f t="shared" si="51"/>
        <v>2813.9946269214302</v>
      </c>
      <c r="T49" s="8">
        <f t="shared" si="51"/>
        <v>2815.169349740233</v>
      </c>
      <c r="U49" s="8">
        <f t="shared" si="51"/>
        <v>3605.3931183037535</v>
      </c>
      <c r="V49" s="8">
        <f t="shared" si="51"/>
        <v>4390.7419298311343</v>
      </c>
      <c r="W49" s="8">
        <f t="shared" si="51"/>
        <v>4385.7928468474038</v>
      </c>
      <c r="X49" s="8">
        <f t="shared" si="51"/>
        <v>4389.5746768715589</v>
      </c>
      <c r="Y49" s="8">
        <f t="shared" si="51"/>
        <v>4391.1575953046904</v>
      </c>
      <c r="Z49" s="8">
        <f t="shared" si="51"/>
        <v>4403.7998991627146</v>
      </c>
      <c r="AA49" s="8">
        <f t="shared" si="51"/>
        <v>4495.5202765940876</v>
      </c>
      <c r="AB49" s="8">
        <f t="shared" ref="AB49:AD49" si="52">((AB14-AB21)+(AB16-AB23))/1000</f>
        <v>4669.6588159547809</v>
      </c>
      <c r="AC49" s="8">
        <f t="shared" si="52"/>
        <v>4755.8316333188077</v>
      </c>
      <c r="AD49" s="8">
        <f t="shared" si="52"/>
        <v>4737.1117452292719</v>
      </c>
    </row>
    <row r="50" spans="2:30" x14ac:dyDescent="0.3">
      <c r="B50" s="2" t="s">
        <v>19</v>
      </c>
      <c r="C50" s="8">
        <f t="shared" ref="C50:AA50" si="53">-C26/1000</f>
        <v>75.919834599999945</v>
      </c>
      <c r="D50" s="8">
        <f t="shared" si="53"/>
        <v>68.871607364999946</v>
      </c>
      <c r="E50" s="8">
        <f t="shared" si="53"/>
        <v>46.845903649999876</v>
      </c>
      <c r="F50" s="8">
        <f t="shared" si="53"/>
        <v>0</v>
      </c>
      <c r="G50" s="8">
        <f t="shared" si="53"/>
        <v>0</v>
      </c>
      <c r="H50" s="8">
        <f t="shared" si="53"/>
        <v>0</v>
      </c>
      <c r="I50" s="8">
        <f t="shared" si="53"/>
        <v>0</v>
      </c>
      <c r="J50" s="8">
        <f t="shared" si="53"/>
        <v>0</v>
      </c>
      <c r="K50" s="8">
        <f t="shared" si="53"/>
        <v>0</v>
      </c>
      <c r="L50" s="8">
        <f t="shared" si="53"/>
        <v>0</v>
      </c>
      <c r="M50" s="8">
        <f t="shared" si="53"/>
        <v>0</v>
      </c>
      <c r="N50" s="8">
        <f t="shared" si="53"/>
        <v>0</v>
      </c>
      <c r="O50" s="8">
        <f t="shared" si="53"/>
        <v>0</v>
      </c>
      <c r="P50" s="8">
        <f t="shared" si="53"/>
        <v>0</v>
      </c>
      <c r="Q50" s="8">
        <f t="shared" si="53"/>
        <v>0</v>
      </c>
      <c r="R50" s="8">
        <f t="shared" si="53"/>
        <v>0</v>
      </c>
      <c r="S50" s="8">
        <f t="shared" si="53"/>
        <v>0</v>
      </c>
      <c r="T50" s="8">
        <f t="shared" si="53"/>
        <v>0</v>
      </c>
      <c r="U50" s="8">
        <f t="shared" si="53"/>
        <v>0</v>
      </c>
      <c r="V50" s="8">
        <f t="shared" si="53"/>
        <v>0</v>
      </c>
      <c r="W50" s="8">
        <f t="shared" si="53"/>
        <v>0</v>
      </c>
      <c r="X50" s="8">
        <f t="shared" si="53"/>
        <v>0</v>
      </c>
      <c r="Y50" s="8">
        <f t="shared" si="53"/>
        <v>0</v>
      </c>
      <c r="Z50" s="8">
        <f t="shared" si="53"/>
        <v>0</v>
      </c>
      <c r="AA50" s="8">
        <f t="shared" si="53"/>
        <v>0</v>
      </c>
      <c r="AB50" s="8">
        <f t="shared" ref="AB50:AD50" si="54">-AB26/1000</f>
        <v>0</v>
      </c>
      <c r="AC50" s="8">
        <f t="shared" si="54"/>
        <v>0</v>
      </c>
      <c r="AD50" s="8">
        <f t="shared" si="54"/>
        <v>0</v>
      </c>
    </row>
    <row r="51" spans="2:30" x14ac:dyDescent="0.3">
      <c r="B51" s="2" t="s">
        <v>21</v>
      </c>
      <c r="C51" s="8">
        <f t="shared" ref="C51:AA51" si="55">((C13-C20)+(C15-C22))/1000</f>
        <v>0</v>
      </c>
      <c r="D51" s="8">
        <f t="shared" si="55"/>
        <v>0</v>
      </c>
      <c r="E51" s="8">
        <f t="shared" si="55"/>
        <v>0</v>
      </c>
      <c r="F51" s="8">
        <f t="shared" si="55"/>
        <v>0</v>
      </c>
      <c r="G51" s="8">
        <f t="shared" si="55"/>
        <v>0</v>
      </c>
      <c r="H51" s="8">
        <f t="shared" si="55"/>
        <v>0</v>
      </c>
      <c r="I51" s="8">
        <f t="shared" si="55"/>
        <v>92.224910170489878</v>
      </c>
      <c r="J51" s="8">
        <f t="shared" si="55"/>
        <v>84.96981660598</v>
      </c>
      <c r="K51" s="8">
        <f t="shared" si="55"/>
        <v>83.14424357229997</v>
      </c>
      <c r="L51" s="8">
        <f t="shared" si="55"/>
        <v>79.124103677740038</v>
      </c>
      <c r="M51" s="8">
        <f t="shared" si="55"/>
        <v>59.49686854664003</v>
      </c>
      <c r="N51" s="8">
        <f t="shared" si="55"/>
        <v>55.916969178979983</v>
      </c>
      <c r="O51" s="8">
        <f t="shared" si="55"/>
        <v>75.337900740631611</v>
      </c>
      <c r="P51" s="8">
        <f t="shared" si="55"/>
        <v>74.750786173886453</v>
      </c>
      <c r="Q51" s="8">
        <f t="shared" si="55"/>
        <v>74.146701169230482</v>
      </c>
      <c r="R51" s="8">
        <f t="shared" si="55"/>
        <v>73.455635977720817</v>
      </c>
      <c r="S51" s="8">
        <f t="shared" si="55"/>
        <v>72.939292344561764</v>
      </c>
      <c r="T51" s="8">
        <f t="shared" si="55"/>
        <v>72.261162270420343</v>
      </c>
      <c r="U51" s="8">
        <f t="shared" si="55"/>
        <v>32.535788297706141</v>
      </c>
      <c r="V51" s="8">
        <f t="shared" si="55"/>
        <v>0</v>
      </c>
      <c r="W51" s="8">
        <f t="shared" si="55"/>
        <v>0</v>
      </c>
      <c r="X51" s="8">
        <f t="shared" si="55"/>
        <v>0</v>
      </c>
      <c r="Y51" s="8">
        <f t="shared" si="55"/>
        <v>0</v>
      </c>
      <c r="Z51" s="8">
        <f t="shared" si="55"/>
        <v>0</v>
      </c>
      <c r="AA51" s="8">
        <f t="shared" si="55"/>
        <v>0</v>
      </c>
      <c r="AB51" s="8">
        <f t="shared" ref="AB51:AD51" si="56">((AB13-AB20)+(AB15-AB22))/1000</f>
        <v>0</v>
      </c>
      <c r="AC51" s="8">
        <f t="shared" si="56"/>
        <v>0</v>
      </c>
      <c r="AD51" s="8">
        <f t="shared" si="56"/>
        <v>0</v>
      </c>
    </row>
    <row r="53" spans="2:30" x14ac:dyDescent="0.3">
      <c r="I53" s="20"/>
    </row>
    <row r="56" spans="2:30" x14ac:dyDescent="0.3">
      <c r="I56" s="2" t="s">
        <v>36</v>
      </c>
      <c r="L56" s="21" t="b">
        <v>1</v>
      </c>
      <c r="M56" s="2">
        <v>1</v>
      </c>
    </row>
  </sheetData>
  <dataConsolidate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2:AC38"/>
  <sheetViews>
    <sheetView showGridLines="0" zoomScaleNormal="100" workbookViewId="0"/>
  </sheetViews>
  <sheetFormatPr defaultRowHeight="14" x14ac:dyDescent="0.3"/>
  <cols>
    <col min="1" max="1" width="8.7265625" style="2"/>
    <col min="2" max="2" width="30.81640625" style="2" customWidth="1"/>
    <col min="3" max="5" width="8.7265625" style="2"/>
    <col min="6" max="6" width="15.81640625" style="2" customWidth="1"/>
    <col min="7" max="15" width="12" style="2" customWidth="1"/>
    <col min="16" max="16" width="14.26953125" style="2" bestFit="1" customWidth="1"/>
    <col min="17" max="17" width="10.81640625" style="2" customWidth="1"/>
    <col min="18" max="21" width="11.26953125" style="2" bestFit="1" customWidth="1"/>
    <col min="22" max="22" width="11" style="2" customWidth="1"/>
    <col min="23" max="29" width="11.26953125" style="2" bestFit="1" customWidth="1"/>
    <col min="30" max="16384" width="8.7265625" style="2"/>
  </cols>
  <sheetData>
    <row r="2" spans="1:29" x14ac:dyDescent="0.3">
      <c r="A2" s="2" t="s">
        <v>65</v>
      </c>
      <c r="B2" s="2" t="s">
        <v>34</v>
      </c>
      <c r="F2" s="2" t="s">
        <v>81</v>
      </c>
      <c r="G2" s="2" t="s">
        <v>81</v>
      </c>
    </row>
    <row r="3" spans="1:29" x14ac:dyDescent="0.3">
      <c r="B3" s="26" t="s">
        <v>31</v>
      </c>
      <c r="C3" s="10">
        <f>C$17</f>
        <v>2019</v>
      </c>
      <c r="D3" s="10">
        <f t="shared" ref="D3:AB3" si="0">D$17</f>
        <v>2020</v>
      </c>
      <c r="E3" s="10">
        <f t="shared" si="0"/>
        <v>2021</v>
      </c>
      <c r="F3" s="10">
        <f t="shared" si="0"/>
        <v>2022</v>
      </c>
      <c r="G3" s="10">
        <f t="shared" si="0"/>
        <v>2023</v>
      </c>
      <c r="H3" s="10">
        <f t="shared" si="0"/>
        <v>2024</v>
      </c>
      <c r="I3" s="10">
        <f t="shared" si="0"/>
        <v>2025</v>
      </c>
      <c r="J3" s="10">
        <f t="shared" si="0"/>
        <v>2026</v>
      </c>
      <c r="K3" s="10">
        <f t="shared" si="0"/>
        <v>2027</v>
      </c>
      <c r="L3" s="10">
        <f t="shared" si="0"/>
        <v>2028</v>
      </c>
      <c r="M3" s="10">
        <f t="shared" si="0"/>
        <v>2029</v>
      </c>
      <c r="N3" s="10">
        <f t="shared" si="0"/>
        <v>2030</v>
      </c>
      <c r="O3" s="10">
        <f t="shared" si="0"/>
        <v>2031</v>
      </c>
      <c r="P3" s="10">
        <f t="shared" si="0"/>
        <v>2032</v>
      </c>
      <c r="Q3" s="10">
        <f t="shared" si="0"/>
        <v>2033</v>
      </c>
      <c r="R3" s="10">
        <f t="shared" si="0"/>
        <v>2034</v>
      </c>
      <c r="S3" s="10">
        <f t="shared" si="0"/>
        <v>2035</v>
      </c>
      <c r="T3" s="10">
        <f t="shared" si="0"/>
        <v>2036</v>
      </c>
      <c r="U3" s="10">
        <f t="shared" si="0"/>
        <v>2037</v>
      </c>
      <c r="V3" s="10">
        <f t="shared" si="0"/>
        <v>2038</v>
      </c>
      <c r="W3" s="10">
        <f t="shared" si="0"/>
        <v>2039</v>
      </c>
      <c r="X3" s="10">
        <f t="shared" si="0"/>
        <v>2040</v>
      </c>
      <c r="Y3" s="10">
        <f t="shared" si="0"/>
        <v>2041</v>
      </c>
      <c r="Z3" s="10">
        <f t="shared" si="0"/>
        <v>2042</v>
      </c>
      <c r="AA3" s="10">
        <f t="shared" si="0"/>
        <v>2043</v>
      </c>
      <c r="AB3" s="10">
        <f t="shared" si="0"/>
        <v>2044</v>
      </c>
      <c r="AC3" s="10">
        <v>2045</v>
      </c>
    </row>
    <row r="4" spans="1:29" x14ac:dyDescent="0.3">
      <c r="A4" s="2" t="s">
        <v>80</v>
      </c>
      <c r="B4" s="21" t="s">
        <v>67</v>
      </c>
      <c r="C4" s="9"/>
      <c r="D4" s="9"/>
      <c r="E4" s="9"/>
      <c r="F4" s="9">
        <v>3109993</v>
      </c>
      <c r="G4" s="9">
        <v>3294386.0957851373</v>
      </c>
      <c r="H4" s="9">
        <v>3352149.4911240824</v>
      </c>
      <c r="I4" s="9">
        <v>4491341.9100846183</v>
      </c>
      <c r="J4" s="9">
        <v>4744016.5658540353</v>
      </c>
      <c r="K4" s="9">
        <v>4972129.4292209856</v>
      </c>
      <c r="L4" s="9">
        <v>4995869.59618745</v>
      </c>
      <c r="M4" s="9">
        <v>4948961.2122416217</v>
      </c>
      <c r="N4" s="9">
        <v>4150961.9521307675</v>
      </c>
      <c r="O4" s="9">
        <v>4087299.5781273441</v>
      </c>
      <c r="P4" s="9">
        <v>3979291.5287181917</v>
      </c>
      <c r="Q4" s="9">
        <v>3911877.741167814</v>
      </c>
      <c r="R4" s="9">
        <v>3921414.4344557934</v>
      </c>
      <c r="S4" s="9">
        <v>3879583.3548111902</v>
      </c>
      <c r="T4" s="9">
        <v>3047014.1185270175</v>
      </c>
      <c r="U4" s="9">
        <v>2904987.9739217442</v>
      </c>
      <c r="V4" s="9">
        <v>2939973.6451819371</v>
      </c>
      <c r="W4" s="9">
        <v>2882544.9539344613</v>
      </c>
      <c r="X4" s="9">
        <v>2854265.2814074908</v>
      </c>
      <c r="Y4" s="9">
        <v>2747354.7267746283</v>
      </c>
      <c r="Z4" s="9">
        <v>2796193.4937101998</v>
      </c>
      <c r="AA4" s="9">
        <v>2437222.5950687425</v>
      </c>
      <c r="AB4" s="9">
        <v>2419449.9931959892</v>
      </c>
      <c r="AC4" s="9">
        <v>2411318.3996184552</v>
      </c>
    </row>
    <row r="5" spans="1:29" x14ac:dyDescent="0.3">
      <c r="A5" s="2" t="s">
        <v>80</v>
      </c>
      <c r="B5" s="21" t="s">
        <v>68</v>
      </c>
      <c r="C5" s="9"/>
      <c r="D5" s="9"/>
      <c r="E5" s="9"/>
      <c r="F5" s="9">
        <v>227588</v>
      </c>
      <c r="G5" s="9">
        <v>257288</v>
      </c>
      <c r="H5" s="9">
        <v>219052.20789710424</v>
      </c>
      <c r="I5" s="9">
        <v>294930.51292860857</v>
      </c>
      <c r="J5" s="9">
        <v>296910.01947640476</v>
      </c>
      <c r="K5" s="9">
        <v>292761.98745870986</v>
      </c>
      <c r="L5" s="9">
        <v>288086.0804706717</v>
      </c>
      <c r="M5" s="9">
        <v>251094.11425588076</v>
      </c>
      <c r="N5" s="9">
        <v>196831.76088846437</v>
      </c>
      <c r="O5" s="9">
        <v>190516.96878138711</v>
      </c>
      <c r="P5" s="9">
        <v>180831.20736998031</v>
      </c>
      <c r="Q5" s="9">
        <v>185250.10364123428</v>
      </c>
      <c r="R5" s="9">
        <v>175120.84782242187</v>
      </c>
      <c r="S5" s="9">
        <v>172048.31616647856</v>
      </c>
      <c r="T5" s="9">
        <v>144849.31339135961</v>
      </c>
      <c r="U5" s="9">
        <v>148344.07086048234</v>
      </c>
      <c r="V5" s="9">
        <v>145186.90526551436</v>
      </c>
      <c r="W5" s="9">
        <v>149957.60863393373</v>
      </c>
      <c r="X5" s="9">
        <v>148751.65031729796</v>
      </c>
      <c r="Y5" s="9">
        <v>143105.31836125531</v>
      </c>
      <c r="Z5" s="9">
        <v>148107.68323492556</v>
      </c>
      <c r="AA5" s="9">
        <v>138212.74145770201</v>
      </c>
      <c r="AB5" s="9">
        <v>134069.79861512835</v>
      </c>
      <c r="AC5" s="9">
        <v>135880.43499168305</v>
      </c>
    </row>
    <row r="6" spans="1:29" x14ac:dyDescent="0.3">
      <c r="A6" s="2" t="s">
        <v>80</v>
      </c>
      <c r="B6" s="21" t="s">
        <v>69</v>
      </c>
      <c r="C6" s="9"/>
      <c r="D6" s="9"/>
      <c r="E6" s="9"/>
      <c r="F6" s="9">
        <v>796151.06077889539</v>
      </c>
      <c r="G6" s="9">
        <v>747819.856316483</v>
      </c>
      <c r="H6" s="9">
        <v>751137.97857188713</v>
      </c>
      <c r="I6" s="9">
        <v>944366.94843858469</v>
      </c>
      <c r="J6" s="9">
        <v>984896.17383739795</v>
      </c>
      <c r="K6" s="9">
        <v>958806.0421650894</v>
      </c>
      <c r="L6" s="9">
        <v>897952.60665119719</v>
      </c>
      <c r="M6" s="9">
        <v>820207.99238428834</v>
      </c>
      <c r="N6" s="9">
        <v>730849.08015172603</v>
      </c>
      <c r="O6" s="9">
        <v>689169.30912944744</v>
      </c>
      <c r="P6" s="9">
        <v>659464.34475112474</v>
      </c>
      <c r="Q6" s="9">
        <v>663675.28041033645</v>
      </c>
      <c r="R6" s="9">
        <v>666912.78298190946</v>
      </c>
      <c r="S6" s="9">
        <v>653389.59512762027</v>
      </c>
      <c r="T6" s="9">
        <v>498298.71437222644</v>
      </c>
      <c r="U6" s="9">
        <v>509941.52596451901</v>
      </c>
      <c r="V6" s="9">
        <v>510698.38595006173</v>
      </c>
      <c r="W6" s="9">
        <v>523120.49055377935</v>
      </c>
      <c r="X6" s="9">
        <v>530656.50244772807</v>
      </c>
      <c r="Y6" s="9">
        <v>510808.23819711054</v>
      </c>
      <c r="Z6" s="9">
        <v>520605.40583787567</v>
      </c>
      <c r="AA6" s="9">
        <v>468009.12137747562</v>
      </c>
      <c r="AB6" s="9">
        <v>466576.43532382714</v>
      </c>
      <c r="AC6" s="9">
        <v>464704.61386869574</v>
      </c>
    </row>
    <row r="9" spans="1:29" x14ac:dyDescent="0.3">
      <c r="A9" s="2" t="s">
        <v>65</v>
      </c>
      <c r="B9" s="2" t="s">
        <v>70</v>
      </c>
      <c r="F9" s="2" t="s">
        <v>81</v>
      </c>
      <c r="G9" s="2" t="s">
        <v>81</v>
      </c>
    </row>
    <row r="10" spans="1:29" x14ac:dyDescent="0.3">
      <c r="B10" s="26" t="s">
        <v>31</v>
      </c>
      <c r="C10" s="10">
        <f>C$17</f>
        <v>2019</v>
      </c>
      <c r="D10" s="10">
        <f t="shared" ref="D10:AB10" si="1">D$17</f>
        <v>2020</v>
      </c>
      <c r="E10" s="10">
        <f t="shared" si="1"/>
        <v>2021</v>
      </c>
      <c r="F10" s="10">
        <f t="shared" si="1"/>
        <v>2022</v>
      </c>
      <c r="G10" s="10">
        <f t="shared" si="1"/>
        <v>2023</v>
      </c>
      <c r="H10" s="10">
        <f t="shared" si="1"/>
        <v>2024</v>
      </c>
      <c r="I10" s="10">
        <f t="shared" si="1"/>
        <v>2025</v>
      </c>
      <c r="J10" s="10">
        <f t="shared" si="1"/>
        <v>2026</v>
      </c>
      <c r="K10" s="10">
        <f t="shared" si="1"/>
        <v>2027</v>
      </c>
      <c r="L10" s="10">
        <f t="shared" si="1"/>
        <v>2028</v>
      </c>
      <c r="M10" s="10">
        <f t="shared" si="1"/>
        <v>2029</v>
      </c>
      <c r="N10" s="10">
        <f t="shared" si="1"/>
        <v>2030</v>
      </c>
      <c r="O10" s="10">
        <f t="shared" si="1"/>
        <v>2031</v>
      </c>
      <c r="P10" s="10">
        <f t="shared" si="1"/>
        <v>2032</v>
      </c>
      <c r="Q10" s="10">
        <f t="shared" si="1"/>
        <v>2033</v>
      </c>
      <c r="R10" s="10">
        <f t="shared" si="1"/>
        <v>2034</v>
      </c>
      <c r="S10" s="10">
        <f t="shared" si="1"/>
        <v>2035</v>
      </c>
      <c r="T10" s="10">
        <f t="shared" si="1"/>
        <v>2036</v>
      </c>
      <c r="U10" s="10">
        <f t="shared" si="1"/>
        <v>2037</v>
      </c>
      <c r="V10" s="10">
        <f t="shared" si="1"/>
        <v>2038</v>
      </c>
      <c r="W10" s="10">
        <f t="shared" si="1"/>
        <v>2039</v>
      </c>
      <c r="X10" s="10">
        <f t="shared" si="1"/>
        <v>2040</v>
      </c>
      <c r="Y10" s="10">
        <f t="shared" si="1"/>
        <v>2041</v>
      </c>
      <c r="Z10" s="10">
        <f t="shared" si="1"/>
        <v>2042</v>
      </c>
      <c r="AA10" s="10">
        <f t="shared" si="1"/>
        <v>2043</v>
      </c>
      <c r="AB10" s="10">
        <f t="shared" si="1"/>
        <v>2044</v>
      </c>
      <c r="AC10" s="10">
        <v>2045</v>
      </c>
    </row>
    <row r="11" spans="1:29" x14ac:dyDescent="0.3">
      <c r="A11" s="2" t="s">
        <v>79</v>
      </c>
      <c r="B11" s="21" t="s">
        <v>71</v>
      </c>
      <c r="C11" s="9"/>
      <c r="D11" s="9"/>
      <c r="E11" s="9"/>
      <c r="F11" s="9">
        <v>197650.23240027318</v>
      </c>
      <c r="G11" s="9">
        <v>204723.13070320588</v>
      </c>
      <c r="H11" s="9">
        <v>204361.15524072273</v>
      </c>
      <c r="I11" s="9">
        <v>305323.24926330009</v>
      </c>
      <c r="J11" s="9">
        <v>304775.93611079996</v>
      </c>
      <c r="K11" s="9">
        <v>306849.28069251985</v>
      </c>
      <c r="L11" s="9">
        <v>247580.84971519996</v>
      </c>
      <c r="M11" s="9">
        <v>249185.87976015988</v>
      </c>
      <c r="N11" s="9">
        <v>245391.95648624111</v>
      </c>
      <c r="O11" s="9">
        <v>243417.52592247384</v>
      </c>
      <c r="P11" s="9">
        <v>241457.10354041163</v>
      </c>
      <c r="Q11" s="9">
        <v>239354.8786149206</v>
      </c>
      <c r="R11" s="9">
        <v>237626.55283683733</v>
      </c>
      <c r="S11" s="9">
        <v>235469.95870789577</v>
      </c>
      <c r="T11" s="9">
        <v>133949.10647000925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</row>
    <row r="12" spans="1:29" x14ac:dyDescent="0.3">
      <c r="A12" s="2" t="s">
        <v>79</v>
      </c>
      <c r="B12" s="21" t="s">
        <v>72</v>
      </c>
      <c r="C12" s="9"/>
      <c r="D12" s="9"/>
      <c r="E12" s="9"/>
      <c r="F12" s="9">
        <v>120000</v>
      </c>
      <c r="G12" s="9">
        <v>60000</v>
      </c>
      <c r="H12" s="9">
        <v>41057.804823436774</v>
      </c>
      <c r="I12" s="9">
        <v>46240.800321501061</v>
      </c>
      <c r="J12" s="9">
        <v>45520.264545645914</v>
      </c>
      <c r="K12" s="9">
        <v>44896.139117218772</v>
      </c>
      <c r="L12" s="9">
        <v>41739.536609821982</v>
      </c>
      <c r="M12" s="9">
        <v>40792.554480657498</v>
      </c>
      <c r="N12" s="9">
        <v>10161.744945766923</v>
      </c>
      <c r="O12" s="9">
        <v>10099.335698795659</v>
      </c>
      <c r="P12" s="9">
        <v>9589.8923610611691</v>
      </c>
      <c r="Q12" s="9">
        <v>9667.3981596677331</v>
      </c>
      <c r="R12" s="9">
        <v>9111.5385542278073</v>
      </c>
      <c r="S12" s="9">
        <v>8755.8349958895978</v>
      </c>
      <c r="T12" s="9">
        <v>4929.7921430538336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</row>
    <row r="13" spans="1:29" x14ac:dyDescent="0.3">
      <c r="A13" s="2" t="s">
        <v>79</v>
      </c>
      <c r="B13" s="21" t="s">
        <v>73</v>
      </c>
      <c r="C13" s="9"/>
      <c r="D13" s="9"/>
      <c r="E13" s="9"/>
      <c r="F13" s="9">
        <v>91110.9065911621</v>
      </c>
      <c r="G13" s="9">
        <v>93016.884669525869</v>
      </c>
      <c r="H13" s="9">
        <v>92224.910170489879</v>
      </c>
      <c r="I13" s="9">
        <v>84969.816605979999</v>
      </c>
      <c r="J13" s="9">
        <v>83144.243572299965</v>
      </c>
      <c r="K13" s="9">
        <v>79124.103677740044</v>
      </c>
      <c r="L13" s="9">
        <v>59496.868546640027</v>
      </c>
      <c r="M13" s="9">
        <v>55916.969178979984</v>
      </c>
      <c r="N13" s="9">
        <v>75337.900740631609</v>
      </c>
      <c r="O13" s="9">
        <v>74750.786173886459</v>
      </c>
      <c r="P13" s="9">
        <v>74146.70116923048</v>
      </c>
      <c r="Q13" s="9">
        <v>73455.635977720813</v>
      </c>
      <c r="R13" s="9">
        <v>72939.292344561763</v>
      </c>
      <c r="S13" s="9">
        <v>72261.162270420347</v>
      </c>
      <c r="T13" s="9">
        <v>32535.788297706142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</row>
    <row r="16" spans="1:29" x14ac:dyDescent="0.3">
      <c r="A16" s="2" t="s">
        <v>66</v>
      </c>
      <c r="B16" s="2" t="s">
        <v>34</v>
      </c>
      <c r="I16" s="2" t="s">
        <v>74</v>
      </c>
    </row>
    <row r="17" spans="1:29" x14ac:dyDescent="0.3">
      <c r="B17" s="26" t="s">
        <v>31</v>
      </c>
      <c r="C17" s="10">
        <v>2019</v>
      </c>
      <c r="D17" s="10">
        <f>C17+1</f>
        <v>2020</v>
      </c>
      <c r="E17" s="10">
        <f t="shared" ref="E17:Z17" si="2">D17+1</f>
        <v>2021</v>
      </c>
      <c r="F17" s="10">
        <f t="shared" si="2"/>
        <v>2022</v>
      </c>
      <c r="G17" s="10">
        <f t="shared" si="2"/>
        <v>2023</v>
      </c>
      <c r="H17" s="10">
        <f t="shared" si="2"/>
        <v>2024</v>
      </c>
      <c r="I17" s="10">
        <f t="shared" si="2"/>
        <v>2025</v>
      </c>
      <c r="J17" s="10">
        <f t="shared" si="2"/>
        <v>2026</v>
      </c>
      <c r="K17" s="10">
        <f t="shared" si="2"/>
        <v>2027</v>
      </c>
      <c r="L17" s="10">
        <f t="shared" si="2"/>
        <v>2028</v>
      </c>
      <c r="M17" s="10">
        <f t="shared" si="2"/>
        <v>2029</v>
      </c>
      <c r="N17" s="10">
        <f t="shared" si="2"/>
        <v>2030</v>
      </c>
      <c r="O17" s="10">
        <f t="shared" si="2"/>
        <v>2031</v>
      </c>
      <c r="P17" s="10">
        <f t="shared" si="2"/>
        <v>2032</v>
      </c>
      <c r="Q17" s="10">
        <f t="shared" si="2"/>
        <v>2033</v>
      </c>
      <c r="R17" s="10">
        <f t="shared" si="2"/>
        <v>2034</v>
      </c>
      <c r="S17" s="10">
        <f t="shared" si="2"/>
        <v>2035</v>
      </c>
      <c r="T17" s="10">
        <f t="shared" si="2"/>
        <v>2036</v>
      </c>
      <c r="U17" s="10">
        <f t="shared" si="2"/>
        <v>2037</v>
      </c>
      <c r="V17" s="10">
        <f t="shared" si="2"/>
        <v>2038</v>
      </c>
      <c r="W17" s="10">
        <f t="shared" si="2"/>
        <v>2039</v>
      </c>
      <c r="X17" s="10">
        <f t="shared" si="2"/>
        <v>2040</v>
      </c>
      <c r="Y17" s="10">
        <f t="shared" si="2"/>
        <v>2041</v>
      </c>
      <c r="Z17" s="10">
        <f t="shared" si="2"/>
        <v>2042</v>
      </c>
      <c r="AA17" s="10">
        <f t="shared" ref="AA17" si="3">Z17+1</f>
        <v>2043</v>
      </c>
      <c r="AB17" s="10">
        <f t="shared" ref="AB17" si="4">AA17+1</f>
        <v>2044</v>
      </c>
      <c r="AC17" s="10">
        <v>2045</v>
      </c>
    </row>
    <row r="18" spans="1:29" x14ac:dyDescent="0.3">
      <c r="A18" s="2" t="s">
        <v>76</v>
      </c>
      <c r="B18" s="21" t="s">
        <v>37</v>
      </c>
      <c r="C18" s="9"/>
      <c r="D18" s="9"/>
      <c r="E18" s="9"/>
      <c r="F18" s="9"/>
      <c r="G18" s="9">
        <v>33352.841878139749</v>
      </c>
      <c r="H18" s="9">
        <v>158260.54706081442</v>
      </c>
      <c r="I18" s="9">
        <v>0</v>
      </c>
      <c r="J18" s="9">
        <v>0</v>
      </c>
      <c r="K18" s="9">
        <v>173763.20429119948</v>
      </c>
      <c r="L18" s="9">
        <v>805126.68132265995</v>
      </c>
      <c r="M18" s="9">
        <v>1987149.5024912409</v>
      </c>
      <c r="N18" s="9">
        <v>3085698.8553118818</v>
      </c>
      <c r="O18" s="9">
        <v>3738319.4200280793</v>
      </c>
      <c r="P18" s="9">
        <v>4913537.24547562</v>
      </c>
      <c r="Q18" s="9">
        <v>4871252.6067442764</v>
      </c>
      <c r="R18" s="9">
        <v>4898461.0315397009</v>
      </c>
      <c r="S18" s="9">
        <v>4944633.4524236973</v>
      </c>
      <c r="T18" s="9">
        <v>9550842.1721506678</v>
      </c>
      <c r="U18" s="9">
        <v>9568172.6496177651</v>
      </c>
      <c r="V18" s="9">
        <v>9593104.3365711551</v>
      </c>
      <c r="W18" s="9">
        <v>9549068.6834118217</v>
      </c>
      <c r="X18" s="9">
        <v>9527042.9805781245</v>
      </c>
      <c r="Y18" s="9">
        <v>9680305.0500236079</v>
      </c>
      <c r="Z18" s="9">
        <v>10031949.067790432</v>
      </c>
      <c r="AA18" s="9">
        <v>10742223.401746532</v>
      </c>
      <c r="AB18" s="9">
        <v>10727711.80288633</v>
      </c>
      <c r="AC18" s="9">
        <v>10696700.03946677</v>
      </c>
    </row>
    <row r="19" spans="1:29" x14ac:dyDescent="0.3">
      <c r="A19" s="2" t="s">
        <v>76</v>
      </c>
      <c r="B19" s="21" t="s">
        <v>29</v>
      </c>
      <c r="C19" s="9"/>
      <c r="D19" s="9"/>
      <c r="E19" s="9"/>
      <c r="F19" s="9"/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27335.176044742839</v>
      </c>
      <c r="M19" s="9">
        <v>37117.523814836248</v>
      </c>
      <c r="N19" s="9">
        <v>35713.913009109776</v>
      </c>
      <c r="O19" s="9">
        <v>35068.67991751826</v>
      </c>
      <c r="P19" s="9">
        <v>70960.677699966167</v>
      </c>
      <c r="Q19" s="9">
        <v>74628.911246381453</v>
      </c>
      <c r="R19" s="9">
        <v>69171.856410049775</v>
      </c>
      <c r="S19" s="9">
        <v>69212.029468801426</v>
      </c>
      <c r="T19" s="9">
        <v>92037.709378075117</v>
      </c>
      <c r="U19" s="9">
        <v>93783.070281823617</v>
      </c>
      <c r="V19" s="9">
        <v>85354.179428787887</v>
      </c>
      <c r="W19" s="9">
        <v>78705.784712046603</v>
      </c>
      <c r="X19" s="9">
        <v>65119.469744477596</v>
      </c>
      <c r="Y19" s="9">
        <v>62335.424899748665</v>
      </c>
      <c r="Z19" s="9">
        <v>99626.215762739826</v>
      </c>
      <c r="AA19" s="9">
        <v>131219.55740298785</v>
      </c>
      <c r="AB19" s="9">
        <v>124639.60154987122</v>
      </c>
      <c r="AC19" s="9">
        <v>127914.57945003676</v>
      </c>
    </row>
    <row r="20" spans="1:29" x14ac:dyDescent="0.3">
      <c r="A20" s="2" t="s">
        <v>76</v>
      </c>
      <c r="B20" s="21" t="s">
        <v>24</v>
      </c>
      <c r="C20" s="9"/>
      <c r="D20" s="9"/>
      <c r="E20" s="9"/>
      <c r="F20" s="9"/>
      <c r="G20" s="9">
        <v>9644.7037888203504</v>
      </c>
      <c r="H20" s="9">
        <v>45753.356848378899</v>
      </c>
      <c r="I20" s="9">
        <v>0</v>
      </c>
      <c r="J20" s="9">
        <v>0</v>
      </c>
      <c r="K20" s="9">
        <v>44854.43033815996</v>
      </c>
      <c r="L20" s="9">
        <v>193787.5793409599</v>
      </c>
      <c r="M20" s="9">
        <v>446504.48460608005</v>
      </c>
      <c r="N20" s="9">
        <v>669032.52211455954</v>
      </c>
      <c r="O20" s="9">
        <v>777980.62972719979</v>
      </c>
      <c r="P20" s="9">
        <v>1002663.9976387207</v>
      </c>
      <c r="Q20" s="9">
        <v>1019671.6091322406</v>
      </c>
      <c r="R20" s="9">
        <v>1026421.3112460597</v>
      </c>
      <c r="S20" s="9">
        <v>1027234.3930729196</v>
      </c>
      <c r="T20" s="9">
        <v>1983294.7864037412</v>
      </c>
      <c r="U20" s="9">
        <v>1995578.2176304006</v>
      </c>
      <c r="V20" s="9">
        <v>1998966.7365922991</v>
      </c>
      <c r="W20" s="9">
        <v>1987018.3872113409</v>
      </c>
      <c r="X20" s="9">
        <v>1983242.7102989601</v>
      </c>
      <c r="Y20" s="9">
        <v>2016392.2556416392</v>
      </c>
      <c r="Z20" s="9">
        <v>2088953.6342313595</v>
      </c>
      <c r="AA20" s="9">
        <v>2236859.3334532194</v>
      </c>
      <c r="AB20" s="9">
        <v>2233837.9591651396</v>
      </c>
      <c r="AC20" s="9">
        <v>2227140.1574683795</v>
      </c>
    </row>
    <row r="21" spans="1:29" x14ac:dyDescent="0.3">
      <c r="C21" s="27"/>
    </row>
    <row r="22" spans="1:29" x14ac:dyDescent="0.3">
      <c r="B22" s="3"/>
    </row>
    <row r="24" spans="1:29" x14ac:dyDescent="0.3">
      <c r="B24" s="5"/>
    </row>
    <row r="26" spans="1:29" x14ac:dyDescent="0.3">
      <c r="F26" s="2" t="s">
        <v>25</v>
      </c>
      <c r="G26" s="15">
        <f>G4+G11+G18</f>
        <v>3532462.0683664829</v>
      </c>
      <c r="H26" s="15">
        <f t="shared" ref="H26:V26" si="5">H4+H11+H18</f>
        <v>3714771.1934256195</v>
      </c>
      <c r="I26" s="15">
        <f t="shared" si="5"/>
        <v>4796665.1593479179</v>
      </c>
      <c r="J26" s="15">
        <f t="shared" si="5"/>
        <v>5048792.5019648355</v>
      </c>
      <c r="K26" s="15">
        <f t="shared" si="5"/>
        <v>5452741.9142047046</v>
      </c>
      <c r="L26" s="15">
        <f t="shared" si="5"/>
        <v>6048577.1272253105</v>
      </c>
      <c r="M26" s="15">
        <f t="shared" si="5"/>
        <v>7185296.5944930222</v>
      </c>
      <c r="N26" s="15">
        <f t="shared" si="5"/>
        <v>7482052.7639288902</v>
      </c>
      <c r="O26" s="15">
        <f t="shared" si="5"/>
        <v>8069036.524077897</v>
      </c>
      <c r="P26" s="15">
        <f t="shared" si="5"/>
        <v>9134285.8777342234</v>
      </c>
      <c r="Q26" s="15">
        <f t="shared" si="5"/>
        <v>9022485.226527011</v>
      </c>
      <c r="R26" s="15">
        <f t="shared" si="5"/>
        <v>9057502.0188323315</v>
      </c>
      <c r="S26" s="15">
        <f t="shared" si="5"/>
        <v>9059686.7659427822</v>
      </c>
      <c r="T26" s="15">
        <f t="shared" si="5"/>
        <v>12731805.397147695</v>
      </c>
      <c r="U26" s="15">
        <f t="shared" si="5"/>
        <v>12473160.623539509</v>
      </c>
      <c r="V26" s="15">
        <f t="shared" si="5"/>
        <v>12533077.981753092</v>
      </c>
      <c r="W26" s="15">
        <f t="shared" ref="W26:AB26" si="6">W4+W11+W18</f>
        <v>12431613.637346283</v>
      </c>
      <c r="X26" s="15">
        <f t="shared" si="6"/>
        <v>12381308.261985615</v>
      </c>
      <c r="Y26" s="15">
        <f t="shared" si="6"/>
        <v>12427659.776798237</v>
      </c>
      <c r="Z26" s="15">
        <f t="shared" si="6"/>
        <v>12828142.561500631</v>
      </c>
      <c r="AA26" s="15">
        <f t="shared" si="6"/>
        <v>13179445.996815275</v>
      </c>
      <c r="AB26" s="15">
        <f t="shared" si="6"/>
        <v>13147161.796082318</v>
      </c>
    </row>
    <row r="27" spans="1:29" x14ac:dyDescent="0.3">
      <c r="F27" s="2" t="s">
        <v>29</v>
      </c>
      <c r="G27" s="15">
        <f>G5+G12+G19</f>
        <v>317288</v>
      </c>
      <c r="H27" s="15">
        <f t="shared" ref="H27:V27" si="7">H5+H12+H19</f>
        <v>260110.01272054101</v>
      </c>
      <c r="I27" s="15">
        <f t="shared" si="7"/>
        <v>341171.31325010961</v>
      </c>
      <c r="J27" s="15">
        <f t="shared" si="7"/>
        <v>342430.28402205068</v>
      </c>
      <c r="K27" s="15">
        <f t="shared" si="7"/>
        <v>337658.12657592865</v>
      </c>
      <c r="L27" s="15">
        <f t="shared" si="7"/>
        <v>357160.79312523652</v>
      </c>
      <c r="M27" s="15">
        <f t="shared" si="7"/>
        <v>329004.19255137449</v>
      </c>
      <c r="N27" s="15">
        <f t="shared" si="7"/>
        <v>242707.41884334106</v>
      </c>
      <c r="O27" s="15">
        <f t="shared" si="7"/>
        <v>235684.98439770102</v>
      </c>
      <c r="P27" s="15">
        <f t="shared" si="7"/>
        <v>261381.77743100765</v>
      </c>
      <c r="Q27" s="15">
        <f t="shared" si="7"/>
        <v>269546.41304728348</v>
      </c>
      <c r="R27" s="15">
        <f t="shared" si="7"/>
        <v>253404.24278669944</v>
      </c>
      <c r="S27" s="15">
        <f t="shared" si="7"/>
        <v>250016.18063116958</v>
      </c>
      <c r="T27" s="15">
        <f t="shared" si="7"/>
        <v>241816.81491248857</v>
      </c>
      <c r="U27" s="15">
        <f t="shared" si="7"/>
        <v>242127.14114230598</v>
      </c>
      <c r="V27" s="15">
        <f t="shared" si="7"/>
        <v>230541.08469430223</v>
      </c>
      <c r="W27" s="15">
        <f t="shared" ref="W27:AB27" si="8">W5+W12+W19</f>
        <v>228663.39334598032</v>
      </c>
      <c r="X27" s="15">
        <f t="shared" si="8"/>
        <v>213871.12006177555</v>
      </c>
      <c r="Y27" s="15">
        <f t="shared" si="8"/>
        <v>205440.74326100398</v>
      </c>
      <c r="Z27" s="15">
        <f t="shared" si="8"/>
        <v>247733.89899766538</v>
      </c>
      <c r="AA27" s="15">
        <f t="shared" si="8"/>
        <v>269432.29886068986</v>
      </c>
      <c r="AB27" s="15">
        <f t="shared" si="8"/>
        <v>258709.40016499959</v>
      </c>
    </row>
    <row r="28" spans="1:29" x14ac:dyDescent="0.3">
      <c r="F28" s="2" t="s">
        <v>24</v>
      </c>
      <c r="G28" s="15">
        <f>G6+G13+G20</f>
        <v>850481.4447748292</v>
      </c>
      <c r="H28" s="15">
        <f t="shared" ref="H28:V28" si="9">H6+H13+H20</f>
        <v>889116.24559075595</v>
      </c>
      <c r="I28" s="15">
        <f t="shared" si="9"/>
        <v>1029336.7650445647</v>
      </c>
      <c r="J28" s="15">
        <f t="shared" si="9"/>
        <v>1068040.417409698</v>
      </c>
      <c r="K28" s="15">
        <f t="shared" si="9"/>
        <v>1082784.5761809894</v>
      </c>
      <c r="L28" s="15">
        <f t="shared" si="9"/>
        <v>1151237.0545387971</v>
      </c>
      <c r="M28" s="15">
        <f t="shared" si="9"/>
        <v>1322629.4461693484</v>
      </c>
      <c r="N28" s="15">
        <f t="shared" si="9"/>
        <v>1475219.5030069172</v>
      </c>
      <c r="O28" s="15">
        <f t="shared" si="9"/>
        <v>1541900.7250305337</v>
      </c>
      <c r="P28" s="15">
        <f t="shared" si="9"/>
        <v>1736275.0435590758</v>
      </c>
      <c r="Q28" s="15">
        <f t="shared" si="9"/>
        <v>1756802.5255202979</v>
      </c>
      <c r="R28" s="15">
        <f t="shared" si="9"/>
        <v>1766273.386572531</v>
      </c>
      <c r="S28" s="15">
        <f t="shared" si="9"/>
        <v>1752885.1504709602</v>
      </c>
      <c r="T28" s="15">
        <f t="shared" si="9"/>
        <v>2514129.289073674</v>
      </c>
      <c r="U28" s="15">
        <f t="shared" si="9"/>
        <v>2505519.7435949193</v>
      </c>
      <c r="V28" s="15">
        <f t="shared" si="9"/>
        <v>2509665.1225423608</v>
      </c>
      <c r="W28" s="15">
        <f t="shared" ref="W28:AB28" si="10">W6+W13+W20</f>
        <v>2510138.8777651205</v>
      </c>
      <c r="X28" s="15">
        <f t="shared" si="10"/>
        <v>2513899.2127466882</v>
      </c>
      <c r="Y28" s="15">
        <f t="shared" si="10"/>
        <v>2527200.4938387498</v>
      </c>
      <c r="Z28" s="15">
        <f t="shared" si="10"/>
        <v>2609559.040069235</v>
      </c>
      <c r="AA28" s="15">
        <f t="shared" si="10"/>
        <v>2704868.4548306949</v>
      </c>
      <c r="AB28" s="15">
        <f t="shared" si="10"/>
        <v>2700414.3944889666</v>
      </c>
    </row>
    <row r="38" spans="11:11" x14ac:dyDescent="0.3">
      <c r="K38" s="2" t="s">
        <v>90</v>
      </c>
    </row>
  </sheetData>
  <pageMargins left="0.7" right="0.7" top="0.75" bottom="0.75" header="0.3" footer="0.3"/>
  <pageSetup paperSize="3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A03DD-81E1-4826-A82E-68024A2AA37A}">
  <sheetPr codeName="Sheet8"/>
  <dimension ref="B2:AE5"/>
  <sheetViews>
    <sheetView zoomScaleNormal="100" workbookViewId="0"/>
  </sheetViews>
  <sheetFormatPr defaultRowHeight="14" x14ac:dyDescent="0.3"/>
  <cols>
    <col min="1" max="1" width="8.7265625" style="2"/>
    <col min="2" max="2" width="20.81640625" style="2" customWidth="1"/>
    <col min="3" max="15" width="9.1796875" style="2" customWidth="1"/>
    <col min="16" max="16384" width="8.7265625" style="2"/>
  </cols>
  <sheetData>
    <row r="2" spans="2:31" s="4" customFormat="1" ht="13" x14ac:dyDescent="0.3">
      <c r="B2" s="31" t="s">
        <v>42</v>
      </c>
      <c r="C2" s="32">
        <v>2017</v>
      </c>
      <c r="D2" s="32">
        <v>2018</v>
      </c>
      <c r="E2" s="32">
        <v>2019</v>
      </c>
      <c r="F2" s="32">
        <v>2020</v>
      </c>
      <c r="G2" s="32">
        <v>2021</v>
      </c>
      <c r="H2" s="32">
        <v>2022</v>
      </c>
      <c r="I2" s="32">
        <v>2023</v>
      </c>
      <c r="J2" s="32">
        <v>2024</v>
      </c>
      <c r="K2" s="32">
        <v>2025</v>
      </c>
      <c r="L2" s="32">
        <v>2026</v>
      </c>
      <c r="M2" s="32">
        <v>2027</v>
      </c>
      <c r="N2" s="32">
        <v>2028</v>
      </c>
      <c r="O2" s="32">
        <v>2029</v>
      </c>
      <c r="P2" s="32">
        <v>2030</v>
      </c>
      <c r="Q2" s="32">
        <v>2031</v>
      </c>
      <c r="R2" s="32">
        <v>2032</v>
      </c>
      <c r="S2" s="32">
        <v>2033</v>
      </c>
      <c r="T2" s="32">
        <v>2034</v>
      </c>
      <c r="U2" s="32">
        <v>2035</v>
      </c>
      <c r="V2" s="32">
        <v>2036</v>
      </c>
      <c r="W2" s="32">
        <v>2037</v>
      </c>
      <c r="X2" s="32">
        <v>2038</v>
      </c>
      <c r="Y2" s="32">
        <v>2039</v>
      </c>
      <c r="Z2" s="32">
        <v>2040</v>
      </c>
      <c r="AA2" s="32">
        <v>2041</v>
      </c>
      <c r="AB2" s="32">
        <v>2042</v>
      </c>
      <c r="AC2" s="32">
        <v>2043</v>
      </c>
      <c r="AD2" s="32">
        <v>2044</v>
      </c>
      <c r="AE2" s="32">
        <v>2045</v>
      </c>
    </row>
    <row r="3" spans="2:31" s="4" customFormat="1" ht="13" x14ac:dyDescent="0.3">
      <c r="B3" s="28" t="s">
        <v>43</v>
      </c>
      <c r="C3" s="29">
        <v>0.15</v>
      </c>
      <c r="D3" s="29">
        <v>0.15</v>
      </c>
      <c r="E3" s="29">
        <v>0.15</v>
      </c>
      <c r="F3" s="29">
        <v>0.2</v>
      </c>
      <c r="G3" s="29">
        <v>0.2</v>
      </c>
      <c r="H3" s="29">
        <v>0.2</v>
      </c>
      <c r="I3" s="29">
        <v>0.2</v>
      </c>
      <c r="J3" s="29">
        <v>0.2</v>
      </c>
      <c r="K3" s="29">
        <v>0.27</v>
      </c>
      <c r="L3" s="29">
        <v>0.27</v>
      </c>
      <c r="M3" s="29">
        <v>0.27</v>
      </c>
      <c r="N3" s="29">
        <v>0.27</v>
      </c>
      <c r="O3" s="29">
        <v>0.27</v>
      </c>
      <c r="P3" s="29">
        <v>0.35</v>
      </c>
      <c r="Q3" s="29">
        <v>0.35</v>
      </c>
      <c r="R3" s="29">
        <v>0.35</v>
      </c>
      <c r="S3" s="29">
        <v>0.35</v>
      </c>
      <c r="T3" s="29">
        <v>0.35</v>
      </c>
      <c r="U3" s="29">
        <v>0.45</v>
      </c>
      <c r="V3" s="29">
        <v>0.45</v>
      </c>
      <c r="W3" s="29">
        <v>0.45</v>
      </c>
      <c r="X3" s="29">
        <v>0.45</v>
      </c>
      <c r="Y3" s="29">
        <v>0.45</v>
      </c>
      <c r="Z3" s="29">
        <v>0.5</v>
      </c>
      <c r="AA3" s="29">
        <f>Z3</f>
        <v>0.5</v>
      </c>
      <c r="AB3" s="29">
        <f t="shared" ref="AB3:AE4" si="0">AA3</f>
        <v>0.5</v>
      </c>
      <c r="AC3" s="29">
        <f t="shared" si="0"/>
        <v>0.5</v>
      </c>
      <c r="AD3" s="29">
        <f t="shared" si="0"/>
        <v>0.5</v>
      </c>
      <c r="AE3" s="29">
        <f t="shared" si="0"/>
        <v>0.5</v>
      </c>
    </row>
    <row r="4" spans="2:31" s="4" customFormat="1" ht="13" x14ac:dyDescent="0.3">
      <c r="B4" s="28" t="s">
        <v>44</v>
      </c>
      <c r="C4" s="29">
        <v>0.09</v>
      </c>
      <c r="D4" s="29">
        <v>0.09</v>
      </c>
      <c r="E4" s="29">
        <v>0.09</v>
      </c>
      <c r="F4" s="29">
        <v>0.15</v>
      </c>
      <c r="G4" s="29">
        <v>0.15</v>
      </c>
      <c r="H4" s="29">
        <v>0.15</v>
      </c>
      <c r="I4" s="29">
        <v>0.15</v>
      </c>
      <c r="J4" s="29">
        <v>0.15</v>
      </c>
      <c r="K4" s="29">
        <v>0.15</v>
      </c>
      <c r="L4" s="29">
        <v>0.15</v>
      </c>
      <c r="M4" s="29">
        <v>0.15</v>
      </c>
      <c r="N4" s="29">
        <v>0.15</v>
      </c>
      <c r="O4" s="29">
        <v>0.15</v>
      </c>
      <c r="P4" s="29">
        <v>0.15</v>
      </c>
      <c r="Q4" s="29">
        <v>0.15</v>
      </c>
      <c r="R4" s="29">
        <v>0.15</v>
      </c>
      <c r="S4" s="29">
        <v>0.15</v>
      </c>
      <c r="T4" s="29">
        <v>0.15</v>
      </c>
      <c r="U4" s="29">
        <v>0.15</v>
      </c>
      <c r="V4" s="29">
        <v>0.15</v>
      </c>
      <c r="W4" s="29">
        <v>0.15</v>
      </c>
      <c r="X4" s="29">
        <v>0.15</v>
      </c>
      <c r="Y4" s="29">
        <v>0.15</v>
      </c>
      <c r="Z4" s="29">
        <v>0.15</v>
      </c>
      <c r="AA4" s="29">
        <f>Z4</f>
        <v>0.15</v>
      </c>
      <c r="AB4" s="29">
        <f t="shared" si="0"/>
        <v>0.15</v>
      </c>
      <c r="AC4" s="29">
        <f t="shared" si="0"/>
        <v>0.15</v>
      </c>
      <c r="AD4" s="29">
        <f t="shared" si="0"/>
        <v>0.15</v>
      </c>
      <c r="AE4" s="29">
        <f t="shared" si="0"/>
        <v>0.15</v>
      </c>
    </row>
    <row r="5" spans="2:31" s="4" customFormat="1" ht="13" x14ac:dyDescent="0.3">
      <c r="B5" s="33" t="s">
        <v>45</v>
      </c>
      <c r="C5" s="30">
        <v>0.27</v>
      </c>
      <c r="D5" s="30">
        <v>0.28999999999999998</v>
      </c>
      <c r="E5" s="30">
        <v>0.31</v>
      </c>
      <c r="F5" s="30">
        <v>0.33</v>
      </c>
      <c r="G5" s="30">
        <v>0.35749999999999998</v>
      </c>
      <c r="H5" s="30">
        <v>0.38500000000000001</v>
      </c>
      <c r="I5" s="30">
        <v>0.41249999999999998</v>
      </c>
      <c r="J5" s="30">
        <v>0.44</v>
      </c>
      <c r="K5" s="30">
        <v>0.4667</v>
      </c>
      <c r="L5" s="30">
        <v>0.49330000000000002</v>
      </c>
      <c r="M5" s="30">
        <v>0.52</v>
      </c>
      <c r="N5" s="30">
        <v>0.54669999999999996</v>
      </c>
      <c r="O5" s="30">
        <v>0.57330000000000003</v>
      </c>
      <c r="P5" s="30">
        <v>0.6</v>
      </c>
      <c r="Q5" s="30">
        <v>0.6</v>
      </c>
      <c r="R5" s="30">
        <v>0.6</v>
      </c>
      <c r="S5" s="30">
        <v>0.6</v>
      </c>
      <c r="T5" s="30">
        <v>0.6</v>
      </c>
      <c r="U5" s="30">
        <v>0.6</v>
      </c>
      <c r="V5" s="30">
        <v>0.6</v>
      </c>
      <c r="W5" s="30">
        <v>0.6</v>
      </c>
      <c r="X5" s="30">
        <v>0.6</v>
      </c>
      <c r="Y5" s="30">
        <v>0.6</v>
      </c>
      <c r="Z5" s="30">
        <v>0.6</v>
      </c>
      <c r="AA5" s="30">
        <v>0.6</v>
      </c>
      <c r="AB5" s="30">
        <v>0.6</v>
      </c>
      <c r="AC5" s="30">
        <v>0.6</v>
      </c>
      <c r="AD5" s="30">
        <v>0.6</v>
      </c>
      <c r="AE5" s="30">
        <v>0.6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F371E-19C3-4745-A0BE-BCC510B17B13}">
  <sheetPr codeName="Sheet9"/>
  <dimension ref="A1:AQ35"/>
  <sheetViews>
    <sheetView zoomScaleNormal="100" workbookViewId="0"/>
  </sheetViews>
  <sheetFormatPr defaultRowHeight="14" x14ac:dyDescent="0.3"/>
  <cols>
    <col min="1" max="1" width="19.1796875" style="2" bestFit="1" customWidth="1"/>
    <col min="2" max="2" width="21.26953125" style="2" customWidth="1"/>
    <col min="3" max="3" width="11.54296875" style="2" customWidth="1"/>
    <col min="4" max="4" width="13.453125" style="2" customWidth="1"/>
    <col min="5" max="5" width="11.54296875" style="2" customWidth="1"/>
    <col min="6" max="6" width="13.81640625" style="2" customWidth="1"/>
    <col min="7" max="7" width="14.26953125" style="2" customWidth="1"/>
    <col min="8" max="9" width="11.54296875" style="2" customWidth="1"/>
    <col min="10" max="10" width="12.54296875" style="2" customWidth="1"/>
    <col min="11" max="11" width="11.54296875" style="2" customWidth="1"/>
    <col min="12" max="12" width="13" style="2" customWidth="1"/>
    <col min="13" max="13" width="13.81640625" style="2" customWidth="1"/>
    <col min="14" max="14" width="12.453125" style="2" customWidth="1"/>
    <col min="15" max="15" width="13.81640625" style="2" customWidth="1"/>
    <col min="16" max="16" width="14.26953125" style="2" customWidth="1"/>
    <col min="17" max="17" width="12.453125" style="2" customWidth="1"/>
    <col min="18" max="18" width="14.54296875" style="2" customWidth="1"/>
    <col min="19" max="19" width="12.453125" style="2" customWidth="1"/>
    <col min="20" max="20" width="13" style="2" customWidth="1"/>
    <col min="21" max="21" width="11.54296875" style="2" customWidth="1"/>
    <col min="22" max="22" width="12.453125" style="2" customWidth="1"/>
    <col min="23" max="23" width="12.453125" style="2" bestFit="1" customWidth="1"/>
    <col min="24" max="25" width="12" style="2" bestFit="1" customWidth="1"/>
    <col min="26" max="33" width="11.1796875" style="2" customWidth="1"/>
    <col min="34" max="43" width="10.453125" style="2" customWidth="1"/>
    <col min="44" max="16384" width="8.7265625" style="2"/>
  </cols>
  <sheetData>
    <row r="1" spans="1:43" ht="15" x14ac:dyDescent="0.3">
      <c r="B1" s="35">
        <v>2009</v>
      </c>
      <c r="C1" s="35">
        <f t="shared" ref="C1:AL1" si="0">+B1+1</f>
        <v>2010</v>
      </c>
      <c r="D1" s="35">
        <f t="shared" si="0"/>
        <v>2011</v>
      </c>
      <c r="E1" s="35">
        <f t="shared" si="0"/>
        <v>2012</v>
      </c>
      <c r="F1" s="35">
        <f t="shared" si="0"/>
        <v>2013</v>
      </c>
      <c r="G1" s="35">
        <f t="shared" si="0"/>
        <v>2014</v>
      </c>
      <c r="H1" s="35">
        <f t="shared" si="0"/>
        <v>2015</v>
      </c>
      <c r="I1" s="35">
        <f t="shared" si="0"/>
        <v>2016</v>
      </c>
      <c r="J1" s="35">
        <f t="shared" si="0"/>
        <v>2017</v>
      </c>
      <c r="K1" s="35">
        <f t="shared" si="0"/>
        <v>2018</v>
      </c>
      <c r="L1" s="35">
        <f t="shared" si="0"/>
        <v>2019</v>
      </c>
      <c r="M1" s="35">
        <f t="shared" si="0"/>
        <v>2020</v>
      </c>
      <c r="N1" s="35">
        <f t="shared" si="0"/>
        <v>2021</v>
      </c>
      <c r="O1" s="35">
        <f t="shared" si="0"/>
        <v>2022</v>
      </c>
      <c r="P1" s="35">
        <f t="shared" si="0"/>
        <v>2023</v>
      </c>
      <c r="Q1" s="35">
        <f t="shared" si="0"/>
        <v>2024</v>
      </c>
      <c r="R1" s="35">
        <f t="shared" si="0"/>
        <v>2025</v>
      </c>
      <c r="S1" s="35">
        <f t="shared" si="0"/>
        <v>2026</v>
      </c>
      <c r="T1" s="35">
        <f t="shared" si="0"/>
        <v>2027</v>
      </c>
      <c r="U1" s="35">
        <f t="shared" si="0"/>
        <v>2028</v>
      </c>
      <c r="V1" s="35">
        <f t="shared" si="0"/>
        <v>2029</v>
      </c>
      <c r="W1" s="35">
        <f t="shared" si="0"/>
        <v>2030</v>
      </c>
      <c r="X1" s="35">
        <f t="shared" si="0"/>
        <v>2031</v>
      </c>
      <c r="Y1" s="35">
        <f t="shared" si="0"/>
        <v>2032</v>
      </c>
      <c r="Z1" s="35">
        <f t="shared" si="0"/>
        <v>2033</v>
      </c>
      <c r="AA1" s="35">
        <f t="shared" si="0"/>
        <v>2034</v>
      </c>
      <c r="AB1" s="35">
        <f t="shared" si="0"/>
        <v>2035</v>
      </c>
      <c r="AC1" s="35">
        <f t="shared" si="0"/>
        <v>2036</v>
      </c>
      <c r="AD1" s="35">
        <f t="shared" si="0"/>
        <v>2037</v>
      </c>
      <c r="AE1" s="35">
        <f t="shared" si="0"/>
        <v>2038</v>
      </c>
      <c r="AF1" s="35">
        <f t="shared" si="0"/>
        <v>2039</v>
      </c>
      <c r="AG1" s="35">
        <f t="shared" si="0"/>
        <v>2040</v>
      </c>
      <c r="AH1" s="35">
        <f t="shared" si="0"/>
        <v>2041</v>
      </c>
      <c r="AI1" s="35">
        <f t="shared" si="0"/>
        <v>2042</v>
      </c>
      <c r="AJ1" s="35">
        <f t="shared" si="0"/>
        <v>2043</v>
      </c>
      <c r="AK1" s="35">
        <f t="shared" si="0"/>
        <v>2044</v>
      </c>
      <c r="AL1" s="35">
        <f t="shared" si="0"/>
        <v>2045</v>
      </c>
      <c r="AM1" s="35">
        <f>+AL1+1</f>
        <v>2046</v>
      </c>
      <c r="AN1" s="35">
        <f>+AM1+1</f>
        <v>2047</v>
      </c>
      <c r="AO1" s="35">
        <f>+AN1+1</f>
        <v>2048</v>
      </c>
      <c r="AP1" s="35">
        <f>+AO1+1</f>
        <v>2049</v>
      </c>
      <c r="AQ1" s="35">
        <f>+AP1+1</f>
        <v>2050</v>
      </c>
    </row>
    <row r="2" spans="1:43" s="36" customFormat="1" x14ac:dyDescent="0.3">
      <c r="A2" s="36" t="s">
        <v>29</v>
      </c>
      <c r="B2" s="34">
        <v>848226</v>
      </c>
      <c r="C2" s="34">
        <v>830644.53899999999</v>
      </c>
      <c r="D2" s="34">
        <v>808648.0610000001</v>
      </c>
      <c r="E2" s="34">
        <v>782661.22100000002</v>
      </c>
      <c r="F2" s="34">
        <v>794834.33700000006</v>
      </c>
      <c r="G2" s="34">
        <v>754147.43599999999</v>
      </c>
      <c r="H2" s="34">
        <v>738801</v>
      </c>
      <c r="I2" s="34">
        <v>747700.59199999995</v>
      </c>
      <c r="J2" s="34">
        <v>762351.78899999999</v>
      </c>
      <c r="K2" s="34">
        <v>749274.076</v>
      </c>
      <c r="L2" s="34">
        <v>740931.29599999997</v>
      </c>
      <c r="M2" s="34">
        <v>758822.554</v>
      </c>
      <c r="N2" s="34">
        <v>798074.83200000005</v>
      </c>
      <c r="O2" s="34">
        <v>799527.82499999995</v>
      </c>
      <c r="P2" s="34">
        <v>770037.04102141794</v>
      </c>
      <c r="Q2" s="34">
        <v>761089.57187328127</v>
      </c>
      <c r="R2" s="34">
        <v>762202.78487663099</v>
      </c>
      <c r="S2" s="34">
        <v>759238.562622895</v>
      </c>
      <c r="T2" s="34">
        <v>752843.27529658074</v>
      </c>
      <c r="U2" s="34">
        <v>748330.89788486226</v>
      </c>
      <c r="V2" s="34">
        <v>739152.87899852952</v>
      </c>
      <c r="W2" s="34">
        <v>732237.71830944321</v>
      </c>
      <c r="X2" s="34">
        <v>725635.31105611695</v>
      </c>
      <c r="Y2" s="34">
        <v>720951.43863957562</v>
      </c>
      <c r="Z2" s="34">
        <v>712671.93612774485</v>
      </c>
      <c r="AA2" s="34">
        <v>707181.7183801838</v>
      </c>
      <c r="AB2" s="34">
        <v>702733.31431070343</v>
      </c>
      <c r="AC2" s="34">
        <v>701100.10824002104</v>
      </c>
      <c r="AD2" s="34">
        <v>697092.637766395</v>
      </c>
      <c r="AE2" s="34">
        <v>695480.1241497437</v>
      </c>
      <c r="AF2" s="34">
        <v>694445.29228171473</v>
      </c>
      <c r="AG2" s="34">
        <v>696489.2936360226</v>
      </c>
      <c r="AH2" s="34">
        <v>694174.83896477334</v>
      </c>
      <c r="AI2" s="34">
        <v>695260.12199081702</v>
      </c>
      <c r="AJ2" s="34">
        <v>695742.72627166379</v>
      </c>
      <c r="AK2" s="34">
        <v>698841.89434254053</v>
      </c>
      <c r="AL2" s="34">
        <v>698329.87832822732</v>
      </c>
      <c r="AM2" s="34"/>
      <c r="AN2" s="34"/>
      <c r="AO2" s="34"/>
      <c r="AP2" s="34"/>
      <c r="AQ2" s="34"/>
    </row>
    <row r="3" spans="1:43" s="36" customFormat="1" x14ac:dyDescent="0.3">
      <c r="A3" s="36" t="s">
        <v>25</v>
      </c>
      <c r="B3" s="34">
        <v>13422040</v>
      </c>
      <c r="C3" s="34">
        <v>12717170.311999999</v>
      </c>
      <c r="D3" s="34">
        <v>13014573.183000002</v>
      </c>
      <c r="E3" s="34">
        <v>12778781.288000001</v>
      </c>
      <c r="F3" s="34">
        <v>13089969.073999999</v>
      </c>
      <c r="G3" s="34">
        <v>12958735.647</v>
      </c>
      <c r="H3" s="34">
        <v>12862461</v>
      </c>
      <c r="I3" s="34">
        <v>12868974.02</v>
      </c>
      <c r="J3" s="34">
        <v>13200281.523</v>
      </c>
      <c r="K3" s="34">
        <v>12867233.313999999</v>
      </c>
      <c r="L3" s="34">
        <v>13088663.561000001</v>
      </c>
      <c r="M3" s="34">
        <v>12993459.205</v>
      </c>
      <c r="N3" s="34">
        <v>13510323.448000001</v>
      </c>
      <c r="O3" s="34">
        <v>13700592.141000001</v>
      </c>
      <c r="P3" s="34">
        <v>14506597.189634986</v>
      </c>
      <c r="Q3" s="34">
        <v>14488387.435847294</v>
      </c>
      <c r="R3" s="34">
        <v>14792964.226907253</v>
      </c>
      <c r="S3" s="34">
        <v>14876079.431375267</v>
      </c>
      <c r="T3" s="34">
        <v>14976089.710687215</v>
      </c>
      <c r="U3" s="34">
        <v>15015169.926374869</v>
      </c>
      <c r="V3" s="34">
        <v>14993900.356353449</v>
      </c>
      <c r="W3" s="34">
        <v>15013061.565601008</v>
      </c>
      <c r="X3" s="34">
        <v>15047816.110501595</v>
      </c>
      <c r="Y3" s="34">
        <v>15109642.617374841</v>
      </c>
      <c r="Z3" s="34">
        <v>15125409.907130029</v>
      </c>
      <c r="AA3" s="34">
        <v>15223647.462883277</v>
      </c>
      <c r="AB3" s="34">
        <v>15357218.873413309</v>
      </c>
      <c r="AC3" s="34">
        <v>15579104.551602799</v>
      </c>
      <c r="AD3" s="34">
        <v>15778347.74097283</v>
      </c>
      <c r="AE3" s="34">
        <v>16011590.030198384</v>
      </c>
      <c r="AF3" s="34">
        <v>16274214.979073983</v>
      </c>
      <c r="AG3" s="34">
        <v>16577385.408541191</v>
      </c>
      <c r="AH3" s="34">
        <v>16821001.697249096</v>
      </c>
      <c r="AI3" s="34">
        <v>17149756.102471363</v>
      </c>
      <c r="AJ3" s="34">
        <v>17722358.186990179</v>
      </c>
      <c r="AK3" s="34">
        <v>18066998.511498544</v>
      </c>
      <c r="AL3" s="34">
        <v>18328071.543890409</v>
      </c>
      <c r="AM3" s="34"/>
      <c r="AN3" s="34"/>
      <c r="AO3" s="34"/>
      <c r="AP3" s="34"/>
      <c r="AQ3" s="34"/>
    </row>
    <row r="4" spans="1:43" s="36" customFormat="1" x14ac:dyDescent="0.3">
      <c r="A4" s="36" t="s">
        <v>24</v>
      </c>
      <c r="B4" s="34">
        <v>4183739</v>
      </c>
      <c r="C4" s="34">
        <v>3984630.8280000002</v>
      </c>
      <c r="D4" s="34">
        <v>4005862.6749999998</v>
      </c>
      <c r="E4" s="34">
        <v>4041897.855</v>
      </c>
      <c r="F4" s="34">
        <v>4092687.9720000001</v>
      </c>
      <c r="G4" s="34">
        <v>4117646.1230000001</v>
      </c>
      <c r="H4" s="34">
        <v>4108270</v>
      </c>
      <c r="I4" s="34">
        <v>3981653.9279999998</v>
      </c>
      <c r="J4" s="34">
        <v>4221297.9519999996</v>
      </c>
      <c r="K4" s="34">
        <v>3949115.5449999999</v>
      </c>
      <c r="L4" s="34">
        <v>4144589.8369999998</v>
      </c>
      <c r="M4" s="34">
        <v>4065151.3369999998</v>
      </c>
      <c r="N4" s="34">
        <v>4198960.8439999996</v>
      </c>
      <c r="O4" s="34">
        <v>4181079.2790000001</v>
      </c>
      <c r="P4" s="34">
        <v>4132188.1305148057</v>
      </c>
      <c r="Q4" s="34">
        <v>4073599.2600332648</v>
      </c>
      <c r="R4" s="34">
        <v>4085409.4639083464</v>
      </c>
      <c r="S4" s="34">
        <v>4081065.5964874574</v>
      </c>
      <c r="T4" s="34">
        <v>4216512.7274765717</v>
      </c>
      <c r="U4" s="34">
        <v>4353735.6593244243</v>
      </c>
      <c r="V4" s="34">
        <v>4321802.4846412856</v>
      </c>
      <c r="W4" s="34">
        <v>4301258.3245911673</v>
      </c>
      <c r="X4" s="34">
        <v>4275545.7055316865</v>
      </c>
      <c r="Y4" s="34">
        <v>4259294.6658705128</v>
      </c>
      <c r="Z4" s="34">
        <v>4222598.5718206493</v>
      </c>
      <c r="AA4" s="34">
        <v>4200441.7619505227</v>
      </c>
      <c r="AB4" s="34">
        <v>4187365.3439584668</v>
      </c>
      <c r="AC4" s="34">
        <v>4198062.6938743144</v>
      </c>
      <c r="AD4" s="34">
        <v>4193830.8966573761</v>
      </c>
      <c r="AE4" s="34">
        <v>4209226.7491549291</v>
      </c>
      <c r="AF4" s="34">
        <v>4229179.8536066487</v>
      </c>
      <c r="AG4" s="34">
        <v>4268150.9120296678</v>
      </c>
      <c r="AH4" s="34">
        <v>4281705.8521556221</v>
      </c>
      <c r="AI4" s="34">
        <v>4315209.8671130314</v>
      </c>
      <c r="AJ4" s="34">
        <v>4344139.6795650152</v>
      </c>
      <c r="AK4" s="34">
        <v>4391159.2617252395</v>
      </c>
      <c r="AL4" s="34">
        <v>4421036.514029311</v>
      </c>
      <c r="AM4" s="34"/>
      <c r="AN4" s="34"/>
      <c r="AO4" s="34"/>
      <c r="AP4" s="34"/>
      <c r="AQ4" s="34"/>
    </row>
    <row r="5" spans="1:43" s="36" customFormat="1" x14ac:dyDescent="0.3">
      <c r="A5" s="36" t="s">
        <v>26</v>
      </c>
      <c r="B5" s="34">
        <v>22097825</v>
      </c>
      <c r="C5" s="34">
        <v>22476705.958000001</v>
      </c>
      <c r="D5" s="34">
        <v>23244723.257999998</v>
      </c>
      <c r="E5" s="34">
        <v>23930266.011</v>
      </c>
      <c r="F5" s="34">
        <v>24510032.647</v>
      </c>
      <c r="G5" s="34">
        <v>24105301.881000001</v>
      </c>
      <c r="H5" s="34">
        <v>24158338</v>
      </c>
      <c r="I5" s="34">
        <v>24019757.761999998</v>
      </c>
      <c r="J5" s="34">
        <v>24132845.905999999</v>
      </c>
      <c r="K5" s="34">
        <v>24513909.952</v>
      </c>
      <c r="L5" s="34">
        <v>24490305.403000001</v>
      </c>
      <c r="M5" s="34">
        <v>24850548.541999999</v>
      </c>
      <c r="N5" s="34">
        <v>25657419.646000002</v>
      </c>
      <c r="O5" s="34">
        <v>26109777.217</v>
      </c>
      <c r="P5" s="34">
        <v>26501364.408362634</v>
      </c>
      <c r="Q5" s="34">
        <v>27521414.352584325</v>
      </c>
      <c r="R5" s="34">
        <v>28405968.867207516</v>
      </c>
      <c r="S5" s="34">
        <v>28155203.604849901</v>
      </c>
      <c r="T5" s="34">
        <v>29691932.261380952</v>
      </c>
      <c r="U5" s="34">
        <v>32637318.971154504</v>
      </c>
      <c r="V5" s="34">
        <v>32952909.707241733</v>
      </c>
      <c r="W5" s="34">
        <v>33691011.659893967</v>
      </c>
      <c r="X5" s="34">
        <v>34042329.252889961</v>
      </c>
      <c r="Y5" s="34">
        <v>33919259.07514409</v>
      </c>
      <c r="Z5" s="34">
        <v>33986819.993116051</v>
      </c>
      <c r="AA5" s="34">
        <v>34052627.915560894</v>
      </c>
      <c r="AB5" s="34">
        <v>34136055.350130416</v>
      </c>
      <c r="AC5" s="34">
        <v>34308939.12632978</v>
      </c>
      <c r="AD5" s="34">
        <v>34374591.913970128</v>
      </c>
      <c r="AE5" s="34">
        <v>34572577.626282349</v>
      </c>
      <c r="AF5" s="34">
        <v>34822845.407655917</v>
      </c>
      <c r="AG5" s="34">
        <v>35110783.197075173</v>
      </c>
      <c r="AH5" s="34">
        <v>35292478.012946941</v>
      </c>
      <c r="AI5" s="34">
        <v>35581786.599360019</v>
      </c>
      <c r="AJ5" s="34">
        <v>35934614.856780134</v>
      </c>
      <c r="AK5" s="34">
        <v>36359530.317729086</v>
      </c>
      <c r="AL5" s="34">
        <v>36647609.639627822</v>
      </c>
      <c r="AM5" s="34"/>
      <c r="AN5" s="34"/>
      <c r="AO5" s="34"/>
      <c r="AP5" s="34"/>
      <c r="AQ5" s="34"/>
    </row>
    <row r="6" spans="1:43" s="36" customFormat="1" x14ac:dyDescent="0.3">
      <c r="A6" s="36" t="s">
        <v>22</v>
      </c>
      <c r="B6" s="34">
        <v>2955688</v>
      </c>
      <c r="C6" s="34">
        <v>3326294.1830000007</v>
      </c>
      <c r="D6" s="34">
        <v>3440248.7579999999</v>
      </c>
      <c r="E6" s="34">
        <v>3517627.2519999999</v>
      </c>
      <c r="F6" s="34">
        <v>3621646.071</v>
      </c>
      <c r="G6" s="34">
        <v>3495174.0830000001</v>
      </c>
      <c r="H6" s="34">
        <v>3443399</v>
      </c>
      <c r="I6" s="34">
        <v>3510478.3969999999</v>
      </c>
      <c r="J6" s="34">
        <v>3602666.39</v>
      </c>
      <c r="K6" s="34">
        <v>3643433.9929999998</v>
      </c>
      <c r="L6" s="34">
        <v>3485475.7910000002</v>
      </c>
      <c r="M6" s="34">
        <v>3534206.2069999999</v>
      </c>
      <c r="N6" s="34">
        <v>3552488.95</v>
      </c>
      <c r="O6" s="34">
        <v>3706983.79</v>
      </c>
      <c r="P6" s="34">
        <v>3798500.3234179993</v>
      </c>
      <c r="Q6" s="34">
        <v>3707743.7055037096</v>
      </c>
      <c r="R6" s="34">
        <v>3703842.0879920502</v>
      </c>
      <c r="S6" s="34">
        <v>3704264.858546515</v>
      </c>
      <c r="T6" s="34">
        <v>3701794.0198828983</v>
      </c>
      <c r="U6" s="34">
        <v>3701218.3639496369</v>
      </c>
      <c r="V6" s="34">
        <v>3684702.3343341546</v>
      </c>
      <c r="W6" s="34">
        <v>3671784.3269034969</v>
      </c>
      <c r="X6" s="34">
        <v>3655688.1662329352</v>
      </c>
      <c r="Y6" s="34">
        <v>3642871.3425802551</v>
      </c>
      <c r="Z6" s="34">
        <v>3618720.9790897202</v>
      </c>
      <c r="AA6" s="34">
        <v>3602028.8659402863</v>
      </c>
      <c r="AB6" s="34">
        <v>3587146.8107259804</v>
      </c>
      <c r="AC6" s="34">
        <v>3580065.8167577027</v>
      </c>
      <c r="AD6" s="34">
        <v>3563662.488380562</v>
      </c>
      <c r="AE6" s="34">
        <v>3555903.7915704479</v>
      </c>
      <c r="AF6" s="34">
        <v>3552061.417160973</v>
      </c>
      <c r="AG6" s="34">
        <v>3553937.3737096093</v>
      </c>
      <c r="AH6" s="34">
        <v>3543591.8128032601</v>
      </c>
      <c r="AI6" s="34">
        <v>3542917.2502685385</v>
      </c>
      <c r="AJ6" s="34">
        <v>3544217.2639095783</v>
      </c>
      <c r="AK6" s="34">
        <v>3552711.8269921015</v>
      </c>
      <c r="AL6" s="34">
        <v>3549355.801828736</v>
      </c>
      <c r="AM6" s="34"/>
      <c r="AN6" s="34"/>
      <c r="AO6" s="34"/>
      <c r="AP6" s="34"/>
      <c r="AQ6" s="34"/>
    </row>
    <row r="7" spans="1:43" s="36" customFormat="1" x14ac:dyDescent="0.3">
      <c r="A7" s="36" t="s">
        <v>23</v>
      </c>
      <c r="B7" s="34">
        <v>9202007</v>
      </c>
      <c r="C7" s="34">
        <v>9680088.0730000008</v>
      </c>
      <c r="D7" s="34">
        <v>9792810.1489999983</v>
      </c>
      <c r="E7" s="34">
        <v>9498107.1720000003</v>
      </c>
      <c r="F7" s="34">
        <v>9553702.5380000006</v>
      </c>
      <c r="G7" s="34">
        <v>9568271.3760000002</v>
      </c>
      <c r="H7" s="34">
        <v>9329942</v>
      </c>
      <c r="I7" s="34">
        <v>9189372.4860000014</v>
      </c>
      <c r="J7" s="34">
        <v>9330378.6239999998</v>
      </c>
      <c r="K7" s="34">
        <v>9392489.432</v>
      </c>
      <c r="L7" s="34">
        <v>9392640.8099999987</v>
      </c>
      <c r="M7" s="34">
        <v>8357790.1739999996</v>
      </c>
      <c r="N7" s="34">
        <v>8556665.8000000007</v>
      </c>
      <c r="O7" s="34">
        <v>8666135.8939999994</v>
      </c>
      <c r="P7" s="34">
        <v>8963031.5999580901</v>
      </c>
      <c r="Q7" s="34">
        <v>9001304.3069619462</v>
      </c>
      <c r="R7" s="34">
        <v>9058016.895716805</v>
      </c>
      <c r="S7" s="34">
        <v>9040385.3928948753</v>
      </c>
      <c r="T7" s="34">
        <v>9046794.0914436076</v>
      </c>
      <c r="U7" s="34">
        <v>9055997.3506058231</v>
      </c>
      <c r="V7" s="34">
        <v>9011182.8821912222</v>
      </c>
      <c r="W7" s="34">
        <v>8970127.2937406041</v>
      </c>
      <c r="X7" s="34">
        <v>8958617.1029728595</v>
      </c>
      <c r="Y7" s="34">
        <v>8938955.5636353027</v>
      </c>
      <c r="Z7" s="34">
        <v>8911298.6651058886</v>
      </c>
      <c r="AA7" s="34">
        <v>8895346.4408530053</v>
      </c>
      <c r="AB7" s="34">
        <v>8887166.8125384506</v>
      </c>
      <c r="AC7" s="34">
        <v>8905721.1623700373</v>
      </c>
      <c r="AD7" s="34">
        <v>8885477.9058183674</v>
      </c>
      <c r="AE7" s="34">
        <v>8894206.2153000049</v>
      </c>
      <c r="AF7" s="34">
        <v>8910641.837533785</v>
      </c>
      <c r="AG7" s="34">
        <v>8944848.2368997838</v>
      </c>
      <c r="AH7" s="34">
        <v>8938902.6674576793</v>
      </c>
      <c r="AI7" s="34">
        <v>8959227.9379068017</v>
      </c>
      <c r="AJ7" s="34">
        <v>8983697.7298889477</v>
      </c>
      <c r="AK7" s="34">
        <v>9030219.9754989818</v>
      </c>
      <c r="AL7" s="34">
        <v>9033176.7308107186</v>
      </c>
      <c r="AM7" s="34"/>
      <c r="AN7" s="34"/>
      <c r="AO7" s="34"/>
      <c r="AP7" s="34"/>
      <c r="AQ7" s="34"/>
    </row>
    <row r="8" spans="1:43" ht="23.25" customHeight="1" x14ac:dyDescent="0.3">
      <c r="A8" s="37" t="s">
        <v>30</v>
      </c>
      <c r="B8" s="15">
        <f t="shared" ref="B8:AQ8" si="1">SUM(B2:B7)</f>
        <v>52709525</v>
      </c>
      <c r="C8" s="15">
        <f t="shared" si="1"/>
        <v>53015533.892999999</v>
      </c>
      <c r="D8" s="15">
        <f t="shared" si="1"/>
        <v>54306866.083999999</v>
      </c>
      <c r="E8" s="15">
        <f t="shared" si="1"/>
        <v>54549340.798999995</v>
      </c>
      <c r="F8" s="15">
        <f t="shared" si="1"/>
        <v>55662872.639000006</v>
      </c>
      <c r="G8" s="15">
        <f t="shared" si="1"/>
        <v>54999276.545999996</v>
      </c>
      <c r="H8" s="15">
        <f t="shared" si="1"/>
        <v>54641211</v>
      </c>
      <c r="I8" s="15">
        <f t="shared" si="1"/>
        <v>54317937.185000002</v>
      </c>
      <c r="J8" s="15">
        <f t="shared" si="1"/>
        <v>55249822.184</v>
      </c>
      <c r="K8" s="15">
        <f t="shared" si="1"/>
        <v>55115456.311999992</v>
      </c>
      <c r="L8" s="15">
        <f t="shared" si="1"/>
        <v>55342606.697999999</v>
      </c>
      <c r="M8" s="15">
        <f t="shared" si="1"/>
        <v>54559978.019000001</v>
      </c>
      <c r="N8" s="15">
        <f t="shared" si="1"/>
        <v>56273933.520000011</v>
      </c>
      <c r="O8" s="15">
        <f t="shared" si="1"/>
        <v>57164096.145999998</v>
      </c>
      <c r="P8" s="15">
        <f t="shared" si="1"/>
        <v>58671718.692909934</v>
      </c>
      <c r="Q8" s="15">
        <f t="shared" si="1"/>
        <v>59553538.63280382</v>
      </c>
      <c r="R8" s="15">
        <f t="shared" si="1"/>
        <v>60808404.326608598</v>
      </c>
      <c r="S8" s="15">
        <f t="shared" si="1"/>
        <v>60616237.446776912</v>
      </c>
      <c r="T8" s="15">
        <f t="shared" si="1"/>
        <v>62385966.08616782</v>
      </c>
      <c r="U8" s="15">
        <f t="shared" si="1"/>
        <v>65511771.169294119</v>
      </c>
      <c r="V8" s="15">
        <f t="shared" si="1"/>
        <v>65703650.643760368</v>
      </c>
      <c r="W8" s="15">
        <f t="shared" si="1"/>
        <v>66379480.889039695</v>
      </c>
      <c r="X8" s="15">
        <f t="shared" si="1"/>
        <v>66705631.649185151</v>
      </c>
      <c r="Y8" s="15">
        <f t="shared" si="1"/>
        <v>66590974.703244582</v>
      </c>
      <c r="Z8" s="15">
        <f t="shared" si="1"/>
        <v>66577520.052390084</v>
      </c>
      <c r="AA8" s="15">
        <f t="shared" si="1"/>
        <v>66681274.165568173</v>
      </c>
      <c r="AB8" s="15">
        <f t="shared" si="1"/>
        <v>66857686.505077332</v>
      </c>
      <c r="AC8" s="15">
        <f t="shared" si="1"/>
        <v>67272993.459174648</v>
      </c>
      <c r="AD8" s="15">
        <f t="shared" si="1"/>
        <v>67493003.583565652</v>
      </c>
      <c r="AE8" s="15">
        <f t="shared" si="1"/>
        <v>67938984.536655858</v>
      </c>
      <c r="AF8" s="15">
        <f t="shared" si="1"/>
        <v>68483388.787313014</v>
      </c>
      <c r="AG8" s="15">
        <f t="shared" si="1"/>
        <v>69151594.421891451</v>
      </c>
      <c r="AH8" s="15">
        <f t="shared" si="1"/>
        <v>69571854.881577373</v>
      </c>
      <c r="AI8" s="15">
        <f t="shared" si="1"/>
        <v>70244157.879110575</v>
      </c>
      <c r="AJ8" s="15">
        <f t="shared" si="1"/>
        <v>71224770.443405524</v>
      </c>
      <c r="AK8" s="15">
        <f t="shared" si="1"/>
        <v>72099461.787786499</v>
      </c>
      <c r="AL8" s="15">
        <f t="shared" si="1"/>
        <v>72677580.108515218</v>
      </c>
      <c r="AM8" s="15">
        <f t="shared" si="1"/>
        <v>0</v>
      </c>
      <c r="AN8" s="15">
        <f t="shared" si="1"/>
        <v>0</v>
      </c>
      <c r="AO8" s="15">
        <f t="shared" si="1"/>
        <v>0</v>
      </c>
      <c r="AP8" s="15">
        <f t="shared" si="1"/>
        <v>0</v>
      </c>
      <c r="AQ8" s="15">
        <f t="shared" si="1"/>
        <v>0</v>
      </c>
    </row>
    <row r="9" spans="1:43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x14ac:dyDescent="0.3">
      <c r="A10" s="36" t="s">
        <v>58</v>
      </c>
      <c r="B10" s="15">
        <v>52709525</v>
      </c>
      <c r="C10" s="15">
        <v>53015534</v>
      </c>
      <c r="D10" s="15">
        <v>54306867</v>
      </c>
      <c r="E10" s="15">
        <v>54549340.799000002</v>
      </c>
      <c r="F10" s="15">
        <v>55662872.639000006</v>
      </c>
      <c r="G10" s="15">
        <v>54999276.545999996</v>
      </c>
      <c r="H10" s="15">
        <v>54641211</v>
      </c>
      <c r="I10" s="15">
        <v>54317937.185000002</v>
      </c>
      <c r="J10" s="15">
        <v>55249822.184</v>
      </c>
      <c r="K10" s="15">
        <v>55115456.311999992</v>
      </c>
      <c r="L10" s="15">
        <v>55342606.697999999</v>
      </c>
      <c r="M10" s="15">
        <v>54559978.019000001</v>
      </c>
      <c r="N10" s="15">
        <v>56273933.520000003</v>
      </c>
      <c r="O10" s="14">
        <v>57164096.145999998</v>
      </c>
      <c r="P10" s="15">
        <v>58671718.692909934</v>
      </c>
      <c r="Q10" s="15">
        <v>59553538.63280382</v>
      </c>
      <c r="R10" s="15">
        <v>61247513.25247179</v>
      </c>
      <c r="S10" s="15">
        <v>61589759.883488297</v>
      </c>
      <c r="T10" s="15">
        <v>64111385.956710786</v>
      </c>
      <c r="U10" s="15">
        <v>68374747.116362736</v>
      </c>
      <c r="V10" s="15">
        <v>69696878.361857131</v>
      </c>
      <c r="W10" s="15">
        <v>70901208.095344067</v>
      </c>
      <c r="X10" s="15">
        <v>72076077.561914921</v>
      </c>
      <c r="Y10" s="15">
        <v>72201984.027234003</v>
      </c>
      <c r="Z10" s="15">
        <v>72248435.91657348</v>
      </c>
      <c r="AA10" s="15">
        <v>72371118.35818103</v>
      </c>
      <c r="AB10" s="15">
        <v>72577497.786335111</v>
      </c>
      <c r="AC10" s="15">
        <v>73004564.366297096</v>
      </c>
      <c r="AD10" s="15">
        <v>73181811.161900103</v>
      </c>
      <c r="AE10" s="15">
        <v>73635320.155742139</v>
      </c>
      <c r="AF10" s="15">
        <v>74173838.693951011</v>
      </c>
      <c r="AG10" s="15">
        <v>74828378.247103095</v>
      </c>
      <c r="AH10" s="15">
        <v>75221383.938337967</v>
      </c>
      <c r="AI10" s="15">
        <v>75817443.577746063</v>
      </c>
      <c r="AJ10" s="15">
        <v>76495411.73282735</v>
      </c>
      <c r="AK10" s="15">
        <v>77333326.662434667</v>
      </c>
      <c r="AL10" s="15">
        <v>77889405.453342915</v>
      </c>
      <c r="AM10" s="15">
        <v>78611527.243124649</v>
      </c>
      <c r="AN10" s="15">
        <v>79338940.890285566</v>
      </c>
      <c r="AO10" s="15">
        <v>80225398.665627807</v>
      </c>
      <c r="AP10" s="15">
        <v>80806078.105981082</v>
      </c>
      <c r="AQ10" s="15">
        <v>81552980.746592119</v>
      </c>
    </row>
    <row r="11" spans="1:43" x14ac:dyDescent="0.3">
      <c r="A11" s="36" t="s">
        <v>59</v>
      </c>
      <c r="B11" s="7">
        <f>+B10-B8</f>
        <v>0</v>
      </c>
      <c r="C11" s="7">
        <f t="shared" ref="C11:AG11" si="2">+C10-C8</f>
        <v>0.10700000077486038</v>
      </c>
      <c r="D11" s="7">
        <f t="shared" si="2"/>
        <v>0.91600000113248825</v>
      </c>
      <c r="E11" s="7">
        <f t="shared" si="2"/>
        <v>0</v>
      </c>
      <c r="F11" s="7">
        <f t="shared" si="2"/>
        <v>0</v>
      </c>
      <c r="G11" s="7">
        <f t="shared" si="2"/>
        <v>0</v>
      </c>
      <c r="H11" s="7">
        <f t="shared" si="2"/>
        <v>0</v>
      </c>
      <c r="I11" s="7">
        <f t="shared" si="2"/>
        <v>0</v>
      </c>
      <c r="J11" s="7">
        <f t="shared" si="2"/>
        <v>0</v>
      </c>
      <c r="K11" s="7">
        <f t="shared" si="2"/>
        <v>0</v>
      </c>
      <c r="L11" s="7">
        <f t="shared" si="2"/>
        <v>0</v>
      </c>
      <c r="M11" s="7">
        <f t="shared" si="2"/>
        <v>0</v>
      </c>
      <c r="N11" s="7">
        <f t="shared" si="2"/>
        <v>0</v>
      </c>
      <c r="O11" s="7">
        <f t="shared" si="2"/>
        <v>0</v>
      </c>
      <c r="P11" s="7">
        <f t="shared" si="2"/>
        <v>0</v>
      </c>
      <c r="Q11" s="7">
        <f t="shared" si="2"/>
        <v>0</v>
      </c>
      <c r="R11" s="7">
        <f t="shared" si="2"/>
        <v>439108.92586319149</v>
      </c>
      <c r="S11" s="7">
        <f t="shared" si="2"/>
        <v>973522.43671138585</v>
      </c>
      <c r="T11" s="7">
        <f t="shared" si="2"/>
        <v>1725419.8705429658</v>
      </c>
      <c r="U11" s="7">
        <f t="shared" si="2"/>
        <v>2862975.9470686167</v>
      </c>
      <c r="V11" s="7">
        <f t="shared" si="2"/>
        <v>3993227.7180967629</v>
      </c>
      <c r="W11" s="7">
        <f t="shared" si="2"/>
        <v>4521727.2063043714</v>
      </c>
      <c r="X11" s="7">
        <f t="shared" si="2"/>
        <v>5370445.9127297699</v>
      </c>
      <c r="Y11" s="7">
        <f t="shared" si="2"/>
        <v>5611009.3239894211</v>
      </c>
      <c r="Z11" s="7">
        <f t="shared" si="2"/>
        <v>5670915.8641833961</v>
      </c>
      <c r="AA11" s="7">
        <f t="shared" si="2"/>
        <v>5689844.1926128566</v>
      </c>
      <c r="AB11" s="7">
        <f t="shared" si="2"/>
        <v>5719811.2812577784</v>
      </c>
      <c r="AC11" s="7">
        <f t="shared" si="2"/>
        <v>5731570.9071224481</v>
      </c>
      <c r="AD11" s="7">
        <f t="shared" si="2"/>
        <v>5688807.5783344507</v>
      </c>
      <c r="AE11" s="7">
        <f t="shared" si="2"/>
        <v>5696335.6190862805</v>
      </c>
      <c r="AF11" s="7">
        <f t="shared" si="2"/>
        <v>5690449.9066379964</v>
      </c>
      <c r="AG11" s="7">
        <f t="shared" si="2"/>
        <v>5676783.8252116442</v>
      </c>
      <c r="AH11" s="7">
        <f t="shared" ref="AH11:AI11" si="3">+AH10-AH8</f>
        <v>5649529.0567605942</v>
      </c>
      <c r="AI11" s="7">
        <f t="shared" si="3"/>
        <v>5573285.6986354887</v>
      </c>
      <c r="AJ11" s="7">
        <f t="shared" ref="AJ11:AM11" si="4">+AJ10-AJ8</f>
        <v>5270641.2894218266</v>
      </c>
      <c r="AK11" s="7">
        <f t="shared" si="4"/>
        <v>5233864.8746481687</v>
      </c>
      <c r="AL11" s="7">
        <f t="shared" si="4"/>
        <v>5211825.3448276967</v>
      </c>
      <c r="AM11" s="7">
        <f t="shared" si="4"/>
        <v>78611527.243124649</v>
      </c>
      <c r="AN11" s="7">
        <f t="shared" ref="AN11:AQ11" si="5">+AN10-AN8</f>
        <v>79338940.890285566</v>
      </c>
      <c r="AO11" s="7">
        <f t="shared" si="5"/>
        <v>80225398.665627807</v>
      </c>
      <c r="AP11" s="7">
        <f t="shared" si="5"/>
        <v>80806078.105981082</v>
      </c>
      <c r="AQ11" s="7">
        <f t="shared" si="5"/>
        <v>81552980.746592119</v>
      </c>
    </row>
    <row r="12" spans="1:43" x14ac:dyDescent="0.3">
      <c r="B12" s="7"/>
      <c r="H12" s="7"/>
    </row>
    <row r="13" spans="1:43" s="38" customFormat="1" x14ac:dyDescent="0.3">
      <c r="B13" s="39" t="s">
        <v>60</v>
      </c>
      <c r="C13" s="38" t="s">
        <v>60</v>
      </c>
      <c r="D13" s="38" t="s">
        <v>60</v>
      </c>
      <c r="E13" s="38" t="s">
        <v>60</v>
      </c>
      <c r="F13" s="38" t="s">
        <v>60</v>
      </c>
      <c r="G13" s="38" t="s">
        <v>60</v>
      </c>
      <c r="H13" s="38" t="s">
        <v>60</v>
      </c>
      <c r="I13" s="38" t="s">
        <v>60</v>
      </c>
      <c r="J13" s="38" t="s">
        <v>60</v>
      </c>
      <c r="K13" s="38" t="s">
        <v>60</v>
      </c>
      <c r="L13" s="38" t="s">
        <v>60</v>
      </c>
      <c r="M13" s="38" t="s">
        <v>60</v>
      </c>
      <c r="N13" s="38" t="s">
        <v>60</v>
      </c>
      <c r="O13" s="38" t="s">
        <v>62</v>
      </c>
      <c r="P13" s="38" t="s">
        <v>61</v>
      </c>
      <c r="Q13" s="38" t="s">
        <v>61</v>
      </c>
      <c r="R13" s="38" t="s">
        <v>61</v>
      </c>
      <c r="S13" s="38" t="s">
        <v>61</v>
      </c>
      <c r="T13" s="38" t="s">
        <v>61</v>
      </c>
      <c r="U13" s="38" t="s">
        <v>61</v>
      </c>
      <c r="V13" s="38" t="s">
        <v>61</v>
      </c>
      <c r="W13" s="38" t="s">
        <v>61</v>
      </c>
      <c r="X13" s="38" t="s">
        <v>61</v>
      </c>
      <c r="Y13" s="38" t="s">
        <v>61</v>
      </c>
      <c r="Z13" s="38" t="s">
        <v>61</v>
      </c>
      <c r="AA13" s="38" t="s">
        <v>61</v>
      </c>
      <c r="AB13" s="38" t="s">
        <v>61</v>
      </c>
      <c r="AC13" s="38" t="s">
        <v>61</v>
      </c>
      <c r="AD13" s="38" t="s">
        <v>61</v>
      </c>
      <c r="AE13" s="38" t="s">
        <v>61</v>
      </c>
      <c r="AF13" s="38" t="s">
        <v>61</v>
      </c>
      <c r="AG13" s="38" t="s">
        <v>61</v>
      </c>
      <c r="AH13" s="38" t="s">
        <v>61</v>
      </c>
      <c r="AI13" s="38" t="s">
        <v>61</v>
      </c>
      <c r="AJ13" s="38" t="s">
        <v>61</v>
      </c>
      <c r="AK13" s="38" t="s">
        <v>61</v>
      </c>
      <c r="AL13" s="38" t="s">
        <v>61</v>
      </c>
      <c r="AM13" s="38" t="s">
        <v>61</v>
      </c>
      <c r="AN13" s="38" t="s">
        <v>61</v>
      </c>
      <c r="AO13" s="38" t="s">
        <v>61</v>
      </c>
      <c r="AP13" s="38" t="s">
        <v>61</v>
      </c>
      <c r="AQ13" s="38" t="s">
        <v>61</v>
      </c>
    </row>
    <row r="14" spans="1:43" x14ac:dyDescent="0.3">
      <c r="B14" s="7"/>
      <c r="H14" s="7"/>
    </row>
    <row r="15" spans="1:43" x14ac:dyDescent="0.3">
      <c r="B15" s="7" t="s">
        <v>63</v>
      </c>
      <c r="C15" s="2" t="s">
        <v>63</v>
      </c>
      <c r="D15" s="2" t="s">
        <v>63</v>
      </c>
      <c r="E15" s="2" t="s">
        <v>63</v>
      </c>
      <c r="F15" s="2" t="s">
        <v>63</v>
      </c>
      <c r="G15" s="2" t="s">
        <v>63</v>
      </c>
      <c r="H15" s="7" t="s">
        <v>63</v>
      </c>
      <c r="I15" s="2" t="s">
        <v>63</v>
      </c>
      <c r="J15" s="2" t="s">
        <v>63</v>
      </c>
      <c r="K15" s="2" t="s">
        <v>63</v>
      </c>
      <c r="L15" s="2" t="s">
        <v>63</v>
      </c>
      <c r="M15" s="2" t="s">
        <v>63</v>
      </c>
      <c r="N15" s="2" t="s">
        <v>63</v>
      </c>
      <c r="O15" s="2" t="s">
        <v>63</v>
      </c>
    </row>
    <row r="16" spans="1:43" x14ac:dyDescent="0.3">
      <c r="B16" s="7"/>
      <c r="H16" s="7"/>
      <c r="R16" s="3" t="s">
        <v>91</v>
      </c>
    </row>
    <row r="17" spans="1:19" x14ac:dyDescent="0.3">
      <c r="B17" s="7"/>
      <c r="H17" s="7"/>
    </row>
    <row r="18" spans="1:19" x14ac:dyDescent="0.3">
      <c r="A18" s="3"/>
      <c r="B18" s="7"/>
      <c r="D18" s="15"/>
      <c r="H18" s="7"/>
    </row>
    <row r="19" spans="1:19" x14ac:dyDescent="0.3">
      <c r="B19" s="7"/>
      <c r="H19" s="7"/>
    </row>
    <row r="20" spans="1:19" x14ac:dyDescent="0.3">
      <c r="B20" s="7"/>
      <c r="H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x14ac:dyDescent="0.3">
      <c r="B21" s="6"/>
      <c r="F21" s="1"/>
      <c r="H21" s="7"/>
    </row>
    <row r="22" spans="1:19" x14ac:dyDescent="0.3">
      <c r="B22" s="7"/>
      <c r="H22" s="7"/>
    </row>
    <row r="23" spans="1:19" x14ac:dyDescent="0.3">
      <c r="B23" s="7"/>
      <c r="H23" s="7"/>
    </row>
    <row r="24" spans="1:19" x14ac:dyDescent="0.3">
      <c r="B24" s="7"/>
      <c r="H24" s="7"/>
    </row>
    <row r="25" spans="1:19" x14ac:dyDescent="0.3">
      <c r="B25" s="7"/>
      <c r="H25" s="7"/>
    </row>
    <row r="27" spans="1:19" s="36" customFormat="1" x14ac:dyDescent="0.3"/>
    <row r="29" spans="1:19" x14ac:dyDescent="0.3">
      <c r="B29" s="7"/>
      <c r="H29" s="7"/>
    </row>
    <row r="30" spans="1:19" x14ac:dyDescent="0.3">
      <c r="B30" s="7"/>
      <c r="H30" s="7"/>
    </row>
    <row r="31" spans="1:19" x14ac:dyDescent="0.3">
      <c r="B31" s="7"/>
    </row>
    <row r="32" spans="1:19" x14ac:dyDescent="0.3">
      <c r="B32" s="7"/>
    </row>
    <row r="33" spans="2:2" x14ac:dyDescent="0.3">
      <c r="B33" s="7"/>
    </row>
    <row r="34" spans="2:2" x14ac:dyDescent="0.3">
      <c r="B34" s="7"/>
    </row>
    <row r="35" spans="2:2" x14ac:dyDescent="0.3">
      <c r="B35" s="7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CA506-3784-4427-A351-8D7E7DB74BDD}">
  <sheetPr codeName="Sheet10"/>
  <dimension ref="A2:C12"/>
  <sheetViews>
    <sheetView zoomScaleNormal="100" workbookViewId="0">
      <selection activeCell="C26" sqref="C26"/>
    </sheetView>
  </sheetViews>
  <sheetFormatPr defaultRowHeight="14" x14ac:dyDescent="0.3"/>
  <cols>
    <col min="1" max="1" width="13.7265625" style="40" bestFit="1" customWidth="1"/>
    <col min="2" max="2" width="8.7265625" style="40"/>
    <col min="3" max="3" width="11.453125" style="40" bestFit="1" customWidth="1"/>
    <col min="4" max="16384" width="8.7265625" style="40"/>
  </cols>
  <sheetData>
    <row r="2" spans="1:3" x14ac:dyDescent="0.3">
      <c r="A2" s="40" t="s">
        <v>46</v>
      </c>
      <c r="B2" s="41">
        <v>4.2200000000000001E-2</v>
      </c>
      <c r="C2" s="40" t="s">
        <v>47</v>
      </c>
    </row>
    <row r="3" spans="1:3" x14ac:dyDescent="0.3">
      <c r="B3" s="41">
        <v>5.1999999999999998E-3</v>
      </c>
      <c r="C3" s="40" t="s">
        <v>48</v>
      </c>
    </row>
    <row r="4" spans="1:3" x14ac:dyDescent="0.3">
      <c r="B4" s="41">
        <v>3.1E-2</v>
      </c>
      <c r="C4" s="40" t="s">
        <v>49</v>
      </c>
    </row>
    <row r="5" spans="1:3" x14ac:dyDescent="0.3">
      <c r="B5" s="41">
        <v>1.3299999999999999E-2</v>
      </c>
      <c r="C5" s="40" t="s">
        <v>50</v>
      </c>
    </row>
    <row r="6" spans="1:3" x14ac:dyDescent="0.3">
      <c r="B6" s="41">
        <v>0.1016</v>
      </c>
      <c r="C6" s="40" t="s">
        <v>51</v>
      </c>
    </row>
    <row r="7" spans="1:3" x14ac:dyDescent="0.3">
      <c r="B7" s="41">
        <v>7.7999999999999996E-3</v>
      </c>
      <c r="C7" s="40" t="s">
        <v>52</v>
      </c>
    </row>
    <row r="8" spans="1:3" x14ac:dyDescent="0.3">
      <c r="B8" s="41">
        <v>7.8700000000000006E-2</v>
      </c>
      <c r="C8" s="40" t="s">
        <v>53</v>
      </c>
    </row>
    <row r="9" spans="1:3" x14ac:dyDescent="0.3">
      <c r="B9" s="41">
        <v>6.7400000000000002E-2</v>
      </c>
      <c r="C9" s="40" t="s">
        <v>54</v>
      </c>
    </row>
    <row r="10" spans="1:3" x14ac:dyDescent="0.3">
      <c r="B10" s="41">
        <v>1.6799999999999999E-2</v>
      </c>
      <c r="C10" s="40" t="s">
        <v>55</v>
      </c>
    </row>
    <row r="11" spans="1:3" x14ac:dyDescent="0.3">
      <c r="B11" s="41">
        <v>0.1071</v>
      </c>
      <c r="C11" s="40" t="s">
        <v>56</v>
      </c>
    </row>
    <row r="12" spans="1:3" x14ac:dyDescent="0.3">
      <c r="B12" s="41">
        <v>1.35E-2</v>
      </c>
      <c r="C12" s="40" t="s">
        <v>57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08DB4955B0D342BFDD40F8F1264977" ma:contentTypeVersion="24" ma:contentTypeDescription="" ma:contentTypeScope="" ma:versionID="2d0cde048cbbdfd54a20e0eb72fbbfe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2023-10-03T07:00:00+00:00</OpenedDate>
    <SignificantOrder xmlns="dc463f71-b30c-4ab2-9473-d307f9d35888">false</SignificantOrder>
    <Date1 xmlns="dc463f71-b30c-4ab2-9473-d307f9d35888">2025-01-17T08:00:00+00:00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230812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581569F-86FE-404F-A7FC-9ABA5CC85158}"/>
</file>

<file path=customXml/itemProps2.xml><?xml version="1.0" encoding="utf-8"?>
<ds:datastoreItem xmlns:ds="http://schemas.openxmlformats.org/officeDocument/2006/customXml" ds:itemID="{D2E11BB3-37A4-4DA3-A463-692991F66C88}"/>
</file>

<file path=customXml/itemProps3.xml><?xml version="1.0" encoding="utf-8"?>
<ds:datastoreItem xmlns:ds="http://schemas.openxmlformats.org/officeDocument/2006/customXml" ds:itemID="{4DAA6581-F585-4162-BEAF-F88E8E592DE7}"/>
</file>

<file path=customXml/itemProps4.xml><?xml version="1.0" encoding="utf-8"?>
<ds:datastoreItem xmlns:ds="http://schemas.openxmlformats.org/officeDocument/2006/customXml" ds:itemID="{151AC3D5-49EE-4058-A0C7-31BA390400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 of Contents</vt:lpstr>
      <vt:lpstr>Figure</vt:lpstr>
      <vt:lpstr>Oregon RPS</vt:lpstr>
      <vt:lpstr>California RPS</vt:lpstr>
      <vt:lpstr>Washington RPS</vt:lpstr>
      <vt:lpstr>IRP RE Inputs</vt:lpstr>
      <vt:lpstr>Targets</vt:lpstr>
      <vt:lpstr>Retail Sales</vt:lpstr>
      <vt:lpstr>Inc Hydro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2017-02-09T21:25:21Z</cp:lastPrinted>
  <dcterms:created xsi:type="dcterms:W3CDTF">2016-03-07T15:58:53Z</dcterms:created>
  <dcterms:modified xsi:type="dcterms:W3CDTF">2025-01-08T22:41:46Z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0x0101006E56B4D1795A2E4DB2F0B01679ED314A001F08DB4955B0D342BFDD40F8F1264977</vt:lpwstr>
  </property>
  <property fmtid="{D5CDD505-2E9C-101B-9397-08002B2CF9AE}" pid="3" name="_docset_NoMedatataSyncRequired">
    <vt:lpwstr>False</vt:lpwstr>
  </property>
</Properties>
</file>