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t\Rates\Pipeline Replacement Plan - Washington\2020\E-Filed 10.15.20\"/>
    </mc:Choice>
  </mc:AlternateContent>
  <xr:revisionPtr revIDLastSave="0" documentId="13_ncr:1_{7177ADD3-9887-4FB9-AB0B-F375FCC64DF2}" xr6:coauthVersionLast="44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2020 Rate Calculation" sheetId="3" r:id="rId1"/>
    <sheet name="2019 Rate Calculation" sheetId="2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3" l="1"/>
  <c r="F16" i="3"/>
  <c r="H13" i="3"/>
  <c r="F13" i="3"/>
  <c r="H15" i="3"/>
  <c r="F15" i="3"/>
  <c r="H10" i="3"/>
  <c r="F10" i="3"/>
  <c r="H8" i="3"/>
  <c r="F8" i="3"/>
  <c r="F14" i="3"/>
  <c r="F18" i="3"/>
  <c r="F9" i="3"/>
  <c r="F12" i="3"/>
  <c r="F17" i="3"/>
  <c r="H12" i="3" l="1"/>
  <c r="H9" i="3"/>
  <c r="H18" i="3"/>
  <c r="H14" i="3"/>
  <c r="H17" i="3"/>
  <c r="H11" i="3" l="1"/>
  <c r="H7" i="3"/>
  <c r="F30" i="3" l="1"/>
  <c r="L31" i="3" s="1"/>
  <c r="H25" i="3"/>
  <c r="H31" i="3" l="1"/>
  <c r="K31" i="3"/>
  <c r="M31" i="3"/>
  <c r="J31" i="3"/>
  <c r="I31" i="3"/>
  <c r="F31" i="3" l="1"/>
  <c r="E27" i="2" l="1"/>
  <c r="E31" i="2" l="1"/>
  <c r="E33" i="2" l="1"/>
  <c r="E34" i="2" s="1"/>
  <c r="G52" i="2"/>
  <c r="H52" i="2" s="1"/>
  <c r="G53" i="2"/>
  <c r="H53" i="2" s="1"/>
  <c r="G33" i="2"/>
  <c r="G38" i="2" s="1"/>
  <c r="H55" i="2" l="1"/>
  <c r="E35" i="2" s="1"/>
  <c r="E36" i="2" l="1"/>
  <c r="E39" i="2" s="1"/>
  <c r="G37" i="2" l="1"/>
  <c r="G42" i="2" s="1"/>
  <c r="E42" i="2"/>
  <c r="G43" i="2" l="1"/>
  <c r="G45" i="2" s="1"/>
  <c r="F50" i="3" s="1"/>
  <c r="F25" i="3" l="1"/>
  <c r="F34" i="3" s="1"/>
  <c r="F38" i="3" s="1"/>
  <c r="F36" i="3" l="1"/>
  <c r="H36" i="3" s="1"/>
  <c r="H41" i="3" s="1"/>
  <c r="F39" i="3" l="1"/>
  <c r="F40" i="3" s="1"/>
  <c r="F37" i="3"/>
  <c r="F43" i="3" l="1"/>
  <c r="H42" i="3" l="1"/>
  <c r="H46" i="3" s="1"/>
  <c r="F46" i="3"/>
  <c r="F47" i="3" l="1"/>
  <c r="F49" i="3" s="1"/>
  <c r="F52" i="3" s="1"/>
  <c r="L57" i="3" s="1"/>
  <c r="L61" i="3" s="1"/>
  <c r="F55" i="3" l="1"/>
  <c r="H64" i="3" s="1"/>
  <c r="J57" i="3"/>
  <c r="J61" i="3" s="1"/>
  <c r="M57" i="3"/>
  <c r="M61" i="3" s="1"/>
  <c r="H57" i="3"/>
  <c r="H61" i="3" s="1"/>
  <c r="K57" i="3"/>
  <c r="K61" i="3" s="1"/>
  <c r="I57" i="3"/>
  <c r="I61" i="3" s="1"/>
</calcChain>
</file>

<file path=xl/sharedStrings.xml><?xml version="1.0" encoding="utf-8"?>
<sst xmlns="http://schemas.openxmlformats.org/spreadsheetml/2006/main" count="185" uniqueCount="141">
  <si>
    <t>Project</t>
  </si>
  <si>
    <t>Estimtimated Cost</t>
  </si>
  <si>
    <t>Actual Cost</t>
  </si>
  <si>
    <t>Percentage</t>
  </si>
  <si>
    <t>Total Investment</t>
  </si>
  <si>
    <t>Depreciation Expense  -  Rate 2.58%</t>
  </si>
  <si>
    <t>Deferred Tax</t>
  </si>
  <si>
    <t xml:space="preserve">   Accumulated Depr. (Avg)</t>
  </si>
  <si>
    <t xml:space="preserve">   Accum Def Tax (Avg)</t>
  </si>
  <si>
    <t>Rate Bate</t>
  </si>
  <si>
    <t>NOI</t>
  </si>
  <si>
    <t>FIT</t>
  </si>
  <si>
    <t>Total NOI</t>
  </si>
  <si>
    <t>Schedule</t>
  </si>
  <si>
    <t>Total Estimated Replacement Cost</t>
  </si>
  <si>
    <t>Allocation Rev Req to Schedules</t>
  </si>
  <si>
    <t>Percentage Increase in Revenue</t>
  </si>
  <si>
    <t>Revenue Requirement (Current Year Investment)</t>
  </si>
  <si>
    <t>Total Revenue Requirement</t>
  </si>
  <si>
    <t>Location</t>
  </si>
  <si>
    <t>Rate Charge</t>
  </si>
  <si>
    <t>CRM RPL  ANACORTES BARE STEEL</t>
  </si>
  <si>
    <t>MT. VERNON</t>
  </si>
  <si>
    <t>BARE STEEL/PRE-CNG PIPE - IDENTIFIED HIGH (RED) RISK IN DIMP</t>
  </si>
  <si>
    <t>PRE-CNG PIPE - IDENTIFIED HIGH (RED) RISK IN DIMP</t>
  </si>
  <si>
    <t>WENATCHEE</t>
  </si>
  <si>
    <t>CRM BELLINGHAM BRIDGE CROSSINGS RMV</t>
  </si>
  <si>
    <t>BELLINGHAM</t>
  </si>
  <si>
    <t>EXPOSED PIPE SUSCEPTIBLE TO CORROSION RISK - MODERATE (ORANGE)</t>
  </si>
  <si>
    <t>CRM RPL LONGVIEW BARE STEEL</t>
  </si>
  <si>
    <t>LONGVIEW</t>
  </si>
  <si>
    <t>CRM KELSO GRADE ST BRIDGE RELOCATE</t>
  </si>
  <si>
    <t>ABERDEEN</t>
  </si>
  <si>
    <t>Accum Tax depreciation</t>
  </si>
  <si>
    <t>TYPE OF PIPE TO BE REPLACED</t>
  </si>
  <si>
    <t xml:space="preserve"> </t>
  </si>
  <si>
    <t>Ln 20</t>
  </si>
  <si>
    <t>Ln 40* 2.58%</t>
  </si>
  <si>
    <t>Ln 41 / 2</t>
  </si>
  <si>
    <t>Ln 40 *3.75%</t>
  </si>
  <si>
    <t>Ln 44 / 2</t>
  </si>
  <si>
    <t>Ln 20 - Ln 42 - Ln 45</t>
  </si>
  <si>
    <t>Sum Ln 50</t>
  </si>
  <si>
    <t>Ln 51 / Ln 52</t>
  </si>
  <si>
    <t>Ln 54 * Ln 39</t>
  </si>
  <si>
    <t>Ln 55 / Ln 56</t>
  </si>
  <si>
    <t>Ln 25</t>
  </si>
  <si>
    <t>Ln 28* 2.58%</t>
  </si>
  <si>
    <t>Ln 29 / 2 + 1st yr depr</t>
  </si>
  <si>
    <t xml:space="preserve">Accum Tax depreciation </t>
  </si>
  <si>
    <t>See Calc Below</t>
  </si>
  <si>
    <t>Accum Deferred Tax (Avg)</t>
  </si>
  <si>
    <t>Interest Coordination Adj (Rate Base x Weighted Cost of Debt x FIT)</t>
  </si>
  <si>
    <t>(Ln 35 * Ln 36) and (Ln 29 - Ln 34 - Ln 33)</t>
  </si>
  <si>
    <t>(Ln 35 * Ln 36) + (Ln 29 - Ln 34 - Ln 33)</t>
  </si>
  <si>
    <t>Revenue Requirement</t>
  </si>
  <si>
    <t>Ln 21 / Ln 22</t>
  </si>
  <si>
    <t>Accum</t>
  </si>
  <si>
    <t>Tax Depreciation</t>
  </si>
  <si>
    <t>Year 1</t>
  </si>
  <si>
    <t>Year 2</t>
  </si>
  <si>
    <t>Increase in Revenue Requirement</t>
  </si>
  <si>
    <t>Replacement Projects 11-1-16 to 10-31-17</t>
  </si>
  <si>
    <t>Actual costs thru</t>
  </si>
  <si>
    <t>Cascade Natural Gas Corp.</t>
  </si>
  <si>
    <t>Ln 54 / Ln 58</t>
  </si>
  <si>
    <t>Authorized ROR from UG-170929</t>
  </si>
  <si>
    <t>Rate Base Allocation from UG-170929 Company COS</t>
  </si>
  <si>
    <t>Ln 41* .21</t>
  </si>
  <si>
    <t>(Ln 43 - Ln 41) * .21</t>
  </si>
  <si>
    <t>Ln 53</t>
  </si>
  <si>
    <t>(Ln 31 - Ln 30) * .21</t>
  </si>
  <si>
    <t>Ln 29 * .21</t>
  </si>
  <si>
    <t>Conversion Factor from UG-170929</t>
  </si>
  <si>
    <t>CRM SHELTON REPLACEMENT</t>
  </si>
  <si>
    <t>CRM RPL 8" MARCH POINT - 11C1144-1</t>
  </si>
  <si>
    <t>CRM 6,8" HP; MOSES LAKE; 16,495'</t>
  </si>
  <si>
    <t>CRM KELSO REPLACEMENT</t>
  </si>
  <si>
    <t>((Ln 48 * Ln 49)  and  (Ln 41 - Ln 46-Ln 47)</t>
  </si>
  <si>
    <t>PRE-CODE TRANSMISSION MAIN, HISTORY OF CORROSION</t>
  </si>
  <si>
    <t>PRE-CNG PIPE</t>
  </si>
  <si>
    <t>HIGH-MODERATE RISK IN DIMP</t>
  </si>
  <si>
    <t>PRE-CNG PIPE - HIGH (RED) IN DIMP</t>
  </si>
  <si>
    <t>BARE STEEL/PRE-CNG PIPE IDENTIFIED HIGH (RED) RISK IN DIMP</t>
  </si>
  <si>
    <t>MT VERNON</t>
  </si>
  <si>
    <t>Replacement Cost</t>
  </si>
  <si>
    <t>503</t>
  </si>
  <si>
    <t>505</t>
  </si>
  <si>
    <t>570</t>
  </si>
  <si>
    <t>Replacement Cost Included in UG-180674</t>
  </si>
  <si>
    <t>CRM RPL HP OTHELLO</t>
  </si>
  <si>
    <t>CRM RPL; 12" STL HP, LONG/KELSO PH3</t>
  </si>
  <si>
    <t>CRM RP 8" BRIDGE CROSSING WALLA WALLA</t>
  </si>
  <si>
    <t>WALLA WALLA</t>
  </si>
  <si>
    <t>CRM RP 2" LYNDEN</t>
  </si>
  <si>
    <t>CRM 2" STL BELLINGHAM</t>
  </si>
  <si>
    <t>BELLIGHAM</t>
  </si>
  <si>
    <t>ANACORTES CRM PHASE 2</t>
  </si>
  <si>
    <t>PRE-CNG STEEL PIPE</t>
  </si>
  <si>
    <t>EARLY VINTAGE STEEL PIPE PRE-1970</t>
  </si>
  <si>
    <t>EARLY VINTAGE STEEL PIPE (FISH)</t>
  </si>
  <si>
    <t>thru October</t>
  </si>
  <si>
    <t>Rate Base</t>
  </si>
  <si>
    <t>2019 Commission Basis Total Revenue</t>
  </si>
  <si>
    <t>2020 Current Revenue Requirement</t>
  </si>
  <si>
    <t>Conversion Factor in UG-190210</t>
  </si>
  <si>
    <t>Authorized ROR from UG-190210</t>
  </si>
  <si>
    <t>Interest Coordination Adj (Rate Base x Weighted Cost of Debt (2.623895%) x 21% FIT)</t>
  </si>
  <si>
    <t>Included in UG-190210</t>
  </si>
  <si>
    <t>Replacement Projects 1-1-20 to 10-31-20</t>
  </si>
  <si>
    <t>Less UG-190455 Updated Revenue Requirement (From UG-190210 Compliance filing)</t>
  </si>
  <si>
    <t xml:space="preserve">Weather Normalized 2019 Volumes </t>
  </si>
  <si>
    <t>CRM RPL; 3" HP; Zilliah; 873'</t>
  </si>
  <si>
    <t>CRM Longview</t>
  </si>
  <si>
    <t>Funding Projects</t>
  </si>
  <si>
    <t>FP-316580</t>
  </si>
  <si>
    <t>FP-316569</t>
  </si>
  <si>
    <t>FP-316033</t>
  </si>
  <si>
    <t>FP-307212</t>
  </si>
  <si>
    <t>FP-317428</t>
  </si>
  <si>
    <t>FP-316034</t>
  </si>
  <si>
    <t>FP-317219</t>
  </si>
  <si>
    <t>FP-316579, FP-317529</t>
  </si>
  <si>
    <t>FP-316691,FP-317514, FP-317524, FP-318321,      FP-318325, FP-318186, FP-318187</t>
  </si>
  <si>
    <t>FP-317519, FP-317528</t>
  </si>
  <si>
    <t>FP-317518, FP-317527, FP-319198, FP-319199</t>
  </si>
  <si>
    <t>FP-317516, FP-317596, FP-317612, FP-317614</t>
  </si>
  <si>
    <t>ANACORTES</t>
  </si>
  <si>
    <t xml:space="preserve">C/M; 4" HP; OTHELL0; 9,801' </t>
  </si>
  <si>
    <t>CRM RP; 8" BRIDGE XING, WALLA WALLA</t>
  </si>
  <si>
    <t>CRM Pipe Replacement, Anacortes</t>
  </si>
  <si>
    <t>SHELTON</t>
  </si>
  <si>
    <t>KELSO</t>
  </si>
  <si>
    <t>C/M; 2,6,8" HP; ANACORTES; PH2</t>
  </si>
  <si>
    <t>CRM SHELTON PIPE REPLACEMENT</t>
  </si>
  <si>
    <t>CRM KELSO PIPE REPLACEMENT</t>
  </si>
  <si>
    <t>C/M RPL; 2,6,8" HP; ANACORTES; PH3</t>
  </si>
  <si>
    <t>ZILLIAH</t>
  </si>
  <si>
    <t>September with</t>
  </si>
  <si>
    <t>LONGVIEW/KELSO</t>
  </si>
  <si>
    <t>OTHELLO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</si>
</sst>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0"/>
    <numFmt numFmtId="165" formatCode="[$-409]d\-mmm\-yy;@"/>
    <numFmt numFmtId="166" formatCode="&quot;$&quot;#,##0"/>
    <numFmt numFmtId="167" formatCode="0.00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7">
    <xf numFmtId="0" fontId="0" fillId="0" borderId="0" xfId="0"/>
    <xf numFmtId="43" fontId="0" fillId="0" borderId="0" xfId="1" applyFont="1"/>
    <xf numFmtId="43" fontId="1" fillId="0" borderId="0" xfId="1" applyFont="1" applyAlignment="1">
      <alignment horizontal="center"/>
    </xf>
    <xf numFmtId="43" fontId="1" fillId="0" borderId="0" xfId="1" applyFont="1"/>
    <xf numFmtId="10" fontId="0" fillId="0" borderId="0" xfId="0" applyNumberFormat="1"/>
    <xf numFmtId="164" fontId="0" fillId="0" borderId="0" xfId="0" applyNumberFormat="1"/>
    <xf numFmtId="165" fontId="1" fillId="0" borderId="0" xfId="1" applyNumberFormat="1" applyFont="1" applyAlignment="1">
      <alignment horizontal="center"/>
    </xf>
    <xf numFmtId="166" fontId="0" fillId="0" borderId="0" xfId="1" applyNumberFormat="1" applyFont="1"/>
    <xf numFmtId="37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44" fontId="0" fillId="0" borderId="0" xfId="3" applyFont="1" applyBorder="1" applyAlignment="1">
      <alignment vertical="center"/>
    </xf>
    <xf numFmtId="0" fontId="0" fillId="0" borderId="0" xfId="0" applyBorder="1"/>
    <xf numFmtId="43" fontId="0" fillId="0" borderId="0" xfId="1" applyFont="1" applyBorder="1"/>
    <xf numFmtId="44" fontId="1" fillId="0" borderId="0" xfId="3" applyFont="1" applyBorder="1" applyAlignment="1">
      <alignment vertical="center"/>
    </xf>
    <xf numFmtId="6" fontId="0" fillId="0" borderId="0" xfId="0" applyNumberFormat="1" applyBorder="1"/>
    <xf numFmtId="6" fontId="0" fillId="0" borderId="0" xfId="1" applyNumberFormat="1" applyFont="1" applyBorder="1"/>
    <xf numFmtId="6" fontId="0" fillId="0" borderId="0" xfId="3" applyNumberFormat="1" applyFont="1" applyBorder="1" applyAlignment="1">
      <alignment vertical="center"/>
    </xf>
    <xf numFmtId="6" fontId="1" fillId="0" borderId="0" xfId="0" applyNumberFormat="1" applyFont="1" applyBorder="1" applyAlignment="1">
      <alignment vertical="center"/>
    </xf>
    <xf numFmtId="0" fontId="0" fillId="0" borderId="0" xfId="0"/>
    <xf numFmtId="3" fontId="0" fillId="0" borderId="0" xfId="0" applyNumberFormat="1"/>
    <xf numFmtId="166" fontId="0" fillId="0" borderId="2" xfId="1" applyNumberFormat="1" applyFont="1" applyBorder="1"/>
    <xf numFmtId="43" fontId="0" fillId="0" borderId="2" xfId="1" applyFont="1" applyBorder="1"/>
    <xf numFmtId="6" fontId="1" fillId="0" borderId="0" xfId="3" applyNumberFormat="1" applyFont="1" applyBorder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6" fontId="1" fillId="0" borderId="0" xfId="0" applyNumberFormat="1" applyFont="1" applyBorder="1"/>
    <xf numFmtId="43" fontId="1" fillId="0" borderId="0" xfId="1" applyFont="1" applyBorder="1"/>
    <xf numFmtId="166" fontId="1" fillId="0" borderId="0" xfId="1" applyNumberFormat="1" applyFont="1"/>
    <xf numFmtId="166" fontId="1" fillId="0" borderId="3" xfId="0" applyNumberFormat="1" applyFont="1" applyBorder="1"/>
    <xf numFmtId="167" fontId="0" fillId="0" borderId="0" xfId="0" applyNumberFormat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6" fontId="0" fillId="0" borderId="0" xfId="0" applyNumberFormat="1" applyFont="1" applyBorder="1"/>
    <xf numFmtId="6" fontId="2" fillId="0" borderId="0" xfId="3" applyNumberFormat="1" applyFont="1" applyBorder="1" applyAlignment="1">
      <alignment vertical="center"/>
    </xf>
    <xf numFmtId="0" fontId="0" fillId="0" borderId="0" xfId="0" applyFont="1"/>
    <xf numFmtId="44" fontId="2" fillId="0" borderId="0" xfId="3" applyFont="1" applyBorder="1" applyAlignment="1">
      <alignment vertical="center"/>
    </xf>
    <xf numFmtId="0" fontId="0" fillId="0" borderId="0" xfId="0" applyFont="1" applyBorder="1"/>
    <xf numFmtId="43" fontId="0" fillId="0" borderId="0" xfId="0" applyNumberFormat="1" applyBorder="1"/>
    <xf numFmtId="43" fontId="1" fillId="0" borderId="0" xfId="0" applyNumberFormat="1" applyFont="1" applyBorder="1"/>
    <xf numFmtId="43" fontId="0" fillId="0" borderId="0" xfId="0" applyNumberFormat="1" applyFont="1" applyBorder="1"/>
    <xf numFmtId="39" fontId="2" fillId="0" borderId="0" xfId="3" applyNumberFormat="1" applyFont="1" applyFill="1" applyBorder="1" applyAlignment="1">
      <alignment vertical="center"/>
    </xf>
    <xf numFmtId="39" fontId="0" fillId="0" borderId="0" xfId="3" applyNumberFormat="1" applyFont="1" applyFill="1" applyBorder="1" applyAlignment="1">
      <alignment vertical="center"/>
    </xf>
    <xf numFmtId="39" fontId="1" fillId="0" borderId="0" xfId="0" applyNumberFormat="1" applyFont="1" applyFill="1" applyBorder="1" applyAlignment="1">
      <alignment vertical="center"/>
    </xf>
    <xf numFmtId="166" fontId="0" fillId="0" borderId="2" xfId="1" applyNumberFormat="1" applyFont="1" applyFill="1" applyBorder="1"/>
    <xf numFmtId="166" fontId="0" fillId="0" borderId="0" xfId="1" applyNumberFormat="1" applyFont="1" applyFill="1"/>
    <xf numFmtId="43" fontId="1" fillId="0" borderId="0" xfId="1" applyFont="1" applyFill="1" applyAlignment="1">
      <alignment horizont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66" fontId="0" fillId="0" borderId="0" xfId="0" applyNumberFormat="1" applyFont="1" applyFill="1" applyBorder="1"/>
    <xf numFmtId="43" fontId="0" fillId="2" borderId="0" xfId="3" applyNumberFormat="1" applyFont="1" applyFill="1" applyAlignment="1">
      <alignment vertical="center"/>
    </xf>
    <xf numFmtId="43" fontId="1" fillId="2" borderId="0" xfId="3" applyNumberFormat="1" applyFont="1" applyFill="1" applyAlignment="1">
      <alignment vertical="center"/>
    </xf>
    <xf numFmtId="43" fontId="2" fillId="0" borderId="0" xfId="3" applyNumberFormat="1" applyAlignment="1">
      <alignment vertical="center"/>
    </xf>
    <xf numFmtId="43" fontId="1" fillId="0" borderId="0" xfId="3" applyNumberFormat="1" applyFont="1" applyAlignment="1">
      <alignment vertical="center"/>
    </xf>
    <xf numFmtId="43" fontId="0" fillId="0" borderId="0" xfId="3" applyNumberFormat="1" applyFont="1" applyAlignment="1">
      <alignment vertical="center"/>
    </xf>
    <xf numFmtId="39" fontId="1" fillId="0" borderId="0" xfId="3" applyNumberFormat="1" applyFont="1" applyAlignment="1">
      <alignment vertical="center"/>
    </xf>
    <xf numFmtId="39" fontId="2" fillId="0" borderId="0" xfId="3" applyNumberFormat="1" applyAlignment="1">
      <alignment vertical="center"/>
    </xf>
    <xf numFmtId="0" fontId="0" fillId="0" borderId="0" xfId="0" applyFill="1" applyBorder="1"/>
    <xf numFmtId="43" fontId="2" fillId="0" borderId="0" xfId="3" applyNumberFormat="1" applyFont="1" applyFill="1" applyBorder="1" applyAlignment="1">
      <alignment vertical="center"/>
    </xf>
    <xf numFmtId="0" fontId="0" fillId="0" borderId="0" xfId="0" applyFont="1" applyFill="1" applyBorder="1"/>
    <xf numFmtId="43" fontId="0" fillId="0" borderId="0" xfId="0" applyNumberFormat="1" applyFont="1" applyFill="1" applyBorder="1"/>
    <xf numFmtId="39" fontId="0" fillId="0" borderId="0" xfId="0" applyNumberFormat="1" applyFont="1" applyFill="1" applyBorder="1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/>
    <xf numFmtId="166" fontId="2" fillId="0" borderId="0" xfId="1" applyNumberFormat="1" applyFont="1" applyFill="1"/>
    <xf numFmtId="37" fontId="0" fillId="0" borderId="0" xfId="0" applyNumberFormat="1" applyFill="1"/>
    <xf numFmtId="3" fontId="0" fillId="0" borderId="0" xfId="0" applyNumberFormat="1" applyFill="1"/>
    <xf numFmtId="10" fontId="0" fillId="0" borderId="0" xfId="0" applyNumberFormat="1" applyFill="1"/>
    <xf numFmtId="166" fontId="0" fillId="0" borderId="0" xfId="0" applyNumberFormat="1" applyFill="1"/>
    <xf numFmtId="166" fontId="1" fillId="0" borderId="0" xfId="0" applyNumberFormat="1" applyFont="1" applyFill="1" applyBorder="1"/>
    <xf numFmtId="166" fontId="1" fillId="0" borderId="1" xfId="0" applyNumberFormat="1" applyFont="1" applyFill="1" applyBorder="1"/>
    <xf numFmtId="164" fontId="0" fillId="0" borderId="0" xfId="0" applyNumberFormat="1" applyFill="1"/>
    <xf numFmtId="10" fontId="0" fillId="0" borderId="0" xfId="2" applyNumberFormat="1" applyFont="1" applyFill="1"/>
    <xf numFmtId="3" fontId="0" fillId="0" borderId="0" xfId="0" applyNumberFormat="1" applyFill="1" applyBorder="1"/>
    <xf numFmtId="43" fontId="0" fillId="0" borderId="0" xfId="1" applyFont="1" applyFill="1"/>
    <xf numFmtId="0" fontId="2" fillId="0" borderId="0" xfId="3" applyNumberFormat="1" applyFont="1" applyFill="1" applyBorder="1" applyAlignment="1">
      <alignment horizontal="center" vertical="center"/>
    </xf>
    <xf numFmtId="0" fontId="2" fillId="0" borderId="0" xfId="3" applyNumberFormat="1" applyFont="1" applyFill="1" applyBorder="1" applyAlignment="1">
      <alignment horizontal="center" vertical="center" wrapText="1"/>
    </xf>
    <xf numFmtId="43" fontId="1" fillId="0" borderId="0" xfId="1" applyFont="1" applyFill="1"/>
    <xf numFmtId="44" fontId="2" fillId="0" borderId="0" xfId="3" applyFont="1" applyFill="1" applyBorder="1" applyAlignment="1">
      <alignment vertical="center"/>
    </xf>
    <xf numFmtId="43" fontId="0" fillId="0" borderId="0" xfId="0" applyNumberFormat="1" applyFont="1" applyFill="1" applyBorder="1" applyAlignment="1">
      <alignment vertical="center"/>
    </xf>
    <xf numFmtId="44" fontId="1" fillId="0" borderId="0" xfId="3" applyFont="1" applyFill="1" applyBorder="1" applyAlignment="1">
      <alignment vertical="center"/>
    </xf>
    <xf numFmtId="39" fontId="1" fillId="0" borderId="0" xfId="0" applyNumberFormat="1" applyFont="1" applyFill="1" applyBorder="1"/>
    <xf numFmtId="166" fontId="1" fillId="0" borderId="0" xfId="1" applyNumberFormat="1" applyFont="1" applyFill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165" fontId="1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44" fontId="0" fillId="0" borderId="0" xfId="3" applyFont="1" applyFill="1" applyBorder="1" applyAlignment="1">
      <alignment vertical="center"/>
    </xf>
    <xf numFmtId="39" fontId="0" fillId="0" borderId="0" xfId="0" applyNumberFormat="1" applyFill="1" applyBorder="1"/>
    <xf numFmtId="39" fontId="0" fillId="0" borderId="0" xfId="0" applyNumberFormat="1" applyFill="1" applyBorder="1" applyAlignment="1">
      <alignment vertical="center"/>
    </xf>
    <xf numFmtId="39" fontId="0" fillId="0" borderId="0" xfId="1" applyNumberFormat="1" applyFont="1" applyFill="1" applyBorder="1"/>
    <xf numFmtId="43" fontId="0" fillId="0" borderId="0" xfId="1" applyFont="1" applyFill="1" applyBorder="1"/>
    <xf numFmtId="43" fontId="0" fillId="0" borderId="2" xfId="1" applyFont="1" applyFill="1" applyBorder="1"/>
    <xf numFmtId="5" fontId="0" fillId="0" borderId="2" xfId="1" applyNumberFormat="1" applyFont="1" applyFill="1" applyBorder="1"/>
    <xf numFmtId="43" fontId="3" fillId="0" borderId="0" xfId="1" applyFont="1" applyFill="1" applyAlignment="1">
      <alignment horizontal="right"/>
    </xf>
    <xf numFmtId="49" fontId="3" fillId="0" borderId="0" xfId="1" applyNumberFormat="1" applyFont="1" applyFill="1" applyAlignment="1">
      <alignment horizontal="right"/>
    </xf>
    <xf numFmtId="41" fontId="3" fillId="0" borderId="0" xfId="1" applyNumberFormat="1" applyFont="1" applyFill="1" applyAlignment="1"/>
    <xf numFmtId="43" fontId="0" fillId="0" borderId="0" xfId="1" applyFont="1" applyFill="1" applyAlignment="1">
      <alignment horizontal="left"/>
    </xf>
    <xf numFmtId="1" fontId="0" fillId="0" borderId="0" xfId="0" applyNumberFormat="1" applyFill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Pipeline%20Replacement%20Plan%20-%20Washington/2020/UG-200493,%20CNGC%20CRM%20Monthly%20details,%20WP%2009.30.20%20(C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G-200493,%20CNGC%20CRM%20Actual%20Forecast%20through%209.20.20,%2010.15.20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ry Saved as Values"/>
      <sheetName val="11-2019 WO 265881"/>
      <sheetName val="11-2019 WO 266121"/>
      <sheetName val="11-2019 WO 266178"/>
      <sheetName val="11-2019 WO 269672"/>
      <sheetName val="11-2019 WO 266054"/>
      <sheetName val="12-2019 WO 266121"/>
      <sheetName val="12-2019 WO 265750"/>
      <sheetName val="01-2020 WO 266121"/>
    </sheetNames>
    <sheetDataSet>
      <sheetData sheetId="0">
        <row r="10">
          <cell r="Y10">
            <v>2665754.9899999998</v>
          </cell>
        </row>
        <row r="62">
          <cell r="Y62">
            <v>0</v>
          </cell>
        </row>
        <row r="64">
          <cell r="Y6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ry Saved as Values"/>
      <sheetName val="11-2019 WO 265881"/>
      <sheetName val="11-2019 WO 266121"/>
      <sheetName val="11-2019 WO 266178"/>
      <sheetName val="11-2019 WO 269672"/>
      <sheetName val="11-2019 WO 266054"/>
      <sheetName val="12-2019 WO 266121"/>
      <sheetName val="12-2019 WO 265750"/>
      <sheetName val="01-2020 WO 266121"/>
    </sheetNames>
    <sheetDataSet>
      <sheetData sheetId="0">
        <row r="10">
          <cell r="Y10">
            <v>2629141.9</v>
          </cell>
          <cell r="Z10">
            <v>3154141.9</v>
          </cell>
        </row>
        <row r="12">
          <cell r="Y12">
            <v>-214295.21000000002</v>
          </cell>
          <cell r="Z12">
            <v>-214295.21000000002</v>
          </cell>
        </row>
        <row r="14">
          <cell r="Y14">
            <v>-1600147.7</v>
          </cell>
          <cell r="Z14">
            <v>-1600147.7</v>
          </cell>
        </row>
        <row r="16">
          <cell r="Y16">
            <v>160819.44999999995</v>
          </cell>
          <cell r="Z16">
            <v>160819.44999999995</v>
          </cell>
        </row>
        <row r="20">
          <cell r="Y20">
            <v>1397409.58</v>
          </cell>
          <cell r="Z20">
            <v>1397409.58</v>
          </cell>
        </row>
        <row r="31">
          <cell r="Y31">
            <v>7109256.4199999999</v>
          </cell>
          <cell r="Z31">
            <v>7304595.4200000009</v>
          </cell>
        </row>
        <row r="41">
          <cell r="Y41">
            <v>-92050.799999999988</v>
          </cell>
          <cell r="Z41">
            <v>77615.959999999963</v>
          </cell>
        </row>
        <row r="50">
          <cell r="Y50">
            <v>214821.13999999996</v>
          </cell>
          <cell r="Z50">
            <v>214821.13999999996</v>
          </cell>
        </row>
        <row r="56">
          <cell r="Y56">
            <v>-219534.40000000002</v>
          </cell>
          <cell r="Z56">
            <v>-219534.40000000002</v>
          </cell>
        </row>
        <row r="60">
          <cell r="Y60">
            <v>-150978.62</v>
          </cell>
          <cell r="Z60">
            <v>-150978.62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2"/>
  <sheetViews>
    <sheetView tabSelected="1" zoomScaleNormal="100" workbookViewId="0">
      <selection activeCell="C25" sqref="C25"/>
    </sheetView>
  </sheetViews>
  <sheetFormatPr defaultRowHeight="15" x14ac:dyDescent="0.25"/>
  <cols>
    <col min="1" max="1" width="3" style="67" bestFit="1" customWidth="1"/>
    <col min="2" max="2" width="2.7109375" style="67" customWidth="1"/>
    <col min="3" max="3" width="75.42578125" style="67" bestFit="1" customWidth="1"/>
    <col min="4" max="4" width="17.28515625" style="67" bestFit="1" customWidth="1"/>
    <col min="5" max="5" width="41.7109375" style="67" customWidth="1"/>
    <col min="6" max="6" width="18.85546875" style="67" bestFit="1" customWidth="1"/>
    <col min="7" max="7" width="9.140625" style="67"/>
    <col min="8" max="8" width="18.7109375" style="67" bestFit="1" customWidth="1"/>
    <col min="9" max="9" width="12.42578125" style="67" customWidth="1"/>
    <col min="10" max="10" width="12.140625" style="67" customWidth="1"/>
    <col min="11" max="12" width="12" style="67" customWidth="1"/>
    <col min="13" max="13" width="13.42578125" style="67" bestFit="1" customWidth="1"/>
    <col min="14" max="14" width="11.7109375" style="67" bestFit="1" customWidth="1"/>
    <col min="15" max="15" width="9.140625" style="67"/>
    <col min="16" max="16" width="11.7109375" style="67" bestFit="1" customWidth="1"/>
    <col min="17" max="16384" width="9.140625" style="67"/>
  </cols>
  <sheetData>
    <row r="1" spans="1:16" ht="18.75" x14ac:dyDescent="0.3">
      <c r="C1" s="91" t="s">
        <v>64</v>
      </c>
    </row>
    <row r="2" spans="1:16" x14ac:dyDescent="0.25">
      <c r="C2" s="67" t="s">
        <v>109</v>
      </c>
      <c r="F2" s="92" t="s">
        <v>63</v>
      </c>
    </row>
    <row r="3" spans="1:16" x14ac:dyDescent="0.25">
      <c r="F3" s="50" t="s">
        <v>138</v>
      </c>
    </row>
    <row r="4" spans="1:16" x14ac:dyDescent="0.25">
      <c r="C4" s="82"/>
      <c r="D4" s="82"/>
      <c r="E4" s="82"/>
      <c r="F4" s="50" t="s">
        <v>1</v>
      </c>
      <c r="G4" s="82"/>
      <c r="H4" s="93">
        <v>44104</v>
      </c>
      <c r="I4" s="82"/>
      <c r="J4" s="82"/>
      <c r="K4" s="82"/>
      <c r="L4" s="82"/>
      <c r="M4" s="82"/>
      <c r="N4" s="82"/>
      <c r="O4" s="82"/>
    </row>
    <row r="5" spans="1:16" x14ac:dyDescent="0.25">
      <c r="C5" s="50" t="s">
        <v>0</v>
      </c>
      <c r="D5" s="50" t="s">
        <v>19</v>
      </c>
      <c r="E5" s="50" t="s">
        <v>114</v>
      </c>
      <c r="F5" s="50" t="s">
        <v>101</v>
      </c>
      <c r="G5" s="82"/>
      <c r="H5" s="50" t="s">
        <v>2</v>
      </c>
      <c r="I5" s="82"/>
      <c r="J5" s="85" t="s">
        <v>34</v>
      </c>
      <c r="K5" s="82"/>
      <c r="L5" s="82"/>
      <c r="M5" s="82"/>
      <c r="N5" s="85"/>
      <c r="O5" s="82"/>
    </row>
    <row r="6" spans="1:16" x14ac:dyDescent="0.25">
      <c r="C6" s="50"/>
      <c r="D6" s="50"/>
      <c r="E6" s="82"/>
      <c r="F6" s="85"/>
      <c r="G6" s="82"/>
      <c r="H6" s="85"/>
      <c r="I6" s="82"/>
      <c r="J6" s="82"/>
      <c r="K6" s="82"/>
      <c r="L6" s="82"/>
      <c r="M6" s="82"/>
      <c r="N6" s="82"/>
      <c r="O6" s="82"/>
    </row>
    <row r="7" spans="1:16" x14ac:dyDescent="0.25">
      <c r="A7" s="67">
        <v>1</v>
      </c>
      <c r="C7" s="53" t="s">
        <v>136</v>
      </c>
      <c r="D7" s="70" t="s">
        <v>127</v>
      </c>
      <c r="E7" s="83" t="s">
        <v>115</v>
      </c>
      <c r="F7" s="63">
        <v>0</v>
      </c>
      <c r="G7" s="64"/>
      <c r="H7" s="65">
        <f>+'[1]Query Saved as Values'!$Y$64</f>
        <v>0</v>
      </c>
      <c r="I7" s="53" t="s">
        <v>23</v>
      </c>
      <c r="J7" s="71"/>
      <c r="K7" s="71"/>
      <c r="L7" s="72"/>
      <c r="M7" s="53"/>
      <c r="N7" s="68"/>
      <c r="O7" s="68"/>
      <c r="P7" s="68"/>
    </row>
    <row r="8" spans="1:16" ht="30" x14ac:dyDescent="0.25">
      <c r="A8" s="67">
        <v>2</v>
      </c>
      <c r="C8" s="53" t="s">
        <v>130</v>
      </c>
      <c r="D8" s="70" t="s">
        <v>127</v>
      </c>
      <c r="E8" s="84" t="s">
        <v>123</v>
      </c>
      <c r="F8" s="63">
        <f>+'[2]Query Saved as Values'!$Z$31</f>
        <v>7304595.4200000009</v>
      </c>
      <c r="G8" s="64"/>
      <c r="H8" s="87">
        <f>+'[2]Query Saved as Values'!$Y$31</f>
        <v>7109256.4199999999</v>
      </c>
      <c r="I8" s="53" t="s">
        <v>23</v>
      </c>
      <c r="J8" s="71"/>
      <c r="K8" s="71"/>
      <c r="L8" s="72"/>
      <c r="M8" s="53"/>
      <c r="N8" s="68"/>
      <c r="O8" s="68"/>
      <c r="P8" s="68"/>
    </row>
    <row r="9" spans="1:16" x14ac:dyDescent="0.25">
      <c r="A9" s="67">
        <v>3</v>
      </c>
      <c r="C9" s="53" t="s">
        <v>91</v>
      </c>
      <c r="D9" s="70" t="s">
        <v>139</v>
      </c>
      <c r="E9" s="83" t="s">
        <v>116</v>
      </c>
      <c r="F9" s="63">
        <f>+'[2]Query Saved as Values'!$Z$14</f>
        <v>-1600147.7</v>
      </c>
      <c r="G9" s="64"/>
      <c r="H9" s="65">
        <f>+'[2]Query Saved as Values'!$Y$14</f>
        <v>-1600147.7</v>
      </c>
      <c r="I9" s="53" t="s">
        <v>82</v>
      </c>
      <c r="J9" s="71"/>
      <c r="K9" s="71"/>
      <c r="L9" s="72"/>
      <c r="M9" s="53"/>
      <c r="N9" s="68"/>
      <c r="O9" s="68"/>
      <c r="P9" s="68"/>
    </row>
    <row r="10" spans="1:16" x14ac:dyDescent="0.25">
      <c r="A10" s="67">
        <v>4</v>
      </c>
      <c r="C10" s="53" t="s">
        <v>134</v>
      </c>
      <c r="D10" s="70" t="s">
        <v>131</v>
      </c>
      <c r="E10" s="83" t="s">
        <v>124</v>
      </c>
      <c r="F10" s="63">
        <f>+'[2]Query Saved as Values'!$Z$41</f>
        <v>77615.959999999963</v>
      </c>
      <c r="G10" s="64"/>
      <c r="H10" s="65">
        <f>+'[2]Query Saved as Values'!$Y$41</f>
        <v>-92050.799999999988</v>
      </c>
      <c r="I10" s="53" t="s">
        <v>24</v>
      </c>
      <c r="J10" s="71"/>
      <c r="K10" s="71"/>
      <c r="L10" s="72"/>
      <c r="M10" s="53"/>
      <c r="N10" s="68"/>
      <c r="O10" s="68"/>
      <c r="P10" s="68"/>
    </row>
    <row r="11" spans="1:16" x14ac:dyDescent="0.25">
      <c r="A11" s="67">
        <v>5</v>
      </c>
      <c r="B11" s="69"/>
      <c r="C11" s="53" t="s">
        <v>112</v>
      </c>
      <c r="D11" s="70" t="s">
        <v>137</v>
      </c>
      <c r="E11" s="83" t="s">
        <v>117</v>
      </c>
      <c r="F11" s="63">
        <v>0</v>
      </c>
      <c r="G11" s="64"/>
      <c r="H11" s="65">
        <f>+'[1]Query Saved as Values'!$Y$62</f>
        <v>0</v>
      </c>
      <c r="I11" s="53" t="s">
        <v>24</v>
      </c>
      <c r="J11" s="71"/>
      <c r="K11" s="71"/>
      <c r="L11" s="72"/>
      <c r="M11" s="53"/>
      <c r="N11" s="68"/>
      <c r="O11" s="68"/>
      <c r="P11" s="68"/>
    </row>
    <row r="12" spans="1:16" x14ac:dyDescent="0.25">
      <c r="A12" s="67">
        <v>6</v>
      </c>
      <c r="C12" s="53" t="s">
        <v>31</v>
      </c>
      <c r="D12" s="70" t="s">
        <v>132</v>
      </c>
      <c r="E12" s="83" t="s">
        <v>118</v>
      </c>
      <c r="F12" s="63">
        <f>+'[2]Query Saved as Values'!$Z$12</f>
        <v>-214295.21000000002</v>
      </c>
      <c r="G12" s="64"/>
      <c r="H12" s="65">
        <f>+'[2]Query Saved as Values'!$Y$12</f>
        <v>-214295.21000000002</v>
      </c>
      <c r="I12" s="53" t="s">
        <v>28</v>
      </c>
      <c r="J12" s="71"/>
      <c r="K12" s="71"/>
      <c r="L12" s="72"/>
      <c r="M12" s="53"/>
      <c r="N12" s="68"/>
      <c r="O12" s="68"/>
      <c r="P12" s="68"/>
    </row>
    <row r="13" spans="1:16" x14ac:dyDescent="0.25">
      <c r="A13" s="67">
        <v>7</v>
      </c>
      <c r="C13" s="53" t="s">
        <v>113</v>
      </c>
      <c r="D13" s="70" t="s">
        <v>30</v>
      </c>
      <c r="E13" s="83" t="s">
        <v>126</v>
      </c>
      <c r="F13" s="63">
        <f>+'[2]Query Saved as Values'!$Z$56</f>
        <v>-219534.40000000002</v>
      </c>
      <c r="G13" s="64"/>
      <c r="H13" s="65">
        <f>+'[2]Query Saved as Values'!$Y$56</f>
        <v>-219534.40000000002</v>
      </c>
      <c r="I13" s="53" t="s">
        <v>80</v>
      </c>
      <c r="J13" s="71"/>
      <c r="K13" s="71"/>
      <c r="L13" s="72"/>
      <c r="M13" s="53"/>
      <c r="N13" s="68"/>
      <c r="O13" s="68"/>
      <c r="P13" s="68"/>
    </row>
    <row r="14" spans="1:16" x14ac:dyDescent="0.25">
      <c r="A14" s="67">
        <v>8</v>
      </c>
      <c r="C14" s="53" t="s">
        <v>133</v>
      </c>
      <c r="D14" s="70" t="s">
        <v>127</v>
      </c>
      <c r="E14" s="83" t="s">
        <v>122</v>
      </c>
      <c r="F14" s="63">
        <f>+'[2]Query Saved as Values'!$Z$20</f>
        <v>1397409.58</v>
      </c>
      <c r="G14" s="64"/>
      <c r="H14" s="65">
        <f>+'[2]Query Saved as Values'!$Y$20</f>
        <v>1397409.58</v>
      </c>
      <c r="I14" s="53" t="s">
        <v>80</v>
      </c>
      <c r="J14" s="71"/>
      <c r="K14" s="71"/>
      <c r="L14" s="72"/>
      <c r="M14" s="53"/>
      <c r="N14" s="68"/>
      <c r="O14" s="68"/>
      <c r="P14" s="68"/>
    </row>
    <row r="15" spans="1:16" x14ac:dyDescent="0.25">
      <c r="A15" s="67">
        <v>9</v>
      </c>
      <c r="C15" s="53" t="s">
        <v>135</v>
      </c>
      <c r="D15" s="70" t="s">
        <v>132</v>
      </c>
      <c r="E15" s="83" t="s">
        <v>125</v>
      </c>
      <c r="F15" s="63">
        <f>+'[2]Query Saved as Values'!$Z$50</f>
        <v>214821.13999999996</v>
      </c>
      <c r="G15" s="64"/>
      <c r="H15" s="65">
        <f>+'[2]Query Saved as Values'!$Y$50</f>
        <v>214821.13999999996</v>
      </c>
      <c r="I15" s="53" t="s">
        <v>81</v>
      </c>
      <c r="J15" s="71"/>
      <c r="K15" s="71"/>
      <c r="L15" s="72"/>
      <c r="M15" s="53"/>
      <c r="N15" s="68"/>
      <c r="O15" s="68"/>
      <c r="P15" s="68"/>
    </row>
    <row r="16" spans="1:16" x14ac:dyDescent="0.25">
      <c r="A16" s="67">
        <v>10</v>
      </c>
      <c r="C16" s="53" t="s">
        <v>95</v>
      </c>
      <c r="D16" s="70" t="s">
        <v>96</v>
      </c>
      <c r="E16" s="83" t="s">
        <v>119</v>
      </c>
      <c r="F16" s="63">
        <f>+'[2]Query Saved as Values'!$Z$60</f>
        <v>-150978.62</v>
      </c>
      <c r="G16" s="64"/>
      <c r="H16" s="65">
        <f>+'[2]Query Saved as Values'!$Y$60</f>
        <v>-150978.62</v>
      </c>
      <c r="I16" s="53" t="s">
        <v>83</v>
      </c>
      <c r="J16" s="71"/>
      <c r="K16" s="71"/>
      <c r="L16" s="72"/>
      <c r="M16" s="53"/>
      <c r="N16" s="68"/>
      <c r="O16" s="68"/>
      <c r="P16" s="68"/>
    </row>
    <row r="17" spans="1:16" x14ac:dyDescent="0.25">
      <c r="A17" s="67">
        <v>11</v>
      </c>
      <c r="C17" s="53" t="s">
        <v>128</v>
      </c>
      <c r="D17" s="70" t="s">
        <v>140</v>
      </c>
      <c r="E17" s="83" t="s">
        <v>120</v>
      </c>
      <c r="F17" s="63">
        <f>+'[2]Query Saved as Values'!$Z$10</f>
        <v>3154141.9</v>
      </c>
      <c r="G17" s="64"/>
      <c r="H17" s="65">
        <f>+'[2]Query Saved as Values'!$Y$10</f>
        <v>2629141.9</v>
      </c>
      <c r="I17" s="53" t="s">
        <v>99</v>
      </c>
      <c r="J17" s="71"/>
      <c r="K17" s="71"/>
      <c r="L17" s="72"/>
      <c r="M17" s="53"/>
      <c r="N17" s="68"/>
      <c r="O17" s="68"/>
      <c r="P17" s="68"/>
    </row>
    <row r="18" spans="1:16" x14ac:dyDescent="0.25">
      <c r="A18" s="67">
        <v>12</v>
      </c>
      <c r="B18" s="71"/>
      <c r="C18" s="53" t="s">
        <v>129</v>
      </c>
      <c r="D18" s="70" t="s">
        <v>93</v>
      </c>
      <c r="E18" s="83" t="s">
        <v>121</v>
      </c>
      <c r="F18" s="45">
        <f>+'[2]Query Saved as Values'!$Z$16</f>
        <v>160819.44999999995</v>
      </c>
      <c r="G18" s="66"/>
      <c r="H18" s="66">
        <f>+'[2]Query Saved as Values'!$Y$16</f>
        <v>160819.44999999995</v>
      </c>
      <c r="I18" s="53" t="s">
        <v>99</v>
      </c>
      <c r="J18" s="71"/>
      <c r="K18" s="71"/>
      <c r="L18" s="72"/>
      <c r="M18" s="53"/>
    </row>
    <row r="19" spans="1:16" x14ac:dyDescent="0.25">
      <c r="A19" s="67">
        <v>13</v>
      </c>
      <c r="B19" s="71"/>
      <c r="C19" s="53"/>
      <c r="D19" s="70"/>
      <c r="E19" s="86"/>
      <c r="F19" s="45"/>
      <c r="G19" s="66"/>
      <c r="H19" s="66"/>
      <c r="I19" s="53"/>
      <c r="J19" s="71"/>
      <c r="K19" s="71"/>
      <c r="L19" s="72"/>
      <c r="M19" s="53"/>
    </row>
    <row r="20" spans="1:16" x14ac:dyDescent="0.25">
      <c r="A20" s="67">
        <v>14</v>
      </c>
      <c r="B20" s="71"/>
      <c r="C20" s="53"/>
      <c r="D20" s="70"/>
      <c r="E20" s="88"/>
      <c r="F20" s="45"/>
      <c r="G20" s="89"/>
      <c r="H20" s="66"/>
      <c r="I20" s="52"/>
      <c r="J20" s="69"/>
      <c r="K20" s="69"/>
      <c r="L20" s="90"/>
      <c r="M20" s="51"/>
    </row>
    <row r="21" spans="1:16" x14ac:dyDescent="0.25">
      <c r="A21" s="67">
        <v>15</v>
      </c>
      <c r="B21" s="71"/>
      <c r="C21" s="53"/>
      <c r="D21" s="70"/>
      <c r="E21" s="88"/>
      <c r="F21" s="45"/>
      <c r="G21" s="89"/>
      <c r="H21" s="66"/>
      <c r="I21" s="52"/>
      <c r="J21" s="69"/>
      <c r="K21" s="69"/>
      <c r="L21" s="90"/>
      <c r="M21" s="51"/>
    </row>
    <row r="22" spans="1:16" x14ac:dyDescent="0.25">
      <c r="A22" s="67">
        <v>16</v>
      </c>
      <c r="B22" s="71"/>
      <c r="C22" s="53"/>
      <c r="D22" s="70"/>
      <c r="E22" s="88"/>
      <c r="F22" s="45"/>
      <c r="G22" s="89"/>
      <c r="H22" s="66"/>
      <c r="I22" s="52"/>
      <c r="J22" s="69"/>
      <c r="K22" s="69"/>
      <c r="L22" s="90"/>
      <c r="M22" s="51"/>
    </row>
    <row r="23" spans="1:16" x14ac:dyDescent="0.25">
      <c r="A23" s="67">
        <v>17</v>
      </c>
      <c r="C23" s="51"/>
      <c r="D23" s="94"/>
      <c r="E23" s="95"/>
      <c r="F23" s="46"/>
      <c r="G23" s="96"/>
      <c r="H23" s="96"/>
      <c r="I23" s="51"/>
      <c r="L23" s="49"/>
      <c r="M23" s="51"/>
    </row>
    <row r="24" spans="1:16" ht="15.75" thickBot="1" x14ac:dyDescent="0.3">
      <c r="A24" s="67">
        <v>18</v>
      </c>
      <c r="C24" s="51"/>
      <c r="D24" s="94"/>
      <c r="E24" s="88"/>
      <c r="F24" s="47"/>
      <c r="G24" s="97"/>
      <c r="H24" s="98"/>
      <c r="I24" s="99"/>
      <c r="J24" s="99"/>
      <c r="K24" s="99"/>
      <c r="L24" s="82"/>
      <c r="M24" s="82"/>
      <c r="N24" s="82"/>
      <c r="O24" s="82"/>
    </row>
    <row r="25" spans="1:16" ht="15.75" thickTop="1" x14ac:dyDescent="0.25">
      <c r="A25" s="67">
        <v>19</v>
      </c>
      <c r="C25" s="82" t="s">
        <v>14</v>
      </c>
      <c r="D25" s="82"/>
      <c r="E25" s="82"/>
      <c r="F25" s="48">
        <f>SUM(F7:F24)</f>
        <v>10124447.52</v>
      </c>
      <c r="G25" s="100"/>
      <c r="H25" s="101">
        <f>SUM(H7:H24)</f>
        <v>9234441.7599999979</v>
      </c>
      <c r="I25" s="49"/>
      <c r="J25" s="82"/>
      <c r="K25" s="82"/>
      <c r="L25" s="82"/>
      <c r="M25" s="82"/>
      <c r="N25" s="82"/>
      <c r="O25" s="82"/>
    </row>
    <row r="26" spans="1:16" x14ac:dyDescent="0.25">
      <c r="C26" s="82"/>
      <c r="D26" s="82"/>
      <c r="E26" s="82"/>
      <c r="F26" s="49"/>
      <c r="G26" s="82"/>
      <c r="H26" s="49"/>
      <c r="I26" s="82"/>
      <c r="J26" s="82"/>
      <c r="K26" s="82"/>
      <c r="L26" s="82"/>
      <c r="M26" s="82"/>
      <c r="N26" s="82"/>
      <c r="O26" s="82"/>
    </row>
    <row r="27" spans="1:16" ht="18.75" x14ac:dyDescent="0.3">
      <c r="A27" s="67">
        <v>20</v>
      </c>
      <c r="C27" s="82"/>
      <c r="D27" s="82"/>
      <c r="E27" s="82"/>
      <c r="F27" s="82"/>
      <c r="G27" s="82"/>
      <c r="H27" s="102" t="s">
        <v>13</v>
      </c>
      <c r="I27" s="102" t="s">
        <v>13</v>
      </c>
      <c r="J27" s="102" t="s">
        <v>13</v>
      </c>
      <c r="K27" s="102" t="s">
        <v>13</v>
      </c>
      <c r="L27" s="102" t="s">
        <v>13</v>
      </c>
      <c r="M27" s="102" t="s">
        <v>13</v>
      </c>
      <c r="N27" s="102"/>
      <c r="O27" s="102"/>
    </row>
    <row r="28" spans="1:16" ht="18.75" x14ac:dyDescent="0.3">
      <c r="A28" s="67">
        <v>21</v>
      </c>
      <c r="C28" s="82"/>
      <c r="D28" s="82"/>
      <c r="E28" s="82"/>
      <c r="F28" s="82"/>
      <c r="G28" s="82"/>
      <c r="H28" s="103" t="s">
        <v>86</v>
      </c>
      <c r="I28" s="104">
        <v>504</v>
      </c>
      <c r="J28" s="103" t="s">
        <v>87</v>
      </c>
      <c r="K28" s="104">
        <v>511</v>
      </c>
      <c r="L28" s="103" t="s">
        <v>88</v>
      </c>
      <c r="M28" s="104">
        <v>663</v>
      </c>
      <c r="N28" s="104"/>
      <c r="O28" s="104"/>
    </row>
    <row r="29" spans="1:16" x14ac:dyDescent="0.25">
      <c r="C29" s="82"/>
      <c r="D29" s="82"/>
      <c r="E29" s="82"/>
      <c r="F29" s="82"/>
      <c r="G29" s="82"/>
      <c r="H29" s="82" t="s">
        <v>35</v>
      </c>
      <c r="I29" s="82"/>
      <c r="J29" s="82"/>
      <c r="K29" s="82"/>
      <c r="L29" s="82"/>
      <c r="M29" s="82"/>
      <c r="N29" s="82"/>
      <c r="O29" s="82"/>
    </row>
    <row r="30" spans="1:16" x14ac:dyDescent="0.25">
      <c r="A30" s="67">
        <v>22</v>
      </c>
      <c r="C30" s="105" t="s">
        <v>67</v>
      </c>
      <c r="D30" s="105"/>
      <c r="E30" s="82"/>
      <c r="F30" s="49">
        <f>SUM(H30:Q30)</f>
        <v>279938461</v>
      </c>
      <c r="G30" s="49"/>
      <c r="H30" s="49">
        <v>139245995</v>
      </c>
      <c r="I30" s="49">
        <v>64103014</v>
      </c>
      <c r="J30" s="49">
        <v>7030783</v>
      </c>
      <c r="K30" s="49">
        <v>5473765</v>
      </c>
      <c r="L30" s="49">
        <v>806645</v>
      </c>
      <c r="M30" s="49">
        <v>63278259</v>
      </c>
      <c r="N30" s="49"/>
      <c r="O30" s="49"/>
    </row>
    <row r="31" spans="1:16" x14ac:dyDescent="0.25">
      <c r="A31" s="67">
        <v>23</v>
      </c>
      <c r="C31" s="67" t="s">
        <v>3</v>
      </c>
      <c r="F31" s="80">
        <f>SUM(H31:Q31)</f>
        <v>1</v>
      </c>
      <c r="H31" s="80">
        <f t="shared" ref="H31:M31" si="0">+H30/$F$30</f>
        <v>0.49741644825288939</v>
      </c>
      <c r="I31" s="80">
        <f t="shared" si="0"/>
        <v>0.22898966355323358</v>
      </c>
      <c r="J31" s="80">
        <f t="shared" si="0"/>
        <v>2.5115459215159435E-2</v>
      </c>
      <c r="K31" s="80">
        <f t="shared" si="0"/>
        <v>1.9553458215232526E-2</v>
      </c>
      <c r="L31" s="80">
        <f t="shared" si="0"/>
        <v>2.8815083040697291E-3</v>
      </c>
      <c r="M31" s="80">
        <f t="shared" si="0"/>
        <v>0.22604346245941531</v>
      </c>
      <c r="N31" s="80"/>
      <c r="O31" s="80"/>
    </row>
    <row r="34" spans="1:8" x14ac:dyDescent="0.25">
      <c r="A34" s="67">
        <v>24</v>
      </c>
      <c r="C34" s="67" t="s">
        <v>4</v>
      </c>
      <c r="E34" s="67" t="s">
        <v>36</v>
      </c>
      <c r="F34" s="73">
        <f>+F25</f>
        <v>10124447.52</v>
      </c>
    </row>
    <row r="36" spans="1:8" x14ac:dyDescent="0.25">
      <c r="A36" s="67">
        <v>25</v>
      </c>
      <c r="C36" s="67" t="s">
        <v>5</v>
      </c>
      <c r="E36" s="67" t="s">
        <v>37</v>
      </c>
      <c r="F36" s="74">
        <f>+F34*0.0258</f>
        <v>261210.74601599999</v>
      </c>
      <c r="G36" s="74"/>
      <c r="H36" s="74">
        <f>+F36</f>
        <v>261210.74601599999</v>
      </c>
    </row>
    <row r="37" spans="1:8" x14ac:dyDescent="0.25">
      <c r="A37" s="67">
        <v>26</v>
      </c>
      <c r="C37" s="67" t="s">
        <v>7</v>
      </c>
      <c r="E37" s="67" t="s">
        <v>38</v>
      </c>
      <c r="F37" s="74">
        <f>+F36/2</f>
        <v>130605.373008</v>
      </c>
      <c r="G37" s="74"/>
      <c r="H37" s="74"/>
    </row>
    <row r="38" spans="1:8" x14ac:dyDescent="0.25">
      <c r="A38" s="67">
        <v>27</v>
      </c>
      <c r="C38" s="67" t="s">
        <v>33</v>
      </c>
      <c r="E38" s="67" t="s">
        <v>39</v>
      </c>
      <c r="F38" s="74">
        <f>+F34*0.0375</f>
        <v>379666.78199999995</v>
      </c>
      <c r="G38" s="74"/>
      <c r="H38" s="74"/>
    </row>
    <row r="39" spans="1:8" x14ac:dyDescent="0.25">
      <c r="A39" s="67">
        <v>28</v>
      </c>
      <c r="C39" s="67" t="s">
        <v>6</v>
      </c>
      <c r="E39" s="67" t="s">
        <v>69</v>
      </c>
      <c r="F39" s="74">
        <f>(+F38-F36)*0.21</f>
        <v>24875.767556639992</v>
      </c>
      <c r="G39" s="74"/>
      <c r="H39" s="74"/>
    </row>
    <row r="40" spans="1:8" x14ac:dyDescent="0.25">
      <c r="A40" s="67">
        <v>29</v>
      </c>
      <c r="C40" s="67" t="s">
        <v>8</v>
      </c>
      <c r="E40" s="67" t="s">
        <v>40</v>
      </c>
      <c r="F40" s="74">
        <f>+F39/2</f>
        <v>12437.883778319996</v>
      </c>
      <c r="G40" s="74"/>
      <c r="H40" s="74"/>
    </row>
    <row r="41" spans="1:8" x14ac:dyDescent="0.25">
      <c r="A41" s="67">
        <v>30</v>
      </c>
      <c r="C41" s="67" t="s">
        <v>11</v>
      </c>
      <c r="E41" s="67" t="s">
        <v>68</v>
      </c>
      <c r="F41" s="74"/>
      <c r="G41" s="74"/>
      <c r="H41" s="74">
        <f>+H36*0.21</f>
        <v>54854.256663359993</v>
      </c>
    </row>
    <row r="42" spans="1:8" x14ac:dyDescent="0.25">
      <c r="A42" s="67">
        <v>31</v>
      </c>
      <c r="B42" s="106"/>
      <c r="C42" s="67" t="s">
        <v>107</v>
      </c>
      <c r="F42" s="74"/>
      <c r="G42" s="74"/>
      <c r="H42" s="74">
        <f>+F43*0.026239*0.21</f>
        <v>54999.433957117377</v>
      </c>
    </row>
    <row r="43" spans="1:8" x14ac:dyDescent="0.25">
      <c r="A43" s="67">
        <v>32</v>
      </c>
      <c r="C43" s="67" t="s">
        <v>102</v>
      </c>
      <c r="E43" s="67" t="s">
        <v>41</v>
      </c>
      <c r="F43" s="74">
        <f>+F25-F40-F37</f>
        <v>9981404.2632136792</v>
      </c>
      <c r="G43" s="74"/>
      <c r="H43" s="74"/>
    </row>
    <row r="44" spans="1:8" x14ac:dyDescent="0.25">
      <c r="A44" s="67">
        <v>33</v>
      </c>
      <c r="C44" s="67" t="s">
        <v>106</v>
      </c>
      <c r="F44" s="75">
        <v>7.2400000000000006E-2</v>
      </c>
    </row>
    <row r="46" spans="1:8" x14ac:dyDescent="0.25">
      <c r="A46" s="67">
        <v>34</v>
      </c>
      <c r="C46" s="67" t="s">
        <v>10</v>
      </c>
      <c r="E46" s="67" t="s">
        <v>78</v>
      </c>
      <c r="F46" s="76">
        <f>+F43*F44</f>
        <v>722653.66865667049</v>
      </c>
      <c r="G46" s="76"/>
      <c r="H46" s="76">
        <f>+H36-H41-H42</f>
        <v>151357.05539552262</v>
      </c>
    </row>
    <row r="47" spans="1:8" x14ac:dyDescent="0.25">
      <c r="A47" s="67">
        <v>35</v>
      </c>
      <c r="C47" s="67" t="s">
        <v>12</v>
      </c>
      <c r="E47" s="67" t="s">
        <v>42</v>
      </c>
      <c r="F47" s="76">
        <f>+F46+H46</f>
        <v>874010.72405219311</v>
      </c>
      <c r="G47" s="76"/>
      <c r="H47" s="76"/>
    </row>
    <row r="48" spans="1:8" x14ac:dyDescent="0.25">
      <c r="A48" s="67">
        <v>36</v>
      </c>
      <c r="C48" s="67" t="s">
        <v>105</v>
      </c>
      <c r="F48" s="67">
        <v>0.75553999999999999</v>
      </c>
    </row>
    <row r="49" spans="1:16" x14ac:dyDescent="0.25">
      <c r="A49" s="67">
        <v>37</v>
      </c>
      <c r="C49" s="67" t="s">
        <v>17</v>
      </c>
      <c r="E49" s="67" t="s">
        <v>43</v>
      </c>
      <c r="F49" s="77">
        <f>+F47/F48</f>
        <v>1156802.7160073498</v>
      </c>
      <c r="H49" s="77"/>
      <c r="I49" s="76"/>
      <c r="J49" s="76"/>
      <c r="K49" s="76"/>
      <c r="L49" s="76"/>
      <c r="M49" s="76"/>
      <c r="N49" s="76"/>
      <c r="O49" s="76"/>
    </row>
    <row r="50" spans="1:16" x14ac:dyDescent="0.25">
      <c r="A50" s="67">
        <v>38</v>
      </c>
      <c r="C50" s="67" t="s">
        <v>104</v>
      </c>
      <c r="F50" s="77">
        <f>+'2019 Rate Calculation'!G45</f>
        <v>884304.84920150833</v>
      </c>
      <c r="H50" s="77"/>
      <c r="I50" s="76"/>
      <c r="J50" s="76"/>
      <c r="K50" s="76"/>
      <c r="L50" s="76"/>
      <c r="M50" s="76"/>
      <c r="N50" s="76"/>
      <c r="O50" s="76"/>
    </row>
    <row r="51" spans="1:16" x14ac:dyDescent="0.25">
      <c r="H51" s="77"/>
      <c r="I51" s="76"/>
      <c r="J51" s="76"/>
      <c r="K51" s="76"/>
      <c r="L51" s="76"/>
      <c r="M51" s="76"/>
      <c r="N51" s="76"/>
      <c r="O51" s="76"/>
    </row>
    <row r="52" spans="1:16" ht="15.75" thickBot="1" x14ac:dyDescent="0.3">
      <c r="A52" s="67">
        <v>39</v>
      </c>
      <c r="C52" s="67" t="s">
        <v>18</v>
      </c>
      <c r="E52" s="67" t="s">
        <v>70</v>
      </c>
      <c r="F52" s="78">
        <f>+F49+F50</f>
        <v>2041107.5652088581</v>
      </c>
      <c r="H52" s="77"/>
      <c r="I52" s="76"/>
      <c r="J52" s="76"/>
      <c r="K52" s="76"/>
      <c r="L52" s="76"/>
      <c r="M52" s="76"/>
      <c r="N52" s="76"/>
      <c r="O52" s="76"/>
    </row>
    <row r="53" spans="1:16" ht="15.75" thickTop="1" x14ac:dyDescent="0.25">
      <c r="A53" s="67">
        <v>40</v>
      </c>
      <c r="C53" s="67" t="s">
        <v>110</v>
      </c>
      <c r="F53" s="77">
        <v>906760</v>
      </c>
      <c r="H53" s="54"/>
      <c r="I53" s="54"/>
      <c r="J53" s="54"/>
      <c r="K53" s="54"/>
      <c r="L53" s="54"/>
      <c r="M53" s="54"/>
      <c r="N53" s="76"/>
      <c r="O53" s="76"/>
      <c r="P53" s="76"/>
    </row>
    <row r="54" spans="1:16" x14ac:dyDescent="0.25">
      <c r="F54" s="77"/>
      <c r="H54" s="77"/>
      <c r="I54" s="76"/>
      <c r="J54" s="76"/>
      <c r="K54" s="76"/>
      <c r="L54" s="76"/>
      <c r="M54" s="76"/>
      <c r="N54" s="76"/>
      <c r="O54" s="76"/>
    </row>
    <row r="55" spans="1:16" x14ac:dyDescent="0.25">
      <c r="A55" s="67">
        <v>41</v>
      </c>
      <c r="C55" s="67" t="s">
        <v>61</v>
      </c>
      <c r="F55" s="77">
        <f>+F52-F53</f>
        <v>1134347.5652088581</v>
      </c>
      <c r="H55" s="77"/>
      <c r="I55" s="76"/>
      <c r="J55" s="76"/>
      <c r="K55" s="76"/>
      <c r="L55" s="76"/>
      <c r="M55" s="76"/>
      <c r="N55" s="76"/>
      <c r="O55" s="76"/>
    </row>
    <row r="56" spans="1:16" ht="15.75" thickTop="1" x14ac:dyDescent="0.25">
      <c r="H56" s="76"/>
      <c r="I56" s="76"/>
      <c r="J56" s="76"/>
      <c r="K56" s="76"/>
      <c r="L56" s="76"/>
      <c r="M56" s="76"/>
      <c r="N56" s="76"/>
      <c r="O56" s="76"/>
    </row>
    <row r="57" spans="1:16" x14ac:dyDescent="0.25">
      <c r="A57" s="67">
        <v>42</v>
      </c>
      <c r="C57" s="67" t="s">
        <v>15</v>
      </c>
      <c r="E57" s="67" t="s">
        <v>44</v>
      </c>
      <c r="H57" s="76">
        <f t="shared" ref="H57:M57" si="1">+$F$52*H31</f>
        <v>1015280.475588293</v>
      </c>
      <c r="I57" s="76">
        <f t="shared" si="1"/>
        <v>467392.53463313618</v>
      </c>
      <c r="J57" s="76">
        <f t="shared" si="1"/>
        <v>51263.353807756452</v>
      </c>
      <c r="K57" s="76">
        <f t="shared" si="1"/>
        <v>39910.711489106405</v>
      </c>
      <c r="L57" s="76">
        <f t="shared" si="1"/>
        <v>5881.4683986488708</v>
      </c>
      <c r="M57" s="76">
        <f t="shared" si="1"/>
        <v>461379.02129191713</v>
      </c>
      <c r="N57" s="76"/>
      <c r="O57" s="76"/>
    </row>
    <row r="58" spans="1:16" x14ac:dyDescent="0.25">
      <c r="A58" s="67">
        <v>43</v>
      </c>
      <c r="C58" s="67" t="s">
        <v>111</v>
      </c>
      <c r="F58" s="74"/>
      <c r="H58" s="74">
        <v>130528548</v>
      </c>
      <c r="I58" s="74">
        <v>92679715</v>
      </c>
      <c r="J58" s="74">
        <v>13156465</v>
      </c>
      <c r="K58" s="74">
        <v>18010718</v>
      </c>
      <c r="L58" s="74">
        <v>2270481</v>
      </c>
      <c r="M58" s="74">
        <v>621523064</v>
      </c>
      <c r="N58" s="74"/>
      <c r="O58" s="74"/>
    </row>
    <row r="59" spans="1:16" x14ac:dyDescent="0.25">
      <c r="H59" s="74"/>
      <c r="I59" s="74"/>
      <c r="J59" s="74"/>
      <c r="K59" s="74"/>
      <c r="L59" s="74"/>
      <c r="M59" s="74"/>
      <c r="N59" s="74"/>
      <c r="O59" s="74"/>
    </row>
    <row r="60" spans="1:16" x14ac:dyDescent="0.25">
      <c r="H60" s="74"/>
      <c r="I60" s="74"/>
      <c r="J60" s="74"/>
      <c r="K60" s="74"/>
      <c r="L60" s="74"/>
      <c r="M60" s="74"/>
      <c r="N60" s="74"/>
      <c r="O60" s="74"/>
    </row>
    <row r="61" spans="1:16" x14ac:dyDescent="0.25">
      <c r="A61" s="67">
        <v>44</v>
      </c>
      <c r="C61" s="67" t="s">
        <v>20</v>
      </c>
      <c r="E61" s="67" t="s">
        <v>45</v>
      </c>
      <c r="H61" s="79">
        <f>+H57/H58</f>
        <v>7.7782254621287369E-3</v>
      </c>
      <c r="I61" s="79">
        <f>+I57/I58</f>
        <v>5.0430942157422059E-3</v>
      </c>
      <c r="J61" s="79">
        <f>+J57/J58</f>
        <v>3.8964382763726009E-3</v>
      </c>
      <c r="K61" s="79">
        <f t="shared" ref="K61:M61" si="2">+K57/K58</f>
        <v>2.2159422788756342E-3</v>
      </c>
      <c r="L61" s="79">
        <f t="shared" si="2"/>
        <v>2.590406349425021E-3</v>
      </c>
      <c r="M61" s="79">
        <f t="shared" si="2"/>
        <v>7.4233612236780503E-4</v>
      </c>
      <c r="N61" s="79"/>
      <c r="O61" s="79"/>
    </row>
    <row r="63" spans="1:16" x14ac:dyDescent="0.25">
      <c r="A63" s="67">
        <v>45</v>
      </c>
      <c r="C63" s="67" t="s">
        <v>103</v>
      </c>
      <c r="H63" s="76">
        <v>247324990</v>
      </c>
    </row>
    <row r="64" spans="1:16" x14ac:dyDescent="0.25">
      <c r="A64" s="67">
        <v>46</v>
      </c>
      <c r="C64" s="67" t="s">
        <v>16</v>
      </c>
      <c r="E64" s="67" t="s">
        <v>65</v>
      </c>
      <c r="H64" s="75">
        <f>(+F55)/H63</f>
        <v>4.5864656264975818E-3</v>
      </c>
    </row>
    <row r="65" spans="8:13" x14ac:dyDescent="0.25">
      <c r="H65" s="80"/>
    </row>
    <row r="66" spans="8:13" x14ac:dyDescent="0.25">
      <c r="H66" s="80"/>
    </row>
    <row r="69" spans="8:13" x14ac:dyDescent="0.25">
      <c r="H69" s="62"/>
      <c r="I69" s="62"/>
      <c r="J69" s="62"/>
      <c r="K69" s="62"/>
      <c r="L69" s="62"/>
      <c r="M69" s="62"/>
    </row>
    <row r="70" spans="8:13" x14ac:dyDescent="0.25">
      <c r="H70" s="62"/>
      <c r="I70" s="62"/>
      <c r="J70" s="62"/>
      <c r="K70" s="62"/>
      <c r="L70" s="62"/>
      <c r="M70" s="62"/>
    </row>
    <row r="71" spans="8:13" x14ac:dyDescent="0.25">
      <c r="H71" s="81"/>
      <c r="I71" s="81"/>
      <c r="J71" s="81"/>
      <c r="K71" s="81"/>
      <c r="L71" s="81"/>
      <c r="M71" s="81"/>
    </row>
    <row r="72" spans="8:13" x14ac:dyDescent="0.25">
      <c r="H72" s="74"/>
      <c r="I72" s="74"/>
      <c r="J72" s="74"/>
      <c r="K72" s="74"/>
      <c r="L72" s="74"/>
      <c r="M72" s="74"/>
    </row>
  </sheetData>
  <pageMargins left="0.7" right="0.7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R60"/>
  <sheetViews>
    <sheetView workbookViewId="0">
      <selection activeCell="D12" sqref="D12"/>
    </sheetView>
  </sheetViews>
  <sheetFormatPr defaultRowHeight="15" x14ac:dyDescent="0.25"/>
  <cols>
    <col min="1" max="1" width="4.28515625" customWidth="1"/>
    <col min="2" max="2" width="53.28515625" bestFit="1" customWidth="1"/>
    <col min="3" max="3" width="13.85546875" bestFit="1" customWidth="1"/>
    <col min="4" max="4" width="45.140625" bestFit="1" customWidth="1"/>
    <col min="5" max="5" width="22.7109375" bestFit="1" customWidth="1"/>
    <col min="6" max="6" width="2.5703125" customWidth="1"/>
    <col min="7" max="7" width="15.28515625" bestFit="1" customWidth="1"/>
    <col min="8" max="8" width="13.28515625" customWidth="1"/>
    <col min="9" max="9" width="11.7109375" customWidth="1"/>
    <col min="10" max="10" width="13.28515625" customWidth="1"/>
    <col min="11" max="11" width="12.5703125" customWidth="1"/>
    <col min="12" max="13" width="13.28515625" bestFit="1" customWidth="1"/>
    <col min="14" max="15" width="11.5703125" bestFit="1" customWidth="1"/>
    <col min="16" max="16" width="12.85546875" customWidth="1"/>
    <col min="17" max="17" width="14.28515625" bestFit="1" customWidth="1"/>
  </cols>
  <sheetData>
    <row r="2" spans="1:18" x14ac:dyDescent="0.25">
      <c r="B2" t="s">
        <v>62</v>
      </c>
    </row>
    <row r="4" spans="1:18" x14ac:dyDescent="0.25">
      <c r="B4" s="1"/>
      <c r="C4" s="1"/>
      <c r="D4" s="1"/>
      <c r="E4" s="3" t="s">
        <v>85</v>
      </c>
      <c r="F4" s="1"/>
      <c r="G4" s="6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B5" s="2" t="s">
        <v>0</v>
      </c>
      <c r="C5" s="2" t="s">
        <v>19</v>
      </c>
      <c r="D5" s="1"/>
      <c r="E5" s="3" t="s">
        <v>108</v>
      </c>
      <c r="F5" s="1"/>
      <c r="G5" s="3"/>
      <c r="H5" s="1"/>
      <c r="I5" s="1"/>
      <c r="J5" s="3" t="s">
        <v>34</v>
      </c>
      <c r="K5" s="1"/>
      <c r="L5" s="1"/>
      <c r="M5" s="1"/>
      <c r="N5" s="3"/>
      <c r="O5" s="1"/>
      <c r="P5" s="1"/>
      <c r="Q5" s="1"/>
      <c r="R5" s="1"/>
    </row>
    <row r="6" spans="1:18" x14ac:dyDescent="0.25">
      <c r="B6" s="2"/>
      <c r="C6" s="2"/>
      <c r="D6" s="1"/>
      <c r="E6" s="3"/>
      <c r="F6" s="1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>
        <v>1</v>
      </c>
      <c r="B7" s="51" t="s">
        <v>21</v>
      </c>
      <c r="C7" s="12" t="s">
        <v>22</v>
      </c>
      <c r="D7" s="13"/>
      <c r="E7" s="55">
        <v>1272510.96</v>
      </c>
      <c r="F7" s="14"/>
      <c r="G7" s="42"/>
      <c r="H7" s="11" t="s">
        <v>23</v>
      </c>
      <c r="I7" s="21"/>
      <c r="J7" s="21"/>
      <c r="K7" s="21"/>
      <c r="L7" s="7"/>
      <c r="M7" s="11"/>
      <c r="P7" s="1"/>
      <c r="Q7" s="1"/>
      <c r="R7" s="1"/>
    </row>
    <row r="8" spans="1:18" x14ac:dyDescent="0.25">
      <c r="A8">
        <v>2</v>
      </c>
      <c r="B8" s="51" t="s">
        <v>29</v>
      </c>
      <c r="C8" s="12" t="s">
        <v>30</v>
      </c>
      <c r="D8" s="13"/>
      <c r="E8" s="55">
        <v>1317983.47</v>
      </c>
      <c r="F8" s="14"/>
      <c r="G8" s="42"/>
      <c r="H8" s="11" t="s">
        <v>23</v>
      </c>
      <c r="I8" s="21"/>
      <c r="J8" s="21"/>
      <c r="K8" s="21"/>
      <c r="L8" s="7"/>
      <c r="M8" s="11"/>
      <c r="P8" s="1"/>
      <c r="Q8" s="1"/>
      <c r="R8" s="1"/>
    </row>
    <row r="9" spans="1:18" x14ac:dyDescent="0.25">
      <c r="A9">
        <v>3</v>
      </c>
      <c r="B9" s="52" t="s">
        <v>91</v>
      </c>
      <c r="C9" s="28" t="s">
        <v>30</v>
      </c>
      <c r="D9" s="13"/>
      <c r="E9" s="56">
        <v>2742222.49</v>
      </c>
      <c r="F9" s="14"/>
      <c r="G9" s="43"/>
      <c r="H9" s="27" t="s">
        <v>82</v>
      </c>
      <c r="I9" s="21"/>
      <c r="J9" s="21"/>
      <c r="K9" s="21"/>
      <c r="L9" s="7"/>
      <c r="M9" s="11"/>
      <c r="P9" s="1"/>
      <c r="Q9" s="1"/>
      <c r="R9" s="1"/>
    </row>
    <row r="10" spans="1:18" x14ac:dyDescent="0.25">
      <c r="A10">
        <v>4</v>
      </c>
      <c r="B10" s="51" t="s">
        <v>74</v>
      </c>
      <c r="C10" s="12" t="s">
        <v>32</v>
      </c>
      <c r="D10" s="13"/>
      <c r="E10" s="55"/>
      <c r="F10" s="14"/>
      <c r="G10" s="42"/>
      <c r="H10" s="11" t="s">
        <v>24</v>
      </c>
      <c r="I10" s="21"/>
      <c r="J10" s="21"/>
      <c r="K10" s="21"/>
      <c r="L10" s="7"/>
      <c r="M10" s="11"/>
      <c r="P10" s="1"/>
      <c r="Q10" s="1"/>
      <c r="R10" s="1"/>
    </row>
    <row r="11" spans="1:18" x14ac:dyDescent="0.25">
      <c r="A11" s="26">
        <v>5</v>
      </c>
      <c r="B11" s="53" t="s">
        <v>94</v>
      </c>
      <c r="C11" s="35" t="s">
        <v>27</v>
      </c>
      <c r="D11" s="40"/>
      <c r="E11" s="57">
        <v>60438.53</v>
      </c>
      <c r="F11" s="41"/>
      <c r="G11" s="44"/>
      <c r="H11" s="36" t="s">
        <v>98</v>
      </c>
      <c r="I11" s="39"/>
      <c r="J11" s="26"/>
      <c r="K11" s="26"/>
      <c r="L11" s="32"/>
      <c r="M11" s="11"/>
      <c r="P11" s="1"/>
      <c r="Q11" s="1"/>
      <c r="R11" s="1"/>
    </row>
    <row r="12" spans="1:18" x14ac:dyDescent="0.25">
      <c r="A12">
        <v>6</v>
      </c>
      <c r="B12" s="52" t="s">
        <v>26</v>
      </c>
      <c r="C12" s="28" t="s">
        <v>27</v>
      </c>
      <c r="D12" s="16"/>
      <c r="E12" s="58">
        <v>0</v>
      </c>
      <c r="F12" s="29"/>
      <c r="G12" s="43"/>
      <c r="H12" s="27" t="s">
        <v>24</v>
      </c>
      <c r="I12" s="26"/>
      <c r="J12" s="26"/>
      <c r="K12" s="26"/>
      <c r="L12" s="32"/>
      <c r="M12" s="11"/>
      <c r="P12" s="1"/>
      <c r="Q12" s="1"/>
      <c r="R12" s="1"/>
    </row>
    <row r="13" spans="1:18" x14ac:dyDescent="0.25">
      <c r="A13" s="26">
        <v>7</v>
      </c>
      <c r="B13" s="51" t="s">
        <v>31</v>
      </c>
      <c r="C13" s="12" t="s">
        <v>30</v>
      </c>
      <c r="D13" s="13"/>
      <c r="E13" s="59">
        <v>315382.90999999997</v>
      </c>
      <c r="F13" s="14"/>
      <c r="G13" s="42"/>
      <c r="H13" s="11" t="s">
        <v>28</v>
      </c>
      <c r="I13" s="21"/>
      <c r="J13" s="21"/>
      <c r="K13" s="21"/>
      <c r="L13" s="7"/>
      <c r="M13" s="11"/>
      <c r="P13" s="1"/>
      <c r="Q13" s="1"/>
      <c r="R13" s="1"/>
    </row>
    <row r="14" spans="1:18" x14ac:dyDescent="0.25">
      <c r="A14" s="26">
        <v>8</v>
      </c>
      <c r="B14" s="52" t="s">
        <v>75</v>
      </c>
      <c r="C14" s="28" t="s">
        <v>22</v>
      </c>
      <c r="D14" s="13"/>
      <c r="E14" s="58">
        <v>0</v>
      </c>
      <c r="F14" s="14"/>
      <c r="G14" s="43"/>
      <c r="H14" s="27" t="s">
        <v>79</v>
      </c>
      <c r="I14" s="21"/>
      <c r="J14" s="21"/>
      <c r="K14" s="21"/>
      <c r="L14" s="7"/>
      <c r="M14" s="11"/>
      <c r="P14" s="1"/>
      <c r="Q14" s="1"/>
      <c r="R14" s="1"/>
    </row>
    <row r="15" spans="1:18" x14ac:dyDescent="0.25">
      <c r="A15">
        <v>9</v>
      </c>
      <c r="B15" s="52" t="s">
        <v>76</v>
      </c>
      <c r="C15" s="28" t="s">
        <v>25</v>
      </c>
      <c r="D15" s="13"/>
      <c r="E15" s="58">
        <v>0</v>
      </c>
      <c r="F15" s="14"/>
      <c r="G15" s="42"/>
      <c r="H15" s="27" t="s">
        <v>80</v>
      </c>
      <c r="I15" s="21"/>
      <c r="J15" s="21"/>
      <c r="K15" s="21"/>
      <c r="L15" s="7"/>
      <c r="M15" s="11"/>
      <c r="P15" s="1"/>
      <c r="Q15" s="1"/>
      <c r="R15" s="1"/>
    </row>
    <row r="16" spans="1:18" s="21" customFormat="1" x14ac:dyDescent="0.25">
      <c r="B16" s="52" t="s">
        <v>97</v>
      </c>
      <c r="C16" s="28" t="s">
        <v>84</v>
      </c>
      <c r="D16" s="13"/>
      <c r="E16" s="58"/>
      <c r="F16" s="29"/>
      <c r="G16" s="43"/>
      <c r="H16" s="27" t="s">
        <v>81</v>
      </c>
      <c r="L16" s="7"/>
      <c r="M16" s="11"/>
      <c r="P16" s="1"/>
      <c r="Q16" s="1"/>
      <c r="R16" s="1"/>
    </row>
    <row r="17" spans="1:18" x14ac:dyDescent="0.25">
      <c r="A17">
        <v>10</v>
      </c>
      <c r="B17" s="51" t="s">
        <v>77</v>
      </c>
      <c r="C17" s="12" t="s">
        <v>30</v>
      </c>
      <c r="D17" s="13"/>
      <c r="E17" s="59">
        <v>1697159.99</v>
      </c>
      <c r="F17" s="29"/>
      <c r="G17" s="43"/>
      <c r="H17" s="11" t="s">
        <v>83</v>
      </c>
      <c r="I17" s="21"/>
      <c r="J17" s="21"/>
      <c r="K17" s="21"/>
      <c r="L17" s="7"/>
      <c r="M17" s="11"/>
      <c r="P17" s="1"/>
      <c r="Q17" s="1"/>
      <c r="R17" s="1"/>
    </row>
    <row r="18" spans="1:18" x14ac:dyDescent="0.25">
      <c r="A18">
        <v>11</v>
      </c>
      <c r="B18" s="53" t="s">
        <v>95</v>
      </c>
      <c r="C18" s="12" t="s">
        <v>96</v>
      </c>
      <c r="D18" s="13"/>
      <c r="E18" s="59">
        <v>279770.44</v>
      </c>
      <c r="F18" s="14"/>
      <c r="G18" s="42"/>
      <c r="H18" s="36" t="s">
        <v>99</v>
      </c>
      <c r="I18" s="21"/>
      <c r="J18" s="21"/>
      <c r="K18" s="21"/>
      <c r="L18" s="7"/>
      <c r="M18" s="11"/>
      <c r="P18" s="1"/>
      <c r="Q18" s="1"/>
      <c r="R18" s="1"/>
    </row>
    <row r="19" spans="1:18" x14ac:dyDescent="0.25">
      <c r="A19">
        <v>12</v>
      </c>
      <c r="B19" s="52" t="s">
        <v>90</v>
      </c>
      <c r="C19" s="28" t="s">
        <v>25</v>
      </c>
      <c r="D19" s="16"/>
      <c r="E19" s="60"/>
      <c r="F19" s="14"/>
      <c r="G19" s="42"/>
      <c r="H19" s="27" t="s">
        <v>99</v>
      </c>
      <c r="I19" s="21"/>
      <c r="J19" s="21"/>
      <c r="K19" s="21"/>
      <c r="L19" s="7"/>
      <c r="M19" s="11"/>
      <c r="P19" s="1"/>
      <c r="Q19" s="1"/>
      <c r="R19" s="1"/>
    </row>
    <row r="20" spans="1:18" x14ac:dyDescent="0.25">
      <c r="A20">
        <v>13</v>
      </c>
      <c r="B20" s="53" t="s">
        <v>92</v>
      </c>
      <c r="C20" s="35" t="s">
        <v>93</v>
      </c>
      <c r="D20" s="16"/>
      <c r="E20" s="61">
        <v>196263.52000000002</v>
      </c>
      <c r="F20" s="29"/>
      <c r="G20" s="37"/>
      <c r="H20" s="36" t="s">
        <v>100</v>
      </c>
      <c r="I20" s="31"/>
      <c r="J20" s="26"/>
      <c r="K20" s="26"/>
      <c r="L20" s="32"/>
      <c r="M20" s="11"/>
      <c r="P20" s="1"/>
      <c r="Q20" s="1"/>
      <c r="R20" s="1"/>
    </row>
    <row r="21" spans="1:18" x14ac:dyDescent="0.25">
      <c r="A21">
        <v>14</v>
      </c>
      <c r="B21" s="36"/>
      <c r="C21" s="35"/>
      <c r="D21" s="16"/>
      <c r="E21" s="38"/>
      <c r="F21" s="29"/>
      <c r="G21" s="37"/>
      <c r="H21" s="27"/>
      <c r="I21" s="31"/>
      <c r="J21" s="26"/>
      <c r="K21" s="26"/>
      <c r="L21" s="32"/>
      <c r="M21" s="11"/>
      <c r="P21" s="1"/>
      <c r="Q21" s="1"/>
      <c r="R21" s="1"/>
    </row>
    <row r="22" spans="1:18" x14ac:dyDescent="0.25">
      <c r="A22">
        <v>15</v>
      </c>
      <c r="B22" s="36"/>
      <c r="C22" s="35"/>
      <c r="D22" s="16"/>
      <c r="E22" s="38"/>
      <c r="F22" s="29"/>
      <c r="G22" s="37"/>
      <c r="H22" s="27"/>
      <c r="I22" s="31"/>
      <c r="J22" s="26"/>
      <c r="K22" s="26"/>
      <c r="L22" s="32"/>
      <c r="M22" s="11"/>
      <c r="P22" s="1"/>
      <c r="Q22" s="1"/>
      <c r="R22" s="1"/>
    </row>
    <row r="23" spans="1:18" x14ac:dyDescent="0.25">
      <c r="A23">
        <v>16</v>
      </c>
      <c r="B23" s="36"/>
      <c r="C23" s="35"/>
      <c r="D23" s="16"/>
      <c r="E23" s="38"/>
      <c r="F23" s="29"/>
      <c r="G23" s="37"/>
      <c r="H23" s="27"/>
      <c r="I23" s="31"/>
      <c r="J23" s="26"/>
      <c r="K23" s="26"/>
      <c r="L23" s="32"/>
      <c r="M23" s="11"/>
      <c r="P23" s="1"/>
      <c r="Q23" s="1"/>
      <c r="R23" s="1"/>
    </row>
    <row r="24" spans="1:18" x14ac:dyDescent="0.25">
      <c r="A24" s="26">
        <v>17</v>
      </c>
      <c r="B24" s="27"/>
      <c r="C24" s="28"/>
      <c r="D24" s="16"/>
      <c r="E24" s="25"/>
      <c r="F24" s="29"/>
      <c r="G24" s="30"/>
      <c r="H24" s="27"/>
      <c r="I24" s="31"/>
      <c r="J24" s="26"/>
      <c r="K24" s="26"/>
      <c r="L24" s="32"/>
      <c r="M24" s="11"/>
      <c r="P24" s="1"/>
      <c r="Q24" s="1"/>
      <c r="R24" s="1"/>
    </row>
    <row r="25" spans="1:18" x14ac:dyDescent="0.25">
      <c r="A25">
        <v>18</v>
      </c>
      <c r="B25" s="11"/>
      <c r="C25" s="12"/>
      <c r="D25" s="13"/>
      <c r="E25" s="19"/>
      <c r="F25" s="14"/>
      <c r="G25" s="17"/>
      <c r="H25" s="11"/>
      <c r="I25" s="15"/>
      <c r="L25" s="7"/>
      <c r="M25" s="11"/>
      <c r="P25" s="1"/>
      <c r="Q25" s="1"/>
      <c r="R25" s="1"/>
    </row>
    <row r="26" spans="1:18" ht="15.75" thickBot="1" x14ac:dyDescent="0.3">
      <c r="A26">
        <v>19</v>
      </c>
      <c r="B26" s="11"/>
      <c r="C26" s="12"/>
      <c r="D26" s="16"/>
      <c r="E26" s="20"/>
      <c r="F26" s="11"/>
      <c r="G26" s="18"/>
      <c r="H26" s="15"/>
      <c r="I26" s="15"/>
      <c r="J26" s="15"/>
      <c r="K26" s="15"/>
      <c r="L26" s="1"/>
      <c r="M26" s="1"/>
      <c r="N26" s="1"/>
      <c r="O26" s="1"/>
      <c r="P26" s="1"/>
      <c r="Q26" s="1"/>
      <c r="R26" s="1"/>
    </row>
    <row r="27" spans="1:18" ht="15.75" thickTop="1" x14ac:dyDescent="0.25">
      <c r="A27">
        <v>20</v>
      </c>
      <c r="B27" s="1" t="s">
        <v>89</v>
      </c>
      <c r="C27" s="1"/>
      <c r="D27" s="1"/>
      <c r="E27" s="23">
        <f>SUM(E7:E26)</f>
        <v>7881732.3100000005</v>
      </c>
      <c r="F27" s="24"/>
      <c r="G27" s="2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s="21" customFormat="1" x14ac:dyDescent="0.25">
      <c r="B28" s="1"/>
      <c r="C28" s="1"/>
      <c r="D28" s="1"/>
      <c r="E28" s="7"/>
      <c r="F28" s="1"/>
      <c r="G28" s="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s="21" customFormat="1" x14ac:dyDescent="0.25">
      <c r="B29" s="1"/>
      <c r="C29" s="1"/>
      <c r="D29" s="1"/>
      <c r="E29" s="7"/>
      <c r="F29" s="1"/>
      <c r="G29" s="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1" spans="1:18" x14ac:dyDescent="0.25">
      <c r="A31" s="21">
        <v>28</v>
      </c>
      <c r="B31" s="21" t="s">
        <v>4</v>
      </c>
      <c r="C31" s="21" t="s">
        <v>46</v>
      </c>
      <c r="E31" s="8">
        <f>+E27</f>
        <v>7881732.3100000005</v>
      </c>
      <c r="F31" s="21"/>
      <c r="G31" s="21"/>
      <c r="H31" s="21"/>
    </row>
    <row r="32" spans="1:18" x14ac:dyDescent="0.25">
      <c r="A32" s="21"/>
      <c r="B32" s="21"/>
      <c r="C32" s="21"/>
      <c r="E32" s="21"/>
      <c r="F32" s="21"/>
      <c r="G32" s="21"/>
      <c r="H32" s="21"/>
    </row>
    <row r="33" spans="1:16" x14ac:dyDescent="0.25">
      <c r="A33" s="21">
        <v>29</v>
      </c>
      <c r="B33" s="21" t="s">
        <v>5</v>
      </c>
      <c r="C33" s="21" t="s">
        <v>47</v>
      </c>
      <c r="E33" s="22">
        <f>+E31*0.0258</f>
        <v>203348.69359800001</v>
      </c>
      <c r="F33" s="22"/>
      <c r="G33" s="22">
        <f>+E33</f>
        <v>203348.69359800001</v>
      </c>
      <c r="H33" s="21"/>
    </row>
    <row r="34" spans="1:16" x14ac:dyDescent="0.25">
      <c r="A34" s="21">
        <v>30</v>
      </c>
      <c r="B34" s="21" t="s">
        <v>7</v>
      </c>
      <c r="C34" s="21" t="s">
        <v>48</v>
      </c>
      <c r="E34" s="22">
        <f>+E33/2+E33</f>
        <v>305023.04039700003</v>
      </c>
      <c r="F34" s="22"/>
      <c r="G34" s="22"/>
      <c r="H34" s="21"/>
    </row>
    <row r="35" spans="1:16" x14ac:dyDescent="0.25">
      <c r="A35" s="21">
        <v>31</v>
      </c>
      <c r="B35" s="21" t="s">
        <v>49</v>
      </c>
      <c r="C35" s="21" t="s">
        <v>50</v>
      </c>
      <c r="E35" s="22">
        <f>+H55</f>
        <v>580056.08935445012</v>
      </c>
      <c r="F35" s="22"/>
      <c r="G35" s="22"/>
      <c r="H35" s="21"/>
    </row>
    <row r="36" spans="1:16" x14ac:dyDescent="0.25">
      <c r="A36" s="21">
        <v>32</v>
      </c>
      <c r="B36" s="21" t="s">
        <v>51</v>
      </c>
      <c r="C36" s="21" t="s">
        <v>71</v>
      </c>
      <c r="E36" s="22">
        <f>(+E35-E34)*0.21</f>
        <v>57756.940281064519</v>
      </c>
      <c r="F36" s="22"/>
      <c r="G36" s="22"/>
      <c r="H36" s="21"/>
    </row>
    <row r="37" spans="1:16" x14ac:dyDescent="0.25">
      <c r="A37" s="21">
        <v>33</v>
      </c>
      <c r="B37" s="21" t="s">
        <v>52</v>
      </c>
      <c r="C37" s="21"/>
      <c r="E37" s="22"/>
      <c r="F37" s="22"/>
      <c r="G37" s="22">
        <f>+E39*0.0270045*0.21</f>
        <v>42639.565117206585</v>
      </c>
      <c r="H37" s="21"/>
    </row>
    <row r="38" spans="1:16" x14ac:dyDescent="0.25">
      <c r="A38" s="21">
        <v>34</v>
      </c>
      <c r="B38" s="21" t="s">
        <v>11</v>
      </c>
      <c r="C38" s="21" t="s">
        <v>72</v>
      </c>
      <c r="E38" s="22"/>
      <c r="F38" s="22"/>
      <c r="G38" s="22">
        <f>+G33*0.21</f>
        <v>42703.225655579998</v>
      </c>
      <c r="H38" s="21"/>
    </row>
    <row r="39" spans="1:16" x14ac:dyDescent="0.25">
      <c r="A39" s="21">
        <v>35</v>
      </c>
      <c r="B39" s="21" t="s">
        <v>9</v>
      </c>
      <c r="C39" s="21"/>
      <c r="D39" s="21"/>
      <c r="E39" s="22">
        <f>+E27-E36-E34</f>
        <v>7518952.3293219358</v>
      </c>
      <c r="F39" s="22"/>
      <c r="G39" s="22"/>
      <c r="H39" s="21"/>
    </row>
    <row r="40" spans="1:16" x14ac:dyDescent="0.25">
      <c r="A40" s="21">
        <v>36</v>
      </c>
      <c r="B40" s="21" t="s">
        <v>66</v>
      </c>
      <c r="C40" s="21"/>
      <c r="E40" s="4">
        <v>7.3099999999999998E-2</v>
      </c>
      <c r="F40" s="21"/>
      <c r="G40" s="21"/>
      <c r="H40" s="21"/>
    </row>
    <row r="41" spans="1:16" x14ac:dyDescent="0.25">
      <c r="A41" s="21"/>
      <c r="B41" s="21"/>
      <c r="C41" s="21"/>
      <c r="E41" s="21"/>
      <c r="F41" s="21"/>
      <c r="G41" s="21"/>
      <c r="H41" s="21"/>
    </row>
    <row r="42" spans="1:16" x14ac:dyDescent="0.25">
      <c r="A42" s="21">
        <v>37</v>
      </c>
      <c r="B42" s="21" t="s">
        <v>10</v>
      </c>
      <c r="C42" s="21" t="s">
        <v>53</v>
      </c>
      <c r="E42" s="10">
        <f>+E39*E40</f>
        <v>549635.41527343343</v>
      </c>
      <c r="F42" s="10"/>
      <c r="G42" s="10">
        <f>+G33-G38-G37</f>
        <v>118005.90282521343</v>
      </c>
      <c r="H42" s="21"/>
    </row>
    <row r="43" spans="1:16" x14ac:dyDescent="0.25">
      <c r="A43" s="21">
        <v>38</v>
      </c>
      <c r="B43" s="21" t="s">
        <v>12</v>
      </c>
      <c r="C43" s="21" t="s">
        <v>54</v>
      </c>
      <c r="E43" s="10"/>
      <c r="F43" s="10"/>
      <c r="G43" s="10">
        <f>+G42+E42</f>
        <v>667641.31809864682</v>
      </c>
      <c r="H43" s="21"/>
    </row>
    <row r="44" spans="1:16" x14ac:dyDescent="0.25">
      <c r="A44" s="21">
        <v>39</v>
      </c>
      <c r="B44" s="21" t="s">
        <v>73</v>
      </c>
      <c r="C44" s="21"/>
      <c r="E44" s="21"/>
      <c r="F44" s="21"/>
      <c r="G44" s="21">
        <v>0.75499000000000005</v>
      </c>
      <c r="H44" s="21"/>
    </row>
    <row r="45" spans="1:16" x14ac:dyDescent="0.25">
      <c r="A45" s="21">
        <v>40</v>
      </c>
      <c r="B45" s="21" t="s">
        <v>55</v>
      </c>
      <c r="C45" s="21" t="s">
        <v>56</v>
      </c>
      <c r="E45" s="21"/>
      <c r="F45" s="21"/>
      <c r="G45" s="33">
        <f>+G43/G44</f>
        <v>884304.84920150833</v>
      </c>
      <c r="H45" s="21"/>
    </row>
    <row r="46" spans="1:16" x14ac:dyDescent="0.25">
      <c r="A46" s="21"/>
      <c r="B46" s="21"/>
      <c r="C46" s="21"/>
      <c r="E46" s="21"/>
      <c r="F46" s="21"/>
      <c r="G46" s="10"/>
      <c r="H46" s="21"/>
      <c r="I46" s="10"/>
      <c r="J46" s="10"/>
      <c r="K46" s="10"/>
      <c r="L46" s="10"/>
      <c r="M46" s="10"/>
      <c r="N46" s="10"/>
      <c r="O46" s="10"/>
      <c r="P46" s="10"/>
    </row>
    <row r="47" spans="1:16" x14ac:dyDescent="0.25">
      <c r="A47" s="21"/>
      <c r="B47" s="21"/>
      <c r="C47" s="21"/>
      <c r="E47" s="21"/>
      <c r="F47" s="21"/>
      <c r="G47" s="10"/>
      <c r="H47" s="21"/>
      <c r="I47" s="10"/>
      <c r="J47" s="10"/>
      <c r="K47" s="10"/>
      <c r="L47" s="10"/>
      <c r="M47" s="10"/>
      <c r="N47" s="10"/>
      <c r="O47" s="10"/>
      <c r="P47" s="10"/>
    </row>
    <row r="48" spans="1:16" x14ac:dyDescent="0.25">
      <c r="A48" s="21"/>
      <c r="B48" s="21"/>
      <c r="C48" s="21"/>
      <c r="E48" s="21"/>
      <c r="F48" s="21"/>
      <c r="G48" s="22"/>
      <c r="H48" s="21"/>
      <c r="I48" s="10"/>
      <c r="J48" s="10"/>
      <c r="K48" s="10"/>
      <c r="L48" s="10"/>
      <c r="M48" s="10"/>
      <c r="N48" s="10"/>
      <c r="O48" s="10"/>
      <c r="P48" s="10"/>
    </row>
    <row r="49" spans="1:16" x14ac:dyDescent="0.25">
      <c r="A49" s="21"/>
      <c r="B49" s="21"/>
      <c r="C49" s="21"/>
      <c r="E49" s="21"/>
      <c r="F49" s="21"/>
      <c r="G49" s="22"/>
      <c r="H49" s="21"/>
      <c r="I49" s="10"/>
      <c r="J49" s="10"/>
      <c r="K49" s="10"/>
      <c r="L49" s="10"/>
      <c r="M49" s="10"/>
      <c r="N49" s="10"/>
      <c r="O49" s="10"/>
      <c r="P49" s="10"/>
    </row>
    <row r="50" spans="1:16" x14ac:dyDescent="0.25">
      <c r="A50" s="21"/>
      <c r="B50" s="21"/>
      <c r="C50" s="21"/>
      <c r="E50" s="21"/>
      <c r="F50" s="21"/>
      <c r="G50" s="22"/>
      <c r="H50" s="21"/>
      <c r="I50" s="10"/>
      <c r="J50" s="10"/>
      <c r="K50" s="10"/>
      <c r="L50" s="10"/>
      <c r="M50" s="10"/>
      <c r="N50" s="10"/>
      <c r="O50" s="10"/>
      <c r="P50" s="10"/>
    </row>
    <row r="51" spans="1:16" x14ac:dyDescent="0.25">
      <c r="A51" s="21"/>
      <c r="B51" s="21"/>
      <c r="C51" s="21"/>
      <c r="E51" s="21"/>
      <c r="F51" s="21"/>
      <c r="G51" s="22"/>
      <c r="H51" s="21" t="s">
        <v>57</v>
      </c>
      <c r="I51" s="9"/>
      <c r="J51" s="9"/>
      <c r="K51" s="9"/>
      <c r="L51" s="9"/>
      <c r="M51" s="9"/>
      <c r="N51" s="9"/>
      <c r="O51" s="9"/>
      <c r="P51" s="9"/>
    </row>
    <row r="52" spans="1:16" x14ac:dyDescent="0.25">
      <c r="A52" s="21"/>
      <c r="B52" s="21" t="s">
        <v>58</v>
      </c>
      <c r="C52" s="21" t="s">
        <v>59</v>
      </c>
      <c r="E52" s="34">
        <v>3.7499999999999999E-2</v>
      </c>
      <c r="F52" s="21"/>
      <c r="G52" s="22">
        <f>+E31*E52</f>
        <v>295564.961625</v>
      </c>
      <c r="H52" s="22">
        <f>+G52</f>
        <v>295564.961625</v>
      </c>
      <c r="I52" s="9"/>
      <c r="J52" s="9"/>
      <c r="K52" s="9"/>
      <c r="L52" s="9"/>
      <c r="M52" s="9"/>
      <c r="N52" s="9"/>
      <c r="O52" s="9"/>
      <c r="P52" s="9"/>
    </row>
    <row r="53" spans="1:16" x14ac:dyDescent="0.25">
      <c r="A53" s="21"/>
      <c r="B53" s="21"/>
      <c r="C53" s="21" t="s">
        <v>60</v>
      </c>
      <c r="E53" s="34">
        <v>7.2190000000000004E-2</v>
      </c>
      <c r="F53" s="21"/>
      <c r="G53" s="22">
        <f>+E31*E53</f>
        <v>568982.25545890012</v>
      </c>
      <c r="H53" s="22">
        <f>+G53/2</f>
        <v>284491.12772945006</v>
      </c>
      <c r="I53" s="9"/>
      <c r="J53" s="9"/>
      <c r="K53" s="9"/>
      <c r="L53" s="9"/>
      <c r="M53" s="9"/>
      <c r="N53" s="9"/>
      <c r="O53" s="9"/>
      <c r="P53" s="9"/>
    </row>
    <row r="54" spans="1:16" x14ac:dyDescent="0.25">
      <c r="E54" s="21"/>
      <c r="F54" s="21"/>
      <c r="G54" s="22"/>
      <c r="H54" s="22"/>
      <c r="I54" s="5"/>
      <c r="J54" s="5"/>
      <c r="K54" s="5"/>
      <c r="L54" s="5"/>
      <c r="M54" s="5"/>
      <c r="N54" s="5"/>
      <c r="O54" s="5"/>
      <c r="P54" s="5"/>
    </row>
    <row r="55" spans="1:16" x14ac:dyDescent="0.25">
      <c r="E55" s="21"/>
      <c r="F55" s="21"/>
      <c r="G55" s="22"/>
      <c r="H55" s="22">
        <f>+H52+H53</f>
        <v>580056.08935445012</v>
      </c>
    </row>
    <row r="56" spans="1:16" x14ac:dyDescent="0.25">
      <c r="G56" s="10"/>
    </row>
    <row r="57" spans="1:16" x14ac:dyDescent="0.25">
      <c r="G57" s="4"/>
    </row>
    <row r="60" spans="1:16" x14ac:dyDescent="0.25">
      <c r="G60" s="8"/>
    </row>
  </sheetData>
  <pageMargins left="0.45" right="0.45" top="0.25" bottom="0.25" header="0" footer="0"/>
  <pageSetup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2020-05-29T07:00:00+00:00</OpenedDate>
    <SignificantOrder xmlns="dc463f71-b30c-4ab2-9473-d307f9d35888">false</SignificantOrder>
    <Date1 xmlns="dc463f71-b30c-4ab2-9473-d307f9d35888">2020-10-14T07:00:00+00:00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200493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C47F3CCF27D0E4A8905F932EA7FBA22" ma:contentTypeVersion="52" ma:contentTypeDescription="" ma:contentTypeScope="" ma:versionID="c8a0bd421027a0fbe1719540c23e953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647E69-ACFF-4092-976B-6D086BA61C6D}"/>
</file>

<file path=customXml/itemProps2.xml><?xml version="1.0" encoding="utf-8"?>
<ds:datastoreItem xmlns:ds="http://schemas.openxmlformats.org/officeDocument/2006/customXml" ds:itemID="{C81EA232-7291-431E-A09B-F820AA244946}"/>
</file>

<file path=customXml/itemProps3.xml><?xml version="1.0" encoding="utf-8"?>
<ds:datastoreItem xmlns:ds="http://schemas.openxmlformats.org/officeDocument/2006/customXml" ds:itemID="{1100A3BE-949C-48E5-8D61-1ADD805F6C34}"/>
</file>

<file path=customXml/itemProps4.xml><?xml version="1.0" encoding="utf-8"?>
<ds:datastoreItem xmlns:ds="http://schemas.openxmlformats.org/officeDocument/2006/customXml" ds:itemID="{6235294C-B8A7-4B2E-8397-85912EC975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Rate Calculation</vt:lpstr>
      <vt:lpstr>2019 Rate Calculation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michael.parvinen</dc:creator>
  <cp:lastModifiedBy>Peters, Maryalice</cp:lastModifiedBy>
  <cp:lastPrinted>2020-09-28T14:16:32Z</cp:lastPrinted>
  <dcterms:created xsi:type="dcterms:W3CDTF">2013-05-14T16:54:39Z</dcterms:created>
  <dcterms:modified xsi:type="dcterms:W3CDTF">2020-10-13T01:18:54Z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83eab4a4-3acb-48f5-9b3e-c88043d55d8a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0x0101006E56B4D1795A2E4DB2F0B01679ED314A001C47F3CCF27D0E4A8905F932EA7FBA22</vt:lpwstr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