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2" windowWidth="18360" windowHeight="10728" tabRatio="842"/>
  </bookViews>
  <sheets>
    <sheet name="Lead E" sheetId="1" r:id="rId1"/>
    <sheet name="Rev Req Summary" sheetId="12" r:id="rId2"/>
    <sheet name="Sch 140 Prop Taxes" sheetId="5" r:id="rId3"/>
    <sheet name="Expense Orders" sheetId="10" r:id="rId4"/>
    <sheet name="Conv Factor" sheetId="8" r:id="rId5"/>
  </sheets>
  <externalReferences>
    <externalReference r:id="rId6"/>
  </externalReferences>
  <calcPr calcId="145621" calcMode="manual" iterate="1" calcCompleted="0" calcOnSave="0"/>
</workbook>
</file>

<file path=xl/calcChain.xml><?xml version="1.0" encoding="utf-8"?>
<calcChain xmlns="http://schemas.openxmlformats.org/spreadsheetml/2006/main">
  <c r="E16" i="8" l="1"/>
  <c r="E15" i="8"/>
  <c r="E14" i="8"/>
  <c r="G41" i="10" l="1"/>
  <c r="G38" i="10"/>
  <c r="K33" i="10" l="1"/>
  <c r="K32" i="10"/>
  <c r="I34" i="10"/>
  <c r="I28" i="10" s="1"/>
  <c r="I29" i="10" s="1"/>
  <c r="I33" i="10"/>
  <c r="I32" i="10"/>
  <c r="I31" i="10"/>
  <c r="I27" i="10"/>
  <c r="J26" i="10" l="1"/>
  <c r="J21" i="10"/>
  <c r="J20" i="10"/>
  <c r="O17" i="10"/>
  <c r="O16" i="10"/>
  <c r="O15" i="10"/>
  <c r="O14" i="10"/>
  <c r="O13" i="10"/>
  <c r="O12" i="10"/>
  <c r="O11" i="10"/>
  <c r="O10" i="10"/>
  <c r="O9" i="10"/>
  <c r="I22" i="10" s="1"/>
  <c r="K22" i="10" s="1"/>
  <c r="M22" i="10" s="1"/>
  <c r="O8" i="10"/>
  <c r="O7" i="10"/>
  <c r="I26" i="10" l="1"/>
  <c r="K26" i="10" s="1"/>
  <c r="M26" i="10" s="1"/>
  <c r="I21" i="10"/>
  <c r="K21" i="10" s="1"/>
  <c r="I25" i="10"/>
  <c r="I23" i="10"/>
  <c r="I20" i="10"/>
  <c r="K20" i="10" s="1"/>
  <c r="M20" i="10" s="1"/>
  <c r="I24" i="10"/>
  <c r="M21" i="10" l="1"/>
  <c r="E16" i="1"/>
  <c r="E21" i="1"/>
  <c r="E19" i="1"/>
  <c r="E17" i="1"/>
  <c r="E15" i="1"/>
  <c r="E14" i="1"/>
  <c r="E13" i="1" s="1"/>
  <c r="E12" i="1"/>
  <c r="E11" i="1"/>
  <c r="C37" i="12"/>
  <c r="C34" i="12"/>
  <c r="C33" i="12"/>
  <c r="E31" i="12"/>
  <c r="E35" i="12" s="1"/>
  <c r="F31" i="12"/>
  <c r="F35" i="12" s="1"/>
  <c r="C29" i="12"/>
  <c r="C23" i="12"/>
  <c r="C22" i="12"/>
  <c r="C21" i="12"/>
  <c r="C20" i="12"/>
  <c r="E24" i="12"/>
  <c r="C19" i="12"/>
  <c r="C18" i="12"/>
  <c r="C17" i="12"/>
  <c r="C16" i="12"/>
  <c r="C15" i="12"/>
  <c r="C14" i="12"/>
  <c r="C13" i="12"/>
  <c r="F24" i="12"/>
  <c r="F26" i="12" s="1"/>
  <c r="F39" i="12" s="1"/>
  <c r="C12" i="12"/>
  <c r="C11" i="12"/>
  <c r="A9" i="12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C8" i="12"/>
  <c r="E26" i="12" l="1"/>
  <c r="E39" i="12" s="1"/>
  <c r="C24" i="12"/>
  <c r="C26" i="12" s="1"/>
  <c r="D31" i="12"/>
  <c r="C30" i="12"/>
  <c r="D26" i="12"/>
  <c r="D24" i="12"/>
  <c r="D35" i="12" l="1"/>
  <c r="C35" i="12" s="1"/>
  <c r="C31" i="12"/>
  <c r="D39" i="12" l="1"/>
  <c r="C39" i="12" s="1"/>
  <c r="C42" i="12" s="1"/>
  <c r="A37" i="1" l="1"/>
  <c r="A38" i="1"/>
  <c r="A39" i="1" s="1"/>
  <c r="A40" i="1" s="1"/>
  <c r="A41" i="1" s="1"/>
  <c r="A42" i="1" s="1"/>
  <c r="A43" i="1" s="1"/>
  <c r="A44" i="1" s="1"/>
  <c r="A45" i="1" s="1"/>
  <c r="E38" i="10" l="1"/>
  <c r="G39" i="10" s="1"/>
  <c r="J24" i="10" s="1"/>
  <c r="K24" i="10" s="1"/>
  <c r="M24" i="10" s="1"/>
  <c r="B38" i="10"/>
  <c r="E37" i="10"/>
  <c r="B37" i="10"/>
  <c r="E36" i="10"/>
  <c r="D36" i="10"/>
  <c r="C36" i="10"/>
  <c r="B36" i="10"/>
  <c r="C39" i="10" l="1"/>
  <c r="E39" i="1" s="1"/>
  <c r="G36" i="10"/>
  <c r="D39" i="10"/>
  <c r="E38" i="1" s="1"/>
  <c r="G37" i="10"/>
  <c r="J25" i="10" s="1"/>
  <c r="K25" i="10" s="1"/>
  <c r="E39" i="10"/>
  <c r="E37" i="1" s="1"/>
  <c r="J23" i="10"/>
  <c r="B39" i="10"/>
  <c r="E40" i="1"/>
  <c r="E36" i="1"/>
  <c r="E35" i="1"/>
  <c r="E34" i="1"/>
  <c r="E33" i="1"/>
  <c r="E31" i="1"/>
  <c r="K23" i="10" l="1"/>
  <c r="G40" i="10"/>
  <c r="J31" i="10" s="1"/>
  <c r="J27" i="10"/>
  <c r="K27" i="10" s="1"/>
  <c r="E20" i="1"/>
  <c r="E18" i="1"/>
  <c r="K31" i="10" l="1"/>
  <c r="K34" i="10" s="1"/>
  <c r="K28" i="10" s="1"/>
  <c r="K29" i="10" s="1"/>
  <c r="J34" i="10"/>
  <c r="M23" i="10"/>
  <c r="J28" i="10"/>
  <c r="N10" i="5"/>
  <c r="M10" i="5"/>
  <c r="L10" i="5"/>
  <c r="K10" i="5"/>
  <c r="J10" i="5"/>
  <c r="I10" i="5"/>
  <c r="H10" i="5"/>
  <c r="G10" i="5"/>
  <c r="F10" i="5"/>
  <c r="E10" i="5"/>
  <c r="D10" i="5"/>
  <c r="C10" i="5"/>
  <c r="B9" i="5"/>
  <c r="B8" i="5"/>
  <c r="B7" i="5"/>
  <c r="B6" i="5"/>
  <c r="J29" i="10" l="1"/>
  <c r="B10" i="5"/>
  <c r="E32" i="1" s="1"/>
  <c r="C26" i="1"/>
  <c r="B16" i="8" l="1"/>
  <c r="E26" i="1" l="1"/>
  <c r="M25" i="10" l="1"/>
  <c r="E41" i="1"/>
  <c r="A11" i="1"/>
  <c r="A12" i="1" s="1"/>
  <c r="A13" i="1" s="1"/>
  <c r="A14" i="1" s="1"/>
  <c r="A15" i="1" s="1"/>
  <c r="A16" i="1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E22" i="1"/>
  <c r="C27" i="1" l="1"/>
  <c r="E27" i="1" s="1"/>
  <c r="L27" i="10" s="1"/>
  <c r="C25" i="1"/>
  <c r="E25" i="1" s="1"/>
  <c r="E18" i="8"/>
  <c r="E20" i="8" s="1"/>
  <c r="E21" i="8" s="1"/>
  <c r="E22" i="8" s="1"/>
  <c r="M27" i="10" l="1"/>
  <c r="L28" i="10"/>
  <c r="E28" i="1"/>
  <c r="E43" i="1" s="1"/>
  <c r="E44" i="1" l="1"/>
  <c r="E45" i="1" s="1"/>
  <c r="M28" i="10"/>
</calcChain>
</file>

<file path=xl/sharedStrings.xml><?xml version="1.0" encoding="utf-8"?>
<sst xmlns="http://schemas.openxmlformats.org/spreadsheetml/2006/main" count="167" uniqueCount="134">
  <si>
    <t>PUGET SOUND ENERGY</t>
  </si>
  <si>
    <t>PASS THROUGH REVENUE AND EXPENSE - ELECTRIC</t>
  </si>
  <si>
    <t>LINE</t>
  </si>
  <si>
    <t>NO.</t>
  </si>
  <si>
    <t>DESCRIPTION</t>
  </si>
  <si>
    <t>ADJUSTMENT</t>
  </si>
  <si>
    <t>REMOVE REVENUES ASSOCIATED WITH RIDERS:</t>
  </si>
  <si>
    <t>REMOVE CONSERVATION RIDER - SCHEDULE 120</t>
  </si>
  <si>
    <t>REMOVE PROPERTY TAX TRACKER - SCHEDULE 140</t>
  </si>
  <si>
    <t>REMOVE MUNICIPAL TAXES - SCHEDULE 81</t>
  </si>
  <si>
    <t>REMOVE LOW INCOME RIDER - SCHEDULE 129</t>
  </si>
  <si>
    <t>REMOVE RESIDENTIAL EXCHANGE - SCH 194</t>
  </si>
  <si>
    <t>REMOVE REC PROCEEDS - SCH 137</t>
  </si>
  <si>
    <t>REMOVE EXPENSES ASSOCIATED WITH SCH 137 REC PROCEEDS</t>
  </si>
  <si>
    <t>GREEN POWER - SCH 135/136</t>
  </si>
  <si>
    <t>GREEN POWER - SCH 135/136 ELIMINATE OVER EXPENSED</t>
  </si>
  <si>
    <t>REMOVE JPUD GAIN ON SALE SCH 133</t>
  </si>
  <si>
    <t>TOTAL (INCREASE) DECREASE REVENUES</t>
  </si>
  <si>
    <t>DECREASE REVENUE SENSITIVE ITEMS FOR DECREASE IN REVENUES:</t>
  </si>
  <si>
    <t>BAD DEBTS</t>
  </si>
  <si>
    <t>ANNUAL FILING FEE</t>
  </si>
  <si>
    <t>STATE UTILITY TAX</t>
  </si>
  <si>
    <t xml:space="preserve">TOTAL </t>
  </si>
  <si>
    <t>REMOVE EXPENSES ASSOCIATED WITH RIDERS</t>
  </si>
  <si>
    <t>REMOVE CONSERVATION AMORTIZATON - SCHEDULE 120</t>
  </si>
  <si>
    <t>REMOVE PROPERTY TAX AMORTIZATION EXP - SCHEDULE 140</t>
  </si>
  <si>
    <t>REMOVE LOW INCOME AMORTIZATION - SCHEDULE 129</t>
  </si>
  <si>
    <t>REMOVE AMORT ON INTEREST ON REC PROCEEDS SCH 137</t>
  </si>
  <si>
    <t>GREEN POWER - SCH 135/136 CHARGED TO 908/909</t>
  </si>
  <si>
    <t>GREEN POWER - SCH 135/136 BENEFITS PORTION OF ADMIN</t>
  </si>
  <si>
    <t>GREEN POWER - SCH 135/136 TAXES PORTION OF ADMIN</t>
  </si>
  <si>
    <t>REMOVE JPUD AMORT EXPENSE SCH 133</t>
  </si>
  <si>
    <t>TOTAL INCREASE (DECREASE) EXPENSE</t>
  </si>
  <si>
    <t>INCREASE (DECREASE) OPERATING INCOME BEFORE FIT</t>
  </si>
  <si>
    <t>INCREASE (DECREASE) FIT</t>
  </si>
  <si>
    <t>INCREASE (DECREASE) NOI</t>
  </si>
  <si>
    <t>Orders</t>
  </si>
  <si>
    <t>12 Months</t>
  </si>
  <si>
    <t xml:space="preserve">  ZO12                      Orders: Actual 12 Month Ended</t>
  </si>
  <si>
    <t>Revenue Requirements</t>
  </si>
  <si>
    <t>Total</t>
  </si>
  <si>
    <t>RATE</t>
  </si>
  <si>
    <t>SUM OF TAXES OTHER</t>
  </si>
  <si>
    <t>CONVERSION FACTOR EXCLUDING FEDERAL INCOME TAX ( 1 - LINE 5)</t>
  </si>
  <si>
    <t>FEDERAL INCOME TAX ( LINE 7 * 35%)</t>
  </si>
  <si>
    <t xml:space="preserve">CONVERSION FACTOR INCL FEDERAL INCOME TAX ( LINE 5 + LINE 8 ) </t>
  </si>
  <si>
    <t>PSE</t>
  </si>
  <si>
    <t>Proforma Revenue Summary</t>
  </si>
  <si>
    <t>Line No.</t>
  </si>
  <si>
    <t>Description</t>
  </si>
  <si>
    <t>Retail Customers</t>
  </si>
  <si>
    <t>Firm Resale</t>
  </si>
  <si>
    <t>Transportation</t>
  </si>
  <si>
    <t>Sales of Electricity</t>
  </si>
  <si>
    <t>Delivered Revenue Rider Adjustments:</t>
  </si>
  <si>
    <t>Proforma</t>
  </si>
  <si>
    <t>Subtotal Riders</t>
  </si>
  <si>
    <t>Sales of Electricity Less Riders</t>
  </si>
  <si>
    <t>Adjust Change In Unbilled Revenue:</t>
  </si>
  <si>
    <t>As Billed</t>
  </si>
  <si>
    <t>Adjustment for Change In Unbilled Revenue:</t>
  </si>
  <si>
    <t>Temperature Adjustment</t>
  </si>
  <si>
    <t>Schedule 40 Adjustment</t>
  </si>
  <si>
    <t>Other Adjustments for Billing, etc.</t>
  </si>
  <si>
    <t>Proforma Sales of Electricity</t>
  </si>
  <si>
    <t>Check</t>
  </si>
  <si>
    <t>Difference</t>
  </si>
  <si>
    <t>REMOVE MUNICIPAL TAXES - SCHEDULE 81 - SALES FOR RESALE</t>
  </si>
  <si>
    <t>Schedule 95A (SOE)</t>
  </si>
  <si>
    <t>Schedule 120 (SOE)</t>
  </si>
  <si>
    <t>Schedule 129 (SOE)</t>
  </si>
  <si>
    <t>Schedule 132 (SOE)</t>
  </si>
  <si>
    <t>Schedule 133 (SOE)</t>
  </si>
  <si>
    <t>Schedule 135 &amp; 136 (BW)</t>
  </si>
  <si>
    <t>Schedule 137 (SOE)</t>
  </si>
  <si>
    <t>Schedule 194 (SOE)</t>
  </si>
  <si>
    <t>Schedule 81 (SOE)</t>
  </si>
  <si>
    <t>GENERAL RATE CASE</t>
  </si>
  <si>
    <t>Page 3.04</t>
  </si>
  <si>
    <t xml:space="preserve"> FOR THE TWELVE MONTHS ENDED SEPTEMBER 30, 2016</t>
  </si>
  <si>
    <t xml:space="preserve">  Date:                     10/17/2016</t>
  </si>
  <si>
    <t>40810006  Property Taxes-Washington-Electric</t>
  </si>
  <si>
    <t>40810009  Prop Tax Sch140 Tracker Amort Defer-Elec</t>
  </si>
  <si>
    <t>40810012  Property Taxes - Oregon</t>
  </si>
  <si>
    <t>40810013  Property Taxes - Montana</t>
  </si>
  <si>
    <t>Total Electric</t>
  </si>
  <si>
    <t xml:space="preserve">  Date:                     10/18/2016</t>
  </si>
  <si>
    <t>90800100  4400 - Cust Asst Exp -Conserv Amor Elect</t>
  </si>
  <si>
    <t>40810003  Municipal Taxes</t>
  </si>
  <si>
    <t>90800113  4465 - Low Income Program  - Electric</t>
  </si>
  <si>
    <t>55500008  Residential Exchange - Purch Power</t>
  </si>
  <si>
    <t>45600073  3545 - Green Energy Option</t>
  </si>
  <si>
    <t>45600089  1143 - REC Revenue per Tariff Schedule-E</t>
  </si>
  <si>
    <t>40740111  Amort Interest on REC Proceeds UE-111048</t>
  </si>
  <si>
    <t>45600079  Biogas Principal Amortization UE-131276</t>
  </si>
  <si>
    <t>40740079  Biogas Interest Amortization UE-131276</t>
  </si>
  <si>
    <t>40740201  1143 -Sch133 JPUD Gain on Sale Credit- E</t>
  </si>
  <si>
    <t>55700200  4420 -Green Power Tags Programs</t>
  </si>
  <si>
    <t>Debit</t>
  </si>
  <si>
    <t>Twelve Months ended September 2016</t>
  </si>
  <si>
    <t>(a)</t>
  </si>
  <si>
    <t>(b)</t>
  </si>
  <si>
    <t>(c)</t>
  </si>
  <si>
    <t>(d)</t>
  </si>
  <si>
    <t>(e)</t>
  </si>
  <si>
    <t>Subtotal Pricing Adjustments</t>
  </si>
  <si>
    <t>CONVERSION FACTOR-ELECTRIC</t>
  </si>
  <si>
    <t xml:space="preserve">SAP Download </t>
  </si>
  <si>
    <t>ZRW_Z851</t>
  </si>
  <si>
    <t>October to December 2015</t>
  </si>
  <si>
    <t>Order Group.</t>
  </si>
  <si>
    <t>PSE_ALL_3</t>
  </si>
  <si>
    <t>ASMT_TAXES</t>
  </si>
  <si>
    <t>ASMT_BENEF</t>
  </si>
  <si>
    <t>Net</t>
  </si>
  <si>
    <t>Group</t>
  </si>
  <si>
    <t>90800153  3545-Customer Assist Exp-Green Power-Ele</t>
  </si>
  <si>
    <t>90800160  3545-Customer Assist. Exp. Grants</t>
  </si>
  <si>
    <t>90900006  3545-Elec-Cust Promo Costs - Green Power</t>
  </si>
  <si>
    <t>January 2016 to September 2016</t>
  </si>
  <si>
    <t>October 2015 to September 2016</t>
  </si>
  <si>
    <t>Totals</t>
  </si>
  <si>
    <t>Schedule 95 (Estimated Adjustment)</t>
  </si>
  <si>
    <t>Schedule 140 (Estimated Adjustment)</t>
  </si>
  <si>
    <t>Schedule 141 (Estimated Adjustment)</t>
  </si>
  <si>
    <t>Schedule 142 (Estimated Adjustment)</t>
  </si>
  <si>
    <t>PAGE 6.03</t>
  </si>
  <si>
    <t>9080CONS</t>
  </si>
  <si>
    <t>For Cost of Service</t>
  </si>
  <si>
    <t>Above</t>
  </si>
  <si>
    <t>Less 557</t>
  </si>
  <si>
    <t>Prop Tax</t>
  </si>
  <si>
    <t>To reconcile</t>
  </si>
  <si>
    <t>From JAP Exhibit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</si>
</sst>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_);_(* \(#,##0.000\);_(* &quot;-&quot;_);_(@_)"/>
    <numFmt numFmtId="167" formatCode="#,##0;\(#,##0\)"/>
    <numFmt numFmtId="168" formatCode="0.00000%"/>
    <numFmt numFmtId="169" formatCode="_(* #,##0.0000_);_(* \(#,##0.0000\);_(* &quot;-&quot;_);_(@_)"/>
    <numFmt numFmtId="170" formatCode="_(&quot;$&quot;* #,##0.0000_);_(&quot;$&quot;* \(#,##0.0000\);_(&quot;$&quot;* &quot;-&quot;????_);_(@_)"/>
    <numFmt numFmtId="171" formatCode="0.000%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8"/>
      <color theme="0"/>
      <name val="Helv"/>
    </font>
    <font>
      <sz val="8"/>
      <color rgb="FFFF0000"/>
      <name val="Calibri"/>
      <family val="2"/>
      <scheme val="minor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9" fillId="0" borderId="0">
      <alignment horizontal="left" wrapText="1"/>
    </xf>
    <xf numFmtId="0" fontId="22" fillId="0" borderId="0"/>
    <xf numFmtId="0" fontId="19" fillId="0" borderId="0"/>
    <xf numFmtId="0" fontId="23" fillId="33" borderId="0"/>
    <xf numFmtId="0" fontId="29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30" fillId="39" borderId="0" applyNumberFormat="0" applyBorder="0" applyAlignment="0" applyProtection="0"/>
    <xf numFmtId="0" fontId="30" fillId="47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29" fillId="37" borderId="0" applyNumberFormat="0" applyBorder="0" applyAlignment="0" applyProtection="0"/>
    <xf numFmtId="0" fontId="29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52" borderId="0" applyNumberFormat="0" applyBorder="0" applyAlignment="0" applyProtection="0"/>
    <xf numFmtId="0" fontId="29" fillId="53" borderId="0" applyNumberFormat="0" applyBorder="0" applyAlignment="0" applyProtection="0"/>
    <xf numFmtId="0" fontId="31" fillId="51" borderId="0" applyNumberFormat="0" applyBorder="0" applyAlignment="0" applyProtection="0"/>
    <xf numFmtId="0" fontId="32" fillId="54" borderId="15" applyNumberFormat="0" applyAlignment="0" applyProtection="0"/>
    <xf numFmtId="0" fontId="33" fillId="46" borderId="16" applyNumberFormat="0" applyAlignment="0" applyProtection="0"/>
    <xf numFmtId="0" fontId="34" fillId="55" borderId="0" applyNumberFormat="0" applyBorder="0" applyAlignment="0" applyProtection="0"/>
    <xf numFmtId="0" fontId="34" fillId="56" borderId="0" applyNumberFormat="0" applyBorder="0" applyAlignment="0" applyProtection="0"/>
    <xf numFmtId="0" fontId="34" fillId="57" borderId="0" applyNumberFormat="0" applyBorder="0" applyAlignment="0" applyProtection="0"/>
    <xf numFmtId="0" fontId="30" fillId="44" borderId="0" applyNumberFormat="0" applyBorder="0" applyAlignment="0" applyProtection="0"/>
    <xf numFmtId="0" fontId="35" fillId="0" borderId="17" applyNumberFormat="0" applyFill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38" fillId="52" borderId="15" applyNumberFormat="0" applyAlignment="0" applyProtection="0"/>
    <xf numFmtId="0" fontId="39" fillId="0" borderId="20" applyNumberFormat="0" applyFill="0" applyAlignment="0" applyProtection="0"/>
    <xf numFmtId="0" fontId="39" fillId="52" borderId="0" applyNumberFormat="0" applyBorder="0" applyAlignment="0" applyProtection="0"/>
    <xf numFmtId="0" fontId="23" fillId="51" borderId="15" applyNumberFormat="0" applyFont="0" applyAlignment="0" applyProtection="0"/>
    <xf numFmtId="0" fontId="40" fillId="54" borderId="21" applyNumberFormat="0" applyAlignment="0" applyProtection="0"/>
    <xf numFmtId="4" fontId="23" fillId="58" borderId="15" applyNumberFormat="0" applyProtection="0">
      <alignment vertical="center"/>
    </xf>
    <xf numFmtId="4" fontId="43" fillId="59" borderId="15" applyNumberFormat="0" applyProtection="0">
      <alignment vertical="center"/>
    </xf>
    <xf numFmtId="4" fontId="23" fillId="59" borderId="15" applyNumberFormat="0" applyProtection="0">
      <alignment horizontal="left" vertical="center" indent="1"/>
    </xf>
    <xf numFmtId="0" fontId="26" fillId="58" borderId="22" applyNumberFormat="0" applyProtection="0">
      <alignment horizontal="left" vertical="top" indent="1"/>
    </xf>
    <xf numFmtId="4" fontId="23" fillId="60" borderId="15" applyNumberFormat="0" applyProtection="0">
      <alignment horizontal="left" vertical="center" indent="1"/>
    </xf>
    <xf numFmtId="4" fontId="23" fillId="61" borderId="15" applyNumberFormat="0" applyProtection="0">
      <alignment horizontal="right" vertical="center"/>
    </xf>
    <xf numFmtId="4" fontId="23" fillId="62" borderId="15" applyNumberFormat="0" applyProtection="0">
      <alignment horizontal="right" vertical="center"/>
    </xf>
    <xf numFmtId="4" fontId="23" fillId="63" borderId="23" applyNumberFormat="0" applyProtection="0">
      <alignment horizontal="right" vertical="center"/>
    </xf>
    <xf numFmtId="4" fontId="23" fillId="64" borderId="15" applyNumberFormat="0" applyProtection="0">
      <alignment horizontal="right" vertical="center"/>
    </xf>
    <xf numFmtId="4" fontId="23" fillId="65" borderId="15" applyNumberFormat="0" applyProtection="0">
      <alignment horizontal="right" vertical="center"/>
    </xf>
    <xf numFmtId="4" fontId="23" fillId="66" borderId="15" applyNumberFormat="0" applyProtection="0">
      <alignment horizontal="right" vertical="center"/>
    </xf>
    <xf numFmtId="4" fontId="23" fillId="67" borderId="15" applyNumberFormat="0" applyProtection="0">
      <alignment horizontal="right" vertical="center"/>
    </xf>
    <xf numFmtId="4" fontId="23" fillId="68" borderId="15" applyNumberFormat="0" applyProtection="0">
      <alignment horizontal="right" vertical="center"/>
    </xf>
    <xf numFmtId="4" fontId="23" fillId="69" borderId="15" applyNumberFormat="0" applyProtection="0">
      <alignment horizontal="right" vertical="center"/>
    </xf>
    <xf numFmtId="4" fontId="23" fillId="70" borderId="23" applyNumberFormat="0" applyProtection="0">
      <alignment horizontal="left" vertical="center" indent="1"/>
    </xf>
    <xf numFmtId="4" fontId="19" fillId="71" borderId="23" applyNumberFormat="0" applyProtection="0">
      <alignment horizontal="left" vertical="center" indent="1"/>
    </xf>
    <xf numFmtId="4" fontId="19" fillId="71" borderId="23" applyNumberFormat="0" applyProtection="0">
      <alignment horizontal="left" vertical="center" indent="1"/>
    </xf>
    <xf numFmtId="4" fontId="23" fillId="72" borderId="15" applyNumberFormat="0" applyProtection="0">
      <alignment horizontal="right" vertical="center"/>
    </xf>
    <xf numFmtId="4" fontId="23" fillId="73" borderId="23" applyNumberFormat="0" applyProtection="0">
      <alignment horizontal="left" vertical="center" indent="1"/>
    </xf>
    <xf numFmtId="4" fontId="23" fillId="72" borderId="23" applyNumberFormat="0" applyProtection="0">
      <alignment horizontal="left" vertical="center" indent="1"/>
    </xf>
    <xf numFmtId="0" fontId="23" fillId="74" borderId="15" applyNumberFormat="0" applyProtection="0">
      <alignment horizontal="left" vertical="center" indent="1"/>
    </xf>
    <xf numFmtId="0" fontId="23" fillId="71" borderId="22" applyNumberFormat="0" applyProtection="0">
      <alignment horizontal="left" vertical="top" indent="1"/>
    </xf>
    <xf numFmtId="0" fontId="23" fillId="75" borderId="15" applyNumberFormat="0" applyProtection="0">
      <alignment horizontal="left" vertical="center" indent="1"/>
    </xf>
    <xf numFmtId="0" fontId="23" fillId="72" borderId="22" applyNumberFormat="0" applyProtection="0">
      <alignment horizontal="left" vertical="top" indent="1"/>
    </xf>
    <xf numFmtId="0" fontId="23" fillId="76" borderId="15" applyNumberFormat="0" applyProtection="0">
      <alignment horizontal="left" vertical="center" indent="1"/>
    </xf>
    <xf numFmtId="0" fontId="23" fillId="76" borderId="22" applyNumberFormat="0" applyProtection="0">
      <alignment horizontal="left" vertical="top" indent="1"/>
    </xf>
    <xf numFmtId="0" fontId="23" fillId="73" borderId="15" applyNumberFormat="0" applyProtection="0">
      <alignment horizontal="left" vertical="center" indent="1"/>
    </xf>
    <xf numFmtId="0" fontId="23" fillId="73" borderId="22" applyNumberFormat="0" applyProtection="0">
      <alignment horizontal="left" vertical="top" indent="1"/>
    </xf>
    <xf numFmtId="0" fontId="23" fillId="77" borderId="24" applyNumberFormat="0">
      <protection locked="0"/>
    </xf>
    <xf numFmtId="0" fontId="24" fillId="71" borderId="25" applyBorder="0"/>
    <xf numFmtId="4" fontId="25" fillId="78" borderId="22" applyNumberFormat="0" applyProtection="0">
      <alignment vertical="center"/>
    </xf>
    <xf numFmtId="4" fontId="43" fillId="79" borderId="14" applyNumberFormat="0" applyProtection="0">
      <alignment vertical="center"/>
    </xf>
    <xf numFmtId="4" fontId="25" fillId="74" borderId="22" applyNumberFormat="0" applyProtection="0">
      <alignment horizontal="left" vertical="center" indent="1"/>
    </xf>
    <xf numFmtId="0" fontId="25" fillId="78" borderId="22" applyNumberFormat="0" applyProtection="0">
      <alignment horizontal="left" vertical="top" indent="1"/>
    </xf>
    <xf numFmtId="4" fontId="23" fillId="0" borderId="15" applyNumberFormat="0" applyProtection="0">
      <alignment horizontal="right" vertical="center"/>
    </xf>
    <xf numFmtId="4" fontId="43" fillId="80" borderId="15" applyNumberFormat="0" applyProtection="0">
      <alignment horizontal="right" vertical="center"/>
    </xf>
    <xf numFmtId="4" fontId="23" fillId="60" borderId="15" applyNumberFormat="0" applyProtection="0">
      <alignment horizontal="left" vertical="center" indent="1"/>
    </xf>
    <xf numFmtId="0" fontId="25" fillId="72" borderId="22" applyNumberFormat="0" applyProtection="0">
      <alignment horizontal="left" vertical="top" indent="1"/>
    </xf>
    <xf numFmtId="4" fontId="27" fillId="81" borderId="23" applyNumberFormat="0" applyProtection="0">
      <alignment horizontal="left" vertical="center" indent="1"/>
    </xf>
    <xf numFmtId="0" fontId="23" fillId="82" borderId="14"/>
    <xf numFmtId="4" fontId="28" fillId="77" borderId="15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42" fillId="0" borderId="0" applyNumberFormat="0" applyFill="0" applyBorder="0" applyAlignment="0" applyProtection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42" borderId="0" applyNumberFormat="0" applyBorder="0" applyAlignment="0" applyProtection="0"/>
    <xf numFmtId="0" fontId="29" fillId="46" borderId="0" applyNumberFormat="0" applyBorder="0" applyAlignment="0" applyProtection="0"/>
    <xf numFmtId="0" fontId="29" fillId="37" borderId="0" applyNumberFormat="0" applyBorder="0" applyAlignment="0" applyProtection="0"/>
    <xf numFmtId="0" fontId="29" fillId="50" borderId="0" applyNumberFormat="0" applyBorder="0" applyAlignment="0" applyProtection="0"/>
    <xf numFmtId="170" fontId="19" fillId="0" borderId="0">
      <alignment horizontal="left" wrapText="1"/>
    </xf>
    <xf numFmtId="0" fontId="19" fillId="0" borderId="0"/>
    <xf numFmtId="0" fontId="44" fillId="0" borderId="0"/>
    <xf numFmtId="0" fontId="29" fillId="34" borderId="0" applyNumberFormat="0" applyBorder="0" applyAlignment="0" applyProtection="0"/>
    <xf numFmtId="0" fontId="29" fillId="42" borderId="0" applyNumberFormat="0" applyBorder="0" applyAlignment="0" applyProtection="0"/>
    <xf numFmtId="0" fontId="29" fillId="38" borderId="0" applyNumberFormat="0" applyBorder="0" applyAlignment="0" applyProtection="0"/>
    <xf numFmtId="0" fontId="29" fillId="46" borderId="0" applyNumberFormat="0" applyBorder="0" applyAlignment="0" applyProtection="0"/>
    <xf numFmtId="0" fontId="29" fillId="37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37" borderId="0" applyNumberFormat="0" applyBorder="0" applyAlignment="0" applyProtection="0"/>
    <xf numFmtId="0" fontId="29" fillId="46" borderId="0" applyNumberFormat="0" applyBorder="0" applyAlignment="0" applyProtection="0"/>
    <xf numFmtId="0" fontId="29" fillId="42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19" fillId="0" borderId="0"/>
    <xf numFmtId="0" fontId="45" fillId="0" borderId="0"/>
    <xf numFmtId="44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45" fillId="0" borderId="0"/>
  </cellStyleXfs>
  <cellXfs count="13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right"/>
    </xf>
    <xf numFmtId="0" fontId="18" fillId="0" borderId="0" xfId="0" quotePrefix="1" applyFont="1" applyFill="1" applyBorder="1" applyAlignment="1">
      <alignment horizontal="right"/>
    </xf>
    <xf numFmtId="164" fontId="18" fillId="0" borderId="10" xfId="45" quotePrefix="1" applyFont="1" applyFill="1" applyBorder="1" applyAlignment="1">
      <alignment horizontal="right"/>
    </xf>
    <xf numFmtId="164" fontId="18" fillId="0" borderId="0" xfId="45" applyFont="1" applyFill="1" applyAlignment="1" applyProtection="1">
      <alignment horizontal="centerContinuous"/>
      <protection locked="0"/>
    </xf>
    <xf numFmtId="164" fontId="18" fillId="0" borderId="0" xfId="45" applyFont="1" applyFill="1" applyAlignment="1">
      <alignment horizontal="centerContinuous"/>
    </xf>
    <xf numFmtId="164" fontId="18" fillId="0" borderId="0" xfId="45" applyFont="1" applyFill="1" applyAlignment="1">
      <alignment horizontal="centerContinuous" wrapText="1"/>
    </xf>
    <xf numFmtId="164" fontId="18" fillId="0" borderId="0" xfId="45" applyFont="1" applyFill="1" applyAlignment="1"/>
    <xf numFmtId="164" fontId="18" fillId="0" borderId="0" xfId="45" applyFont="1" applyAlignment="1">
      <alignment horizontal="center"/>
    </xf>
    <xf numFmtId="164" fontId="18" fillId="0" borderId="0" xfId="45" applyFont="1" applyProtection="1">
      <alignment horizontal="left" wrapText="1"/>
      <protection locked="0"/>
    </xf>
    <xf numFmtId="164" fontId="18" fillId="0" borderId="0" xfId="45" applyFont="1" applyFill="1" applyAlignment="1" applyProtection="1">
      <alignment horizontal="center"/>
      <protection locked="0"/>
    </xf>
    <xf numFmtId="164" fontId="18" fillId="0" borderId="11" xfId="45" applyFont="1" applyBorder="1" applyAlignment="1">
      <alignment horizontal="center"/>
    </xf>
    <xf numFmtId="164" fontId="18" fillId="0" borderId="11" xfId="45" applyFont="1" applyBorder="1" applyProtection="1">
      <alignment horizontal="left" wrapText="1"/>
      <protection locked="0"/>
    </xf>
    <xf numFmtId="164" fontId="18" fillId="0" borderId="11" xfId="45" applyFont="1" applyFill="1" applyBorder="1" applyAlignment="1" applyProtection="1">
      <alignment horizontal="center"/>
      <protection locked="0"/>
    </xf>
    <xf numFmtId="164" fontId="18" fillId="0" borderId="11" xfId="45" applyFont="1" applyFill="1" applyBorder="1" applyAlignment="1">
      <alignment horizontal="center"/>
    </xf>
    <xf numFmtId="164" fontId="20" fillId="0" borderId="0" xfId="45" applyFont="1" applyFill="1" applyAlignment="1">
      <alignment horizontal="fill"/>
    </xf>
    <xf numFmtId="1" fontId="20" fillId="0" borderId="0" xfId="45" applyNumberFormat="1" applyFont="1" applyFill="1" applyAlignment="1">
      <alignment horizontal="center"/>
    </xf>
    <xf numFmtId="164" fontId="21" fillId="0" borderId="0" xfId="45" applyFont="1" applyFill="1" applyAlignment="1">
      <alignment horizontal="left"/>
    </xf>
    <xf numFmtId="164" fontId="20" fillId="0" borderId="0" xfId="45" quotePrefix="1" applyFont="1" applyFill="1" applyBorder="1" applyAlignment="1">
      <alignment horizontal="left"/>
    </xf>
    <xf numFmtId="41" fontId="20" fillId="0" borderId="0" xfId="45" applyNumberFormat="1" applyFont="1" applyFill="1" applyBorder="1">
      <alignment horizontal="left" wrapText="1"/>
    </xf>
    <xf numFmtId="42" fontId="20" fillId="0" borderId="0" xfId="45" applyNumberFormat="1" applyFont="1" applyFill="1" applyAlignment="1"/>
    <xf numFmtId="165" fontId="20" fillId="0" borderId="0" xfId="2" applyNumberFormat="1" applyFont="1" applyFill="1" applyAlignment="1"/>
    <xf numFmtId="164" fontId="20" fillId="0" borderId="0" xfId="45" applyFont="1" applyFill="1" applyAlignment="1">
      <alignment horizontal="left"/>
    </xf>
    <xf numFmtId="41" fontId="20" fillId="0" borderId="0" xfId="1" applyNumberFormat="1" applyFont="1" applyFill="1" applyAlignment="1">
      <alignment horizontal="left" wrapText="1"/>
    </xf>
    <xf numFmtId="164" fontId="20" fillId="0" borderId="0" xfId="45" applyFont="1" applyFill="1" applyBorder="1">
      <alignment horizontal="left" wrapText="1"/>
    </xf>
    <xf numFmtId="164" fontId="20" fillId="0" borderId="0" xfId="45" applyFont="1" applyFill="1" applyBorder="1" applyAlignment="1"/>
    <xf numFmtId="164" fontId="20" fillId="0" borderId="0" xfId="45" applyNumberFormat="1" applyFont="1" applyFill="1" applyBorder="1" applyAlignment="1"/>
    <xf numFmtId="0" fontId="0" fillId="0" borderId="0" xfId="0" applyFill="1"/>
    <xf numFmtId="164" fontId="20" fillId="0" borderId="0" xfId="45" applyFont="1" applyFill="1" applyBorder="1" applyAlignment="1">
      <alignment horizontal="left"/>
    </xf>
    <xf numFmtId="165" fontId="20" fillId="0" borderId="0" xfId="2" applyNumberFormat="1" applyFont="1" applyFill="1" applyAlignment="1">
      <alignment horizontal="left" wrapText="1"/>
    </xf>
    <xf numFmtId="0" fontId="20" fillId="0" borderId="0" xfId="0" applyFont="1" applyFill="1"/>
    <xf numFmtId="166" fontId="20" fillId="0" borderId="0" xfId="1" applyNumberFormat="1" applyFont="1" applyFill="1" applyAlignment="1">
      <alignment horizontal="left" wrapText="1"/>
    </xf>
    <xf numFmtId="164" fontId="20" fillId="0" borderId="11" xfId="45" applyFont="1" applyFill="1" applyBorder="1" applyAlignment="1">
      <alignment horizontal="left"/>
    </xf>
    <xf numFmtId="0" fontId="20" fillId="0" borderId="11" xfId="0" applyFont="1" applyFill="1" applyBorder="1"/>
    <xf numFmtId="166" fontId="20" fillId="0" borderId="11" xfId="1" applyNumberFormat="1" applyFont="1" applyFill="1" applyBorder="1" applyAlignment="1">
      <alignment horizontal="left" wrapText="1"/>
    </xf>
    <xf numFmtId="167" fontId="20" fillId="0" borderId="0" xfId="45" applyNumberFormat="1" applyFont="1" applyFill="1" applyBorder="1" applyAlignment="1" applyProtection="1">
      <protection locked="0"/>
    </xf>
    <xf numFmtId="165" fontId="20" fillId="0" borderId="0" xfId="2" applyNumberFormat="1" applyFont="1" applyFill="1" applyBorder="1"/>
    <xf numFmtId="164" fontId="20" fillId="0" borderId="0" xfId="45" applyFont="1" applyFill="1" applyAlignment="1"/>
    <xf numFmtId="164" fontId="21" fillId="0" borderId="0" xfId="45" applyFont="1" applyFill="1" applyBorder="1" applyAlignment="1">
      <alignment horizontal="left"/>
    </xf>
    <xf numFmtId="37" fontId="20" fillId="0" borderId="0" xfId="45" applyNumberFormat="1" applyFont="1" applyFill="1">
      <alignment horizontal="left" wrapText="1"/>
    </xf>
    <xf numFmtId="165" fontId="20" fillId="0" borderId="0" xfId="2" applyNumberFormat="1" applyFont="1" applyFill="1"/>
    <xf numFmtId="168" fontId="20" fillId="0" borderId="0" xfId="45" applyNumberFormat="1" applyFont="1" applyFill="1" applyBorder="1" applyAlignment="1">
      <alignment horizontal="center" wrapText="1"/>
    </xf>
    <xf numFmtId="165" fontId="20" fillId="0" borderId="12" xfId="2" applyNumberFormat="1" applyFont="1" applyFill="1" applyBorder="1" applyAlignment="1">
      <alignment horizontal="left" wrapText="1"/>
    </xf>
    <xf numFmtId="41" fontId="20" fillId="0" borderId="0" xfId="1" applyNumberFormat="1" applyFont="1" applyFill="1" applyBorder="1" applyAlignment="1">
      <alignment horizontal="left" wrapText="1"/>
    </xf>
    <xf numFmtId="164" fontId="21" fillId="0" borderId="0" xfId="45" applyFont="1" applyFill="1" applyAlignment="1"/>
    <xf numFmtId="10" fontId="20" fillId="0" borderId="0" xfId="3" applyNumberFormat="1" applyFont="1" applyFill="1"/>
    <xf numFmtId="44" fontId="0" fillId="0" borderId="0" xfId="0" applyNumberFormat="1"/>
    <xf numFmtId="43" fontId="0" fillId="0" borderId="0" xfId="0" applyNumberFormat="1"/>
    <xf numFmtId="169" fontId="20" fillId="0" borderId="11" xfId="1" applyNumberFormat="1" applyFont="1" applyFill="1" applyBorder="1" applyAlignment="1">
      <alignment horizontal="left" wrapText="1"/>
    </xf>
    <xf numFmtId="165" fontId="20" fillId="0" borderId="11" xfId="2" applyNumberFormat="1" applyFont="1" applyFill="1" applyBorder="1"/>
    <xf numFmtId="41" fontId="20" fillId="0" borderId="0" xfId="1" applyNumberFormat="1" applyFont="1" applyFill="1"/>
    <xf numFmtId="165" fontId="18" fillId="0" borderId="0" xfId="2" applyNumberFormat="1" applyFont="1" applyFill="1"/>
    <xf numFmtId="0" fontId="18" fillId="0" borderId="11" xfId="139" applyNumberFormat="1" applyFont="1" applyFill="1" applyBorder="1" applyAlignment="1">
      <alignment horizontal="center"/>
    </xf>
    <xf numFmtId="9" fontId="20" fillId="0" borderId="0" xfId="139" applyNumberFormat="1" applyFont="1" applyFill="1" applyAlignment="1"/>
    <xf numFmtId="164" fontId="20" fillId="0" borderId="0" xfId="139" applyNumberFormat="1" applyFont="1" applyFill="1" applyBorder="1" applyAlignment="1"/>
    <xf numFmtId="164" fontId="20" fillId="0" borderId="11" xfId="139" applyNumberFormat="1" applyFont="1" applyFill="1" applyBorder="1" applyAlignment="1"/>
    <xf numFmtId="164" fontId="20" fillId="0" borderId="0" xfId="139" applyNumberFormat="1" applyFont="1" applyFill="1" applyAlignment="1"/>
    <xf numFmtId="0" fontId="20" fillId="0" borderId="0" xfId="139" applyNumberFormat="1" applyFont="1" applyFill="1" applyAlignment="1">
      <alignment horizontal="left"/>
    </xf>
    <xf numFmtId="0" fontId="20" fillId="0" borderId="0" xfId="139" applyNumberFormat="1" applyFont="1" applyFill="1" applyAlignment="1">
      <alignment horizontal="center"/>
    </xf>
    <xf numFmtId="0" fontId="18" fillId="0" borderId="11" xfId="139" applyNumberFormat="1" applyFont="1" applyFill="1" applyBorder="1" applyAlignment="1">
      <alignment horizontal="right"/>
    </xf>
    <xf numFmtId="0" fontId="18" fillId="0" borderId="11" xfId="139" applyNumberFormat="1" applyFont="1" applyFill="1" applyBorder="1" applyAlignment="1"/>
    <xf numFmtId="0" fontId="18" fillId="0" borderId="11" xfId="139" applyNumberFormat="1" applyFont="1" applyFill="1" applyBorder="1" applyAlignment="1" applyProtection="1">
      <protection locked="0"/>
    </xf>
    <xf numFmtId="0" fontId="18" fillId="0" borderId="0" xfId="139" applyNumberFormat="1" applyFont="1" applyFill="1" applyAlignment="1">
      <alignment horizontal="center"/>
    </xf>
    <xf numFmtId="0" fontId="18" fillId="0" borderId="27" xfId="0" applyNumberFormat="1" applyFont="1" applyFill="1" applyBorder="1" applyAlignment="1">
      <alignment horizontal="right"/>
    </xf>
    <xf numFmtId="164" fontId="18" fillId="0" borderId="0" xfId="0" applyNumberFormat="1" applyFont="1" applyFill="1" applyAlignment="1">
      <alignment horizontal="right"/>
    </xf>
    <xf numFmtId="0" fontId="20" fillId="0" borderId="0" xfId="139" applyNumberFormat="1" applyFont="1" applyFill="1" applyAlignment="1"/>
    <xf numFmtId="0" fontId="18" fillId="0" borderId="0" xfId="139" applyNumberFormat="1" applyFont="1" applyFill="1" applyAlignment="1"/>
    <xf numFmtId="0" fontId="19" fillId="0" borderId="0" xfId="139" applyNumberFormat="1" applyAlignment="1"/>
    <xf numFmtId="165" fontId="0" fillId="0" borderId="0" xfId="0" applyNumberFormat="1"/>
    <xf numFmtId="0" fontId="19" fillId="0" borderId="0" xfId="140" applyFill="1" applyBorder="1" applyAlignment="1">
      <alignment horizontal="left" vertical="top"/>
    </xf>
    <xf numFmtId="165" fontId="18" fillId="0" borderId="0" xfId="2" applyNumberFormat="1" applyFont="1" applyFill="1" applyBorder="1"/>
    <xf numFmtId="0" fontId="19" fillId="0" borderId="0" xfId="154"/>
    <xf numFmtId="169" fontId="20" fillId="0" borderId="0" xfId="1" applyNumberFormat="1" applyFont="1" applyFill="1" applyAlignment="1">
      <alignment horizontal="left" wrapText="1"/>
    </xf>
    <xf numFmtId="165" fontId="0" fillId="0" borderId="0" xfId="156" applyNumberFormat="1" applyFont="1"/>
    <xf numFmtId="164" fontId="20" fillId="0" borderId="0" xfId="0" applyNumberFormat="1" applyFont="1" applyFill="1" applyAlignment="1"/>
    <xf numFmtId="164" fontId="20" fillId="0" borderId="13" xfId="0" applyNumberFormat="1" applyFont="1" applyFill="1" applyBorder="1" applyAlignment="1" applyProtection="1">
      <protection locked="0"/>
    </xf>
    <xf numFmtId="0" fontId="18" fillId="0" borderId="0" xfId="0" applyNumberFormat="1" applyFont="1" applyFill="1" applyAlignment="1" applyProtection="1">
      <alignment horizontal="centerContinuous"/>
      <protection locked="0"/>
    </xf>
    <xf numFmtId="0" fontId="18" fillId="0" borderId="0" xfId="0" applyNumberFormat="1" applyFont="1" applyFill="1" applyAlignment="1">
      <alignment horizontal="centerContinuous"/>
    </xf>
    <xf numFmtId="0" fontId="20" fillId="0" borderId="0" xfId="0" applyNumberFormat="1" applyFont="1" applyFill="1" applyAlignment="1">
      <alignment horizontal="left"/>
    </xf>
    <xf numFmtId="0" fontId="46" fillId="0" borderId="0" xfId="0" applyNumberFormat="1" applyFont="1" applyFill="1" applyAlignment="1"/>
    <xf numFmtId="171" fontId="20" fillId="0" borderId="0" xfId="0" applyNumberFormat="1" applyFont="1" applyFill="1" applyAlignment="1"/>
    <xf numFmtId="165" fontId="0" fillId="0" borderId="0" xfId="156" applyNumberFormat="1" applyFont="1" applyFill="1"/>
    <xf numFmtId="41" fontId="0" fillId="0" borderId="0" xfId="0" applyNumberFormat="1"/>
    <xf numFmtId="41" fontId="0" fillId="0" borderId="13" xfId="0" applyNumberFormat="1" applyBorder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quotePrefix="1" applyBorder="1" applyAlignment="1">
      <alignment horizontal="center" wrapText="1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0" fontId="0" fillId="0" borderId="0" xfId="0" quotePrefix="1" applyAlignment="1">
      <alignment horizontal="left" indent="1"/>
    </xf>
    <xf numFmtId="0" fontId="0" fillId="0" borderId="0" xfId="0" quotePrefix="1" applyAlignment="1">
      <alignment horizontal="left" indent="2"/>
    </xf>
    <xf numFmtId="41" fontId="20" fillId="0" borderId="0" xfId="2" applyNumberFormat="1" applyFont="1" applyFill="1" applyBorder="1" applyAlignment="1">
      <alignment horizontal="left" wrapText="1"/>
    </xf>
    <xf numFmtId="41" fontId="20" fillId="0" borderId="0" xfId="2" applyNumberFormat="1" applyFont="1" applyFill="1" applyAlignment="1"/>
    <xf numFmtId="41" fontId="20" fillId="0" borderId="0" xfId="2" applyNumberFormat="1" applyFont="1" applyFill="1" applyAlignment="1">
      <alignment horizontal="left" wrapText="1"/>
    </xf>
    <xf numFmtId="41" fontId="20" fillId="0" borderId="11" xfId="2" applyNumberFormat="1" applyFont="1" applyFill="1" applyBorder="1" applyAlignment="1">
      <alignment horizontal="left" wrapText="1"/>
    </xf>
    <xf numFmtId="168" fontId="20" fillId="0" borderId="0" xfId="3" applyNumberFormat="1" applyFont="1" applyFill="1" applyBorder="1" applyAlignment="1">
      <alignment horizontal="center"/>
    </xf>
    <xf numFmtId="41" fontId="20" fillId="0" borderId="0" xfId="2" applyNumberFormat="1" applyFont="1" applyFill="1"/>
    <xf numFmtId="0" fontId="16" fillId="0" borderId="0" xfId="0" applyFont="1"/>
    <xf numFmtId="0" fontId="16" fillId="0" borderId="0" xfId="0" applyFont="1" applyAlignment="1">
      <alignment horizontal="center"/>
    </xf>
    <xf numFmtId="41" fontId="16" fillId="0" borderId="0" xfId="0" applyNumberFormat="1" applyFont="1"/>
    <xf numFmtId="0" fontId="0" fillId="0" borderId="0" xfId="0" applyAlignment="1">
      <alignment horizontal="center"/>
    </xf>
    <xf numFmtId="0" fontId="16" fillId="0" borderId="28" xfId="0" applyFon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41" fontId="0" fillId="0" borderId="0" xfId="0" applyNumberFormat="1" applyBorder="1"/>
    <xf numFmtId="0" fontId="0" fillId="0" borderId="0" xfId="0" applyBorder="1"/>
    <xf numFmtId="41" fontId="0" fillId="83" borderId="32" xfId="0" applyNumberFormat="1" applyFill="1" applyBorder="1"/>
    <xf numFmtId="0" fontId="0" fillId="0" borderId="31" xfId="0" applyBorder="1" applyAlignment="1">
      <alignment horizontal="right"/>
    </xf>
    <xf numFmtId="41" fontId="0" fillId="0" borderId="32" xfId="0" applyNumberFormat="1" applyBorder="1"/>
    <xf numFmtId="0" fontId="47" fillId="0" borderId="31" xfId="0" applyFont="1" applyBorder="1" applyAlignment="1">
      <alignment horizontal="right"/>
    </xf>
    <xf numFmtId="37" fontId="47" fillId="0" borderId="0" xfId="0" applyNumberFormat="1" applyFont="1" applyBorder="1" applyAlignment="1">
      <alignment horizontal="right"/>
    </xf>
    <xf numFmtId="0" fontId="0" fillId="0" borderId="32" xfId="0" applyBorder="1"/>
    <xf numFmtId="0" fontId="0" fillId="0" borderId="33" xfId="0" applyBorder="1"/>
    <xf numFmtId="41" fontId="0" fillId="0" borderId="34" xfId="0" applyNumberFormat="1" applyBorder="1"/>
    <xf numFmtId="0" fontId="0" fillId="0" borderId="34" xfId="0" applyBorder="1"/>
    <xf numFmtId="0" fontId="0" fillId="0" borderId="35" xfId="0" applyBorder="1"/>
    <xf numFmtId="37" fontId="47" fillId="0" borderId="0" xfId="0" applyNumberFormat="1" applyFont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9" fontId="20" fillId="0" borderId="0" xfId="3" applyFont="1" applyFill="1" applyBorder="1" applyAlignment="1"/>
    <xf numFmtId="165" fontId="20" fillId="0" borderId="13" xfId="2" applyNumberFormat="1" applyFont="1" applyFill="1" applyBorder="1"/>
    <xf numFmtId="164" fontId="18" fillId="0" borderId="0" xfId="45" applyFont="1" applyFill="1" applyBorder="1" applyAlignment="1" applyProtection="1">
      <alignment horizontal="center"/>
      <protection locked="0"/>
    </xf>
    <xf numFmtId="164" fontId="18" fillId="0" borderId="0" xfId="45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8" fillId="0" borderId="0" xfId="0" applyNumberFormat="1" applyFont="1" applyFill="1" applyAlignment="1">
      <alignment horizontal="center"/>
    </xf>
  </cellXfs>
  <cellStyles count="160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1 - 20%" xfId="50"/>
    <cellStyle name="Accent1 - 40%" xfId="51"/>
    <cellStyle name="Accent1 - 60%" xfId="52"/>
    <cellStyle name="Accent1 2" xfId="49"/>
    <cellStyle name="Accent1 3" xfId="133"/>
    <cellStyle name="Accent1 4" xfId="142"/>
    <cellStyle name="Accent1 5" xfId="153"/>
    <cellStyle name="Accent2" xfId="25" builtinId="33" customBuiltin="1"/>
    <cellStyle name="Accent2 - 20%" xfId="54"/>
    <cellStyle name="Accent2 - 40%" xfId="55"/>
    <cellStyle name="Accent2 - 60%" xfId="56"/>
    <cellStyle name="Accent2 2" xfId="53"/>
    <cellStyle name="Accent2 3" xfId="134"/>
    <cellStyle name="Accent2 4" xfId="144"/>
    <cellStyle name="Accent2 5" xfId="152"/>
    <cellStyle name="Accent3" xfId="29" builtinId="37" customBuiltin="1"/>
    <cellStyle name="Accent3 - 20%" xfId="58"/>
    <cellStyle name="Accent3 - 40%" xfId="59"/>
    <cellStyle name="Accent3 - 60%" xfId="60"/>
    <cellStyle name="Accent3 2" xfId="57"/>
    <cellStyle name="Accent3 3" xfId="135"/>
    <cellStyle name="Accent3 4" xfId="143"/>
    <cellStyle name="Accent3 5" xfId="151"/>
    <cellStyle name="Accent4" xfId="33" builtinId="41" customBuiltin="1"/>
    <cellStyle name="Accent4 - 20%" xfId="62"/>
    <cellStyle name="Accent4 - 40%" xfId="63"/>
    <cellStyle name="Accent4 - 60%" xfId="64"/>
    <cellStyle name="Accent4 2" xfId="61"/>
    <cellStyle name="Accent4 3" xfId="136"/>
    <cellStyle name="Accent4 4" xfId="145"/>
    <cellStyle name="Accent4 5" xfId="150"/>
    <cellStyle name="Accent5" xfId="37" builtinId="45" customBuiltin="1"/>
    <cellStyle name="Accent5 - 20%" xfId="66"/>
    <cellStyle name="Accent5 - 40%" xfId="67"/>
    <cellStyle name="Accent5 - 60%" xfId="68"/>
    <cellStyle name="Accent5 2" xfId="65"/>
    <cellStyle name="Accent5 3" xfId="137"/>
    <cellStyle name="Accent5 4" xfId="146"/>
    <cellStyle name="Accent5 5" xfId="149"/>
    <cellStyle name="Accent6" xfId="41" builtinId="49" customBuiltin="1"/>
    <cellStyle name="Accent6 - 20%" xfId="70"/>
    <cellStyle name="Accent6 - 40%" xfId="71"/>
    <cellStyle name="Accent6 - 60%" xfId="72"/>
    <cellStyle name="Accent6 2" xfId="69"/>
    <cellStyle name="Accent6 3" xfId="138"/>
    <cellStyle name="Accent6 4" xfId="147"/>
    <cellStyle name="Accent6 5" xfId="148"/>
    <cellStyle name="Bad" xfId="10" builtinId="27" customBuiltin="1"/>
    <cellStyle name="Bad 2" xfId="73"/>
    <cellStyle name="Calculation" xfId="14" builtinId="22" customBuiltin="1"/>
    <cellStyle name="Calculation 2" xfId="74"/>
    <cellStyle name="Check Cell" xfId="16" builtinId="23" customBuiltin="1"/>
    <cellStyle name="Check Cell 2" xfId="75"/>
    <cellStyle name="Comma" xfId="1" builtinId="3"/>
    <cellStyle name="Comma 2" xfId="157"/>
    <cellStyle name="Currency" xfId="2" builtinId="4"/>
    <cellStyle name="Currency 2" xfId="156"/>
    <cellStyle name="Emphasis 1" xfId="76"/>
    <cellStyle name="Emphasis 2" xfId="77"/>
    <cellStyle name="Emphasis 3" xfId="78"/>
    <cellStyle name="Explanatory Text" xfId="19" builtinId="53" customBuiltin="1"/>
    <cellStyle name="Good" xfId="9" builtinId="26" customBuiltin="1"/>
    <cellStyle name="Good 2" xfId="79"/>
    <cellStyle name="Heading 1" xfId="5" builtinId="16" customBuiltin="1"/>
    <cellStyle name="Heading 1 2" xfId="80"/>
    <cellStyle name="Heading 2" xfId="6" builtinId="17" customBuiltin="1"/>
    <cellStyle name="Heading 2 2" xfId="81"/>
    <cellStyle name="Heading 3" xfId="7" builtinId="18" customBuiltin="1"/>
    <cellStyle name="Heading 3 2" xfId="82"/>
    <cellStyle name="Heading 4" xfId="8" builtinId="19" customBuiltin="1"/>
    <cellStyle name="Heading 4 2" xfId="83"/>
    <cellStyle name="Input" xfId="12" builtinId="20" customBuiltin="1"/>
    <cellStyle name="Input 2" xfId="84"/>
    <cellStyle name="Linked Cell" xfId="15" builtinId="24" customBuiltin="1"/>
    <cellStyle name="Linked Cell 2" xfId="85"/>
    <cellStyle name="Neutral" xfId="11" builtinId="28" customBuiltin="1"/>
    <cellStyle name="Neutral 2" xfId="86"/>
    <cellStyle name="Normal" xfId="0" builtinId="0"/>
    <cellStyle name="Normal - Style1 5 4" xfId="154"/>
    <cellStyle name="Normal 108" xfId="159"/>
    <cellStyle name="Normal 154" xfId="158"/>
    <cellStyle name="Normal 155" xfId="140"/>
    <cellStyle name="Normal 2" xfId="46"/>
    <cellStyle name="Normal 3" xfId="47"/>
    <cellStyle name="Normal 4" xfId="48"/>
    <cellStyle name="Normal 5" xfId="141"/>
    <cellStyle name="Normal 6" xfId="155"/>
    <cellStyle name="Normal 8" xfId="139"/>
    <cellStyle name="Note" xfId="18" builtinId="10" customBuiltin="1"/>
    <cellStyle name="Note 2" xfId="87"/>
    <cellStyle name="Output" xfId="13" builtinId="21" customBuiltin="1"/>
    <cellStyle name="Output 2" xfId="88"/>
    <cellStyle name="Percent" xfId="3" builtinId="5"/>
    <cellStyle name="SAPBEXaggData" xfId="89"/>
    <cellStyle name="SAPBEXaggDataEmph" xfId="90"/>
    <cellStyle name="SAPBEXaggItem" xfId="91"/>
    <cellStyle name="SAPBEXaggItemX" xfId="92"/>
    <cellStyle name="SAPBEXchaText" xfId="93"/>
    <cellStyle name="SAPBEXexcBad7" xfId="94"/>
    <cellStyle name="SAPBEXexcBad8" xfId="95"/>
    <cellStyle name="SAPBEXexcBad9" xfId="96"/>
    <cellStyle name="SAPBEXexcCritical4" xfId="97"/>
    <cellStyle name="SAPBEXexcCritical5" xfId="98"/>
    <cellStyle name="SAPBEXexcCritical6" xfId="99"/>
    <cellStyle name="SAPBEXexcGood1" xfId="100"/>
    <cellStyle name="SAPBEXexcGood2" xfId="101"/>
    <cellStyle name="SAPBEXexcGood3" xfId="102"/>
    <cellStyle name="SAPBEXfilterDrill" xfId="103"/>
    <cellStyle name="SAPBEXfilterItem" xfId="104"/>
    <cellStyle name="SAPBEXfilterText" xfId="105"/>
    <cellStyle name="SAPBEXformats" xfId="106"/>
    <cellStyle name="SAPBEXheaderItem" xfId="107"/>
    <cellStyle name="SAPBEXheaderText" xfId="108"/>
    <cellStyle name="SAPBEXHLevel0" xfId="109"/>
    <cellStyle name="SAPBEXHLevel0X" xfId="110"/>
    <cellStyle name="SAPBEXHLevel1" xfId="111"/>
    <cellStyle name="SAPBEXHLevel1X" xfId="112"/>
    <cellStyle name="SAPBEXHLevel2" xfId="113"/>
    <cellStyle name="SAPBEXHLevel2X" xfId="114"/>
    <cellStyle name="SAPBEXHLevel3" xfId="115"/>
    <cellStyle name="SAPBEXHLevel3X" xfId="116"/>
    <cellStyle name="SAPBEXinputData" xfId="117"/>
    <cellStyle name="SAPBEXItemHeader" xfId="118"/>
    <cellStyle name="SAPBEXresData" xfId="119"/>
    <cellStyle name="SAPBEXresDataEmph" xfId="120"/>
    <cellStyle name="SAPBEXresItem" xfId="121"/>
    <cellStyle name="SAPBEXresItemX" xfId="122"/>
    <cellStyle name="SAPBEXstdData" xfId="123"/>
    <cellStyle name="SAPBEXstdDataEmph" xfId="124"/>
    <cellStyle name="SAPBEXstdItem" xfId="125"/>
    <cellStyle name="SAPBEXstdItemX" xfId="126"/>
    <cellStyle name="SAPBEXtitle" xfId="127"/>
    <cellStyle name="SAPBEXunassignedItem" xfId="128"/>
    <cellStyle name="SAPBEXundefined" xfId="129"/>
    <cellStyle name="Sheet Title" xfId="130"/>
    <cellStyle name="Style 1" xfId="45"/>
    <cellStyle name="Title" xfId="4" builtinId="15" customBuiltin="1"/>
    <cellStyle name="Total" xfId="20" builtinId="25" customBuiltin="1"/>
    <cellStyle name="Total 2" xfId="131"/>
    <cellStyle name="Warning Text" xfId="17" builtinId="11" customBuiltin="1"/>
    <cellStyle name="Warning Text 2" xfId="1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ectric%20Model%20Tax%20Reform%202017%20GRC%20(SETTLEMEN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/>
      <sheetData sheetId="1"/>
      <sheetData sheetId="2"/>
      <sheetData sheetId="3">
        <row r="13">
          <cell r="M13">
            <v>7.1570000000000002E-3</v>
          </cell>
        </row>
        <row r="14">
          <cell r="M14">
            <v>2E-3</v>
          </cell>
        </row>
        <row r="15">
          <cell r="M15">
            <v>3.8456999999999998E-2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topLeftCell="A22" workbookViewId="0">
      <selection activeCell="E33" sqref="E33"/>
    </sheetView>
  </sheetViews>
  <sheetFormatPr defaultRowHeight="14.4" x14ac:dyDescent="0.3"/>
  <cols>
    <col min="1" max="1" width="5" bestFit="1" customWidth="1"/>
    <col min="2" max="2" width="60.33203125" bestFit="1" customWidth="1"/>
    <col min="3" max="3" width="9" bestFit="1" customWidth="1"/>
    <col min="5" max="5" width="15.44140625" bestFit="1" customWidth="1"/>
    <col min="6" max="6" width="16" bestFit="1" customWidth="1"/>
  </cols>
  <sheetData>
    <row r="1" spans="1:6" x14ac:dyDescent="0.3">
      <c r="A1" s="1"/>
      <c r="B1" s="2"/>
      <c r="C1" s="1"/>
      <c r="D1" s="1"/>
      <c r="E1" s="3"/>
    </row>
    <row r="2" spans="1:6" ht="15" thickBot="1" x14ac:dyDescent="0.35">
      <c r="A2" s="1"/>
      <c r="B2" s="1"/>
      <c r="C2" s="1"/>
      <c r="D2" s="1"/>
    </row>
    <row r="3" spans="1:6" ht="15.6" thickTop="1" thickBot="1" x14ac:dyDescent="0.35">
      <c r="A3" s="5"/>
      <c r="B3" s="128" t="s">
        <v>0</v>
      </c>
      <c r="C3" s="128"/>
      <c r="D3" s="128"/>
      <c r="E3" s="4" t="s">
        <v>126</v>
      </c>
    </row>
    <row r="4" spans="1:6" ht="15" thickTop="1" x14ac:dyDescent="0.3">
      <c r="A4" s="6"/>
      <c r="B4" s="129" t="s">
        <v>1</v>
      </c>
      <c r="C4" s="129"/>
      <c r="D4" s="129"/>
      <c r="E4" s="7"/>
    </row>
    <row r="5" spans="1:6" x14ac:dyDescent="0.3">
      <c r="A5" s="5"/>
      <c r="B5" s="129" t="s">
        <v>79</v>
      </c>
      <c r="C5" s="129"/>
      <c r="D5" s="129"/>
      <c r="E5" s="6"/>
    </row>
    <row r="6" spans="1:6" x14ac:dyDescent="0.3">
      <c r="A6" s="8"/>
      <c r="B6" s="129" t="s">
        <v>77</v>
      </c>
      <c r="C6" s="129"/>
      <c r="D6" s="129"/>
      <c r="E6" s="6"/>
    </row>
    <row r="7" spans="1:6" x14ac:dyDescent="0.3">
      <c r="A7" s="9" t="s">
        <v>2</v>
      </c>
      <c r="B7" s="10"/>
      <c r="C7" s="10"/>
      <c r="D7" s="11"/>
      <c r="E7" s="11"/>
    </row>
    <row r="8" spans="1:6" x14ac:dyDescent="0.3">
      <c r="A8" s="12" t="s">
        <v>3</v>
      </c>
      <c r="B8" s="13" t="s">
        <v>4</v>
      </c>
      <c r="C8" s="12"/>
      <c r="D8" s="14"/>
      <c r="E8" s="15" t="s">
        <v>5</v>
      </c>
    </row>
    <row r="9" spans="1:6" x14ac:dyDescent="0.3">
      <c r="A9" s="16"/>
      <c r="B9" s="6"/>
      <c r="C9" s="6"/>
      <c r="D9" s="6"/>
      <c r="E9" s="6"/>
    </row>
    <row r="10" spans="1:6" x14ac:dyDescent="0.3">
      <c r="A10" s="17">
        <v>1</v>
      </c>
      <c r="B10" s="18" t="s">
        <v>6</v>
      </c>
      <c r="C10" s="6"/>
      <c r="D10" s="6"/>
      <c r="E10" s="6"/>
    </row>
    <row r="11" spans="1:6" x14ac:dyDescent="0.3">
      <c r="A11" s="17">
        <f>A10+1</f>
        <v>2</v>
      </c>
      <c r="B11" s="19" t="s">
        <v>7</v>
      </c>
      <c r="C11" s="20"/>
      <c r="D11" s="21"/>
      <c r="E11" s="22">
        <f>'Rev Req Summary'!C12</f>
        <v>102287066.92</v>
      </c>
    </row>
    <row r="12" spans="1:6" x14ac:dyDescent="0.3">
      <c r="A12" s="17">
        <f>A11+1</f>
        <v>3</v>
      </c>
      <c r="B12" s="23" t="s">
        <v>8</v>
      </c>
      <c r="C12" s="20"/>
      <c r="D12" s="21"/>
      <c r="E12" s="98">
        <f>'Rev Req Summary'!C21</f>
        <v>58785500.5</v>
      </c>
      <c r="F12" s="28"/>
    </row>
    <row r="13" spans="1:6" x14ac:dyDescent="0.3">
      <c r="A13" s="17">
        <f t="shared" ref="A13:A45" si="0">A12+1</f>
        <v>4</v>
      </c>
      <c r="B13" s="19" t="s">
        <v>9</v>
      </c>
      <c r="C13" s="20"/>
      <c r="D13" s="24"/>
      <c r="E13" s="98">
        <f>'Rev Req Summary'!C19-'Lead E'!E14</f>
        <v>84690569.569999993</v>
      </c>
    </row>
    <row r="14" spans="1:6" x14ac:dyDescent="0.3">
      <c r="A14" s="17">
        <f t="shared" si="0"/>
        <v>5</v>
      </c>
      <c r="B14" s="19" t="s">
        <v>67</v>
      </c>
      <c r="C14" s="20"/>
      <c r="D14" s="24"/>
      <c r="E14" s="98">
        <f>'Rev Req Summary'!E19</f>
        <v>13257.679999999998</v>
      </c>
    </row>
    <row r="15" spans="1:6" x14ac:dyDescent="0.3">
      <c r="A15" s="17">
        <f t="shared" si="0"/>
        <v>6</v>
      </c>
      <c r="B15" s="19" t="s">
        <v>10</v>
      </c>
      <c r="C15" s="25"/>
      <c r="D15" s="24"/>
      <c r="E15" s="98">
        <f>'Rev Req Summary'!C13</f>
        <v>17088658.920000002</v>
      </c>
    </row>
    <row r="16" spans="1:6" x14ac:dyDescent="0.3">
      <c r="A16" s="17">
        <f t="shared" si="0"/>
        <v>7</v>
      </c>
      <c r="B16" s="26" t="s">
        <v>11</v>
      </c>
      <c r="C16" s="20"/>
      <c r="D16" s="24"/>
      <c r="E16" s="98">
        <f>'Rev Req Summary'!C18</f>
        <v>-72579362.799999982</v>
      </c>
    </row>
    <row r="17" spans="1:6" x14ac:dyDescent="0.3">
      <c r="A17" s="17">
        <f t="shared" si="0"/>
        <v>8</v>
      </c>
      <c r="B17" s="27" t="s">
        <v>12</v>
      </c>
      <c r="C17" s="20"/>
      <c r="D17" s="24"/>
      <c r="E17" s="98">
        <f>'Rev Req Summary'!C17</f>
        <v>-2081681.16</v>
      </c>
    </row>
    <row r="18" spans="1:6" x14ac:dyDescent="0.3">
      <c r="A18" s="17">
        <f t="shared" si="0"/>
        <v>9</v>
      </c>
      <c r="B18" s="27" t="s">
        <v>13</v>
      </c>
      <c r="C18" s="20"/>
      <c r="D18" s="73"/>
      <c r="E18" s="99">
        <f>-'Expense Orders'!B11-'Expense Orders'!B13</f>
        <v>1841461.71</v>
      </c>
      <c r="F18" s="28"/>
    </row>
    <row r="19" spans="1:6" x14ac:dyDescent="0.3">
      <c r="A19" s="17">
        <f t="shared" si="0"/>
        <v>10</v>
      </c>
      <c r="B19" s="29" t="s">
        <v>14</v>
      </c>
      <c r="C19" s="25"/>
      <c r="D19" s="24"/>
      <c r="E19" s="100">
        <f>'Rev Req Summary'!C16</f>
        <v>4599593.6399999997</v>
      </c>
    </row>
    <row r="20" spans="1:6" x14ac:dyDescent="0.3">
      <c r="A20" s="17">
        <f t="shared" si="0"/>
        <v>11</v>
      </c>
      <c r="B20" s="29" t="s">
        <v>15</v>
      </c>
      <c r="C20" s="31"/>
      <c r="D20" s="32"/>
      <c r="E20" s="98">
        <f>-'Expense Orders'!B10</f>
        <v>-1563408.86</v>
      </c>
    </row>
    <row r="21" spans="1:6" x14ac:dyDescent="0.3">
      <c r="A21" s="17">
        <f t="shared" si="0"/>
        <v>12</v>
      </c>
      <c r="B21" s="33" t="s">
        <v>16</v>
      </c>
      <c r="C21" s="34"/>
      <c r="D21" s="35"/>
      <c r="E21" s="101">
        <f>'Rev Req Summary'!C15</f>
        <v>-257285.07999999996</v>
      </c>
    </row>
    <row r="22" spans="1:6" x14ac:dyDescent="0.3">
      <c r="A22" s="17">
        <f t="shared" si="0"/>
        <v>13</v>
      </c>
      <c r="B22" s="36" t="s">
        <v>17</v>
      </c>
      <c r="C22" s="25"/>
      <c r="D22" s="31"/>
      <c r="E22" s="37">
        <f>SUM(E11:E21)</f>
        <v>192824371.04000002</v>
      </c>
    </row>
    <row r="23" spans="1:6" x14ac:dyDescent="0.3">
      <c r="A23" s="17">
        <f t="shared" si="0"/>
        <v>14</v>
      </c>
      <c r="B23" s="38"/>
      <c r="C23" s="38"/>
      <c r="D23" s="38"/>
      <c r="E23" s="22"/>
    </row>
    <row r="24" spans="1:6" x14ac:dyDescent="0.3">
      <c r="A24" s="17">
        <f t="shared" si="0"/>
        <v>15</v>
      </c>
      <c r="B24" s="39" t="s">
        <v>18</v>
      </c>
      <c r="C24" s="25"/>
      <c r="D24" s="40"/>
      <c r="E24" s="30"/>
    </row>
    <row r="25" spans="1:6" x14ac:dyDescent="0.3">
      <c r="A25" s="17">
        <f t="shared" si="0"/>
        <v>16</v>
      </c>
      <c r="B25" s="29" t="s">
        <v>19</v>
      </c>
      <c r="C25" s="102">
        <f ca="1">'Conv Factor'!E14</f>
        <v>7.1570000000000002E-3</v>
      </c>
      <c r="D25" s="24"/>
      <c r="E25" s="41">
        <f ca="1">-SUM(E11+E13+E14+E15+E16+E17+E19+E12+E21)*C25</f>
        <v>-1378053.9992858302</v>
      </c>
    </row>
    <row r="26" spans="1:6" x14ac:dyDescent="0.3">
      <c r="A26" s="17">
        <f t="shared" si="0"/>
        <v>17</v>
      </c>
      <c r="B26" s="29" t="s">
        <v>20</v>
      </c>
      <c r="C26" s="102">
        <f>'Conv Factor'!E15</f>
        <v>2E-3</v>
      </c>
      <c r="D26" s="24"/>
      <c r="E26" s="103">
        <f>-SUM(E11+E13+E14+E15+E16+E17+E19+E12+E21)*C26</f>
        <v>-385092.63638000004</v>
      </c>
    </row>
    <row r="27" spans="1:6" x14ac:dyDescent="0.3">
      <c r="A27" s="17">
        <f t="shared" si="0"/>
        <v>18</v>
      </c>
      <c r="B27" s="29" t="s">
        <v>21</v>
      </c>
      <c r="C27" s="102">
        <f ca="1">'Conv Factor'!E16</f>
        <v>3.8456999999999998E-2</v>
      </c>
      <c r="D27" s="24"/>
      <c r="E27" s="103">
        <f ca="1">-SUM(E11+E13+E14+E15+E16+E17+E19+E12+E21)*C27</f>
        <v>-7404753.7586328303</v>
      </c>
    </row>
    <row r="28" spans="1:6" x14ac:dyDescent="0.3">
      <c r="A28" s="17">
        <f t="shared" si="0"/>
        <v>19</v>
      </c>
      <c r="B28" s="25" t="s">
        <v>22</v>
      </c>
      <c r="C28" s="42"/>
      <c r="D28" s="20"/>
      <c r="E28" s="43">
        <f ca="1">SUM(E25:E27)</f>
        <v>-9167900.3942986615</v>
      </c>
    </row>
    <row r="29" spans="1:6" x14ac:dyDescent="0.3">
      <c r="A29" s="17">
        <f t="shared" si="0"/>
        <v>20</v>
      </c>
      <c r="B29" s="25"/>
      <c r="C29" s="44"/>
      <c r="D29" s="40"/>
      <c r="E29" s="30"/>
    </row>
    <row r="30" spans="1:6" x14ac:dyDescent="0.3">
      <c r="A30" s="17">
        <f t="shared" si="0"/>
        <v>21</v>
      </c>
      <c r="B30" s="45" t="s">
        <v>23</v>
      </c>
      <c r="C30" s="31"/>
      <c r="D30" s="31"/>
      <c r="E30" s="41"/>
    </row>
    <row r="31" spans="1:6" x14ac:dyDescent="0.3">
      <c r="A31" s="17">
        <f t="shared" si="0"/>
        <v>22</v>
      </c>
      <c r="B31" s="19" t="s">
        <v>24</v>
      </c>
      <c r="C31" s="31"/>
      <c r="D31" s="46"/>
      <c r="E31" s="22">
        <f>-'Expense Orders'!B6</f>
        <v>-97540765.159999996</v>
      </c>
      <c r="F31" s="47"/>
    </row>
    <row r="32" spans="1:6" x14ac:dyDescent="0.3">
      <c r="A32" s="17">
        <f t="shared" si="0"/>
        <v>23</v>
      </c>
      <c r="B32" s="23" t="s">
        <v>25</v>
      </c>
      <c r="C32" s="31"/>
      <c r="D32" s="46"/>
      <c r="E32" s="100">
        <f>-'Sch 140 Prop Taxes'!B10</f>
        <v>-55961766.059999995</v>
      </c>
      <c r="F32" s="47"/>
    </row>
    <row r="33" spans="1:6" x14ac:dyDescent="0.3">
      <c r="A33" s="17">
        <f t="shared" si="0"/>
        <v>24</v>
      </c>
      <c r="B33" s="19" t="s">
        <v>9</v>
      </c>
      <c r="C33" s="31"/>
      <c r="D33" s="46"/>
      <c r="E33" s="99">
        <f>-'Expense Orders'!B7</f>
        <v>-80920052.489999995</v>
      </c>
    </row>
    <row r="34" spans="1:6" x14ac:dyDescent="0.3">
      <c r="A34" s="17">
        <f t="shared" si="0"/>
        <v>25</v>
      </c>
      <c r="B34" s="19" t="s">
        <v>26</v>
      </c>
      <c r="C34" s="31"/>
      <c r="D34" s="46"/>
      <c r="E34" s="99">
        <f>-'Expense Orders'!B8</f>
        <v>-16296500.52</v>
      </c>
    </row>
    <row r="35" spans="1:6" x14ac:dyDescent="0.3">
      <c r="A35" s="17">
        <f t="shared" si="0"/>
        <v>26</v>
      </c>
      <c r="B35" s="26" t="s">
        <v>11</v>
      </c>
      <c r="C35" s="31"/>
      <c r="D35" s="46"/>
      <c r="E35" s="99">
        <f>-'Expense Orders'!B9</f>
        <v>69268219.670000002</v>
      </c>
      <c r="F35" s="48"/>
    </row>
    <row r="36" spans="1:6" x14ac:dyDescent="0.3">
      <c r="A36" s="17">
        <f t="shared" si="0"/>
        <v>27</v>
      </c>
      <c r="B36" s="27" t="s">
        <v>27</v>
      </c>
      <c r="C36" s="31"/>
      <c r="D36" s="46"/>
      <c r="E36" s="99">
        <f>-'Expense Orders'!B12-'Expense Orders'!B14</f>
        <v>138514.25</v>
      </c>
    </row>
    <row r="37" spans="1:6" x14ac:dyDescent="0.3">
      <c r="A37" s="17">
        <f t="shared" si="0"/>
        <v>28</v>
      </c>
      <c r="B37" s="29" t="s">
        <v>28</v>
      </c>
      <c r="C37" s="31"/>
      <c r="D37" s="46"/>
      <c r="E37" s="103">
        <f>-'Expense Orders'!E39</f>
        <v>-979067.74</v>
      </c>
    </row>
    <row r="38" spans="1:6" x14ac:dyDescent="0.3">
      <c r="A38" s="17">
        <f t="shared" si="0"/>
        <v>29</v>
      </c>
      <c r="B38" s="29" t="s">
        <v>29</v>
      </c>
      <c r="C38" s="31"/>
      <c r="D38" s="46"/>
      <c r="E38" s="103">
        <f>-'Expense Orders'!D39</f>
        <v>-41429.58</v>
      </c>
    </row>
    <row r="39" spans="1:6" x14ac:dyDescent="0.3">
      <c r="A39" s="17">
        <f t="shared" si="0"/>
        <v>30</v>
      </c>
      <c r="B39" s="29" t="s">
        <v>30</v>
      </c>
      <c r="C39" s="31"/>
      <c r="D39" s="46"/>
      <c r="E39" s="103">
        <f>-'Expense Orders'!C39</f>
        <v>-11150.8</v>
      </c>
    </row>
    <row r="40" spans="1:6" x14ac:dyDescent="0.3">
      <c r="A40" s="17">
        <f t="shared" si="0"/>
        <v>31</v>
      </c>
      <c r="B40" s="33" t="s">
        <v>31</v>
      </c>
      <c r="C40" s="34"/>
      <c r="D40" s="49"/>
      <c r="E40" s="101">
        <f>-'Expense Orders'!B15</f>
        <v>226820.57</v>
      </c>
    </row>
    <row r="41" spans="1:6" x14ac:dyDescent="0.3">
      <c r="A41" s="17">
        <f t="shared" si="0"/>
        <v>32</v>
      </c>
      <c r="B41" s="26" t="s">
        <v>32</v>
      </c>
      <c r="C41" s="31"/>
      <c r="D41" s="31"/>
      <c r="E41" s="50">
        <f>SUM(E31:E40)</f>
        <v>-182117177.86000004</v>
      </c>
    </row>
    <row r="42" spans="1:6" x14ac:dyDescent="0.3">
      <c r="A42" s="17">
        <f t="shared" si="0"/>
        <v>33</v>
      </c>
      <c r="B42" s="31"/>
      <c r="C42" s="31"/>
      <c r="D42" s="31"/>
      <c r="E42" s="41"/>
    </row>
    <row r="43" spans="1:6" x14ac:dyDescent="0.3">
      <c r="A43" s="17">
        <f t="shared" si="0"/>
        <v>34</v>
      </c>
      <c r="B43" s="26" t="s">
        <v>33</v>
      </c>
      <c r="C43" s="26"/>
      <c r="D43" s="51"/>
      <c r="E43" s="52">
        <f ca="1">-E22-E28-E41</f>
        <v>-1539292.7857013047</v>
      </c>
    </row>
    <row r="44" spans="1:6" ht="15" x14ac:dyDescent="0.25">
      <c r="A44" s="17">
        <f t="shared" si="0"/>
        <v>35</v>
      </c>
      <c r="B44" s="26" t="s">
        <v>34</v>
      </c>
      <c r="C44" s="126">
        <v>0.21</v>
      </c>
      <c r="D44" s="51"/>
      <c r="E44" s="41">
        <f ca="1">E43*0.21</f>
        <v>-323251.48499727395</v>
      </c>
    </row>
    <row r="45" spans="1:6" ht="15.75" thickBot="1" x14ac:dyDescent="0.3">
      <c r="A45" s="17">
        <f t="shared" si="0"/>
        <v>36</v>
      </c>
      <c r="B45" s="26" t="s">
        <v>35</v>
      </c>
      <c r="C45" s="26"/>
      <c r="D45" s="51"/>
      <c r="E45" s="127">
        <f ca="1">E43-E44</f>
        <v>-1216041.3007040308</v>
      </c>
      <c r="F45" s="71"/>
    </row>
    <row r="46" spans="1:6" ht="15" thickTop="1" x14ac:dyDescent="0.3"/>
  </sheetData>
  <mergeCells count="4">
    <mergeCell ref="B3:D3"/>
    <mergeCell ref="B4:D4"/>
    <mergeCell ref="B5:D5"/>
    <mergeCell ref="B6:D6"/>
  </mergeCells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29" sqref="G29"/>
    </sheetView>
  </sheetViews>
  <sheetFormatPr defaultRowHeight="14.4" x14ac:dyDescent="0.3"/>
  <cols>
    <col min="1" max="1" width="7.6640625" bestFit="1" customWidth="1"/>
    <col min="2" max="2" width="38.6640625" bestFit="1" customWidth="1"/>
    <col min="3" max="4" width="14.5546875" bestFit="1" customWidth="1"/>
    <col min="5" max="5" width="9.5546875" bestFit="1" customWidth="1"/>
    <col min="6" max="6" width="13.88671875" customWidth="1"/>
    <col min="7" max="8" width="9.5546875" bestFit="1" customWidth="1"/>
  </cols>
  <sheetData>
    <row r="1" spans="1:7" x14ac:dyDescent="0.3">
      <c r="A1" s="130" t="s">
        <v>46</v>
      </c>
      <c r="B1" s="130"/>
      <c r="C1" s="130"/>
      <c r="D1" s="130"/>
      <c r="E1" s="130"/>
      <c r="F1" s="130"/>
      <c r="G1" s="125" t="s">
        <v>133</v>
      </c>
    </row>
    <row r="2" spans="1:7" x14ac:dyDescent="0.3">
      <c r="A2" s="130" t="s">
        <v>47</v>
      </c>
      <c r="B2" s="130"/>
      <c r="C2" s="130"/>
      <c r="D2" s="130"/>
      <c r="E2" s="130"/>
      <c r="F2" s="130"/>
    </row>
    <row r="3" spans="1:7" x14ac:dyDescent="0.3">
      <c r="A3" s="130" t="s">
        <v>39</v>
      </c>
      <c r="B3" s="130"/>
      <c r="C3" s="130"/>
      <c r="D3" s="130"/>
      <c r="E3" s="130"/>
      <c r="F3" s="130"/>
    </row>
    <row r="4" spans="1:7" x14ac:dyDescent="0.3">
      <c r="A4" s="131" t="s">
        <v>99</v>
      </c>
      <c r="B4" s="130"/>
      <c r="C4" s="130"/>
      <c r="D4" s="130"/>
      <c r="E4" s="130"/>
      <c r="F4" s="130"/>
    </row>
    <row r="6" spans="1:7" ht="28.95" x14ac:dyDescent="0.3">
      <c r="A6" s="87" t="s">
        <v>48</v>
      </c>
      <c r="B6" s="87" t="s">
        <v>49</v>
      </c>
      <c r="C6" s="88" t="s">
        <v>40</v>
      </c>
      <c r="D6" s="88" t="s">
        <v>50</v>
      </c>
      <c r="E6" s="88" t="s">
        <v>51</v>
      </c>
      <c r="F6" s="88" t="s">
        <v>52</v>
      </c>
    </row>
    <row r="7" spans="1:7" x14ac:dyDescent="0.3">
      <c r="A7" s="89"/>
      <c r="B7" s="90" t="s">
        <v>100</v>
      </c>
      <c r="C7" s="91" t="s">
        <v>101</v>
      </c>
      <c r="D7" s="91" t="s">
        <v>102</v>
      </c>
      <c r="E7" s="91" t="s">
        <v>103</v>
      </c>
      <c r="F7" s="91" t="s">
        <v>104</v>
      </c>
    </row>
    <row r="8" spans="1:7" x14ac:dyDescent="0.3">
      <c r="A8" s="107">
        <v>1</v>
      </c>
      <c r="B8" t="s">
        <v>53</v>
      </c>
      <c r="C8" s="74">
        <f>SUM(D8:F8)</f>
        <v>2153819195.27</v>
      </c>
      <c r="D8" s="74">
        <v>2142744185.3599999</v>
      </c>
      <c r="E8" s="74">
        <v>324382.2</v>
      </c>
      <c r="F8" s="74">
        <v>10750627.709999999</v>
      </c>
    </row>
    <row r="9" spans="1:7" x14ac:dyDescent="0.3">
      <c r="A9" s="107">
        <f>+A8+1</f>
        <v>2</v>
      </c>
    </row>
    <row r="10" spans="1:7" x14ac:dyDescent="0.3">
      <c r="A10" s="107">
        <f t="shared" ref="A10:A39" si="0">+A9+1</f>
        <v>3</v>
      </c>
      <c r="B10" s="92" t="s">
        <v>54</v>
      </c>
    </row>
    <row r="11" spans="1:7" x14ac:dyDescent="0.3">
      <c r="A11" s="107">
        <f t="shared" si="0"/>
        <v>4</v>
      </c>
      <c r="B11" s="93" t="s">
        <v>68</v>
      </c>
      <c r="C11" s="74">
        <f t="shared" ref="C11:C20" si="1">SUM(D11:F11)</f>
        <v>-54955983.910000004</v>
      </c>
      <c r="D11" s="74">
        <v>-54955983.910000004</v>
      </c>
      <c r="E11" s="74"/>
      <c r="F11" s="74"/>
    </row>
    <row r="12" spans="1:7" x14ac:dyDescent="0.3">
      <c r="A12" s="107">
        <f t="shared" si="0"/>
        <v>5</v>
      </c>
      <c r="B12" s="93" t="s">
        <v>69</v>
      </c>
      <c r="C12" s="74">
        <f t="shared" si="1"/>
        <v>102287066.92</v>
      </c>
      <c r="D12" s="74">
        <v>100004063.21000001</v>
      </c>
      <c r="E12" s="74"/>
      <c r="F12" s="74">
        <v>2283003.71</v>
      </c>
    </row>
    <row r="13" spans="1:7" x14ac:dyDescent="0.3">
      <c r="A13" s="107">
        <f t="shared" si="0"/>
        <v>6</v>
      </c>
      <c r="B13" s="93" t="s">
        <v>70</v>
      </c>
      <c r="C13" s="74">
        <f t="shared" si="1"/>
        <v>17088658.920000002</v>
      </c>
      <c r="D13" s="74">
        <v>17029046.510000002</v>
      </c>
      <c r="E13" s="74"/>
      <c r="F13" s="74">
        <v>59612.41</v>
      </c>
    </row>
    <row r="14" spans="1:7" x14ac:dyDescent="0.3">
      <c r="A14" s="107">
        <f t="shared" si="0"/>
        <v>7</v>
      </c>
      <c r="B14" s="93" t="s">
        <v>71</v>
      </c>
      <c r="C14" s="74">
        <f t="shared" si="1"/>
        <v>-6318302.8499999996</v>
      </c>
      <c r="D14" s="74">
        <v>-6250779.4199999999</v>
      </c>
      <c r="E14" s="74"/>
      <c r="F14" s="74">
        <v>-67523.430000000008</v>
      </c>
    </row>
    <row r="15" spans="1:7" x14ac:dyDescent="0.3">
      <c r="A15" s="107">
        <f t="shared" si="0"/>
        <v>8</v>
      </c>
      <c r="B15" s="93" t="s">
        <v>72</v>
      </c>
      <c r="C15" s="74">
        <f t="shared" si="1"/>
        <v>-257285.07999999996</v>
      </c>
      <c r="D15" s="74">
        <v>-257285.07999999996</v>
      </c>
      <c r="E15" s="74"/>
      <c r="F15" s="74"/>
    </row>
    <row r="16" spans="1:7" x14ac:dyDescent="0.3">
      <c r="A16" s="107">
        <f t="shared" si="0"/>
        <v>9</v>
      </c>
      <c r="B16" s="93" t="s">
        <v>73</v>
      </c>
      <c r="C16" s="74">
        <f t="shared" si="1"/>
        <v>4599593.6399999997</v>
      </c>
      <c r="D16" s="74">
        <v>4599593.6399999997</v>
      </c>
      <c r="E16" s="74"/>
      <c r="F16" s="74"/>
    </row>
    <row r="17" spans="1:6" x14ac:dyDescent="0.3">
      <c r="A17" s="107">
        <f t="shared" si="0"/>
        <v>10</v>
      </c>
      <c r="B17" s="93" t="s">
        <v>74</v>
      </c>
      <c r="C17" s="74">
        <f t="shared" si="1"/>
        <v>-2081681.16</v>
      </c>
      <c r="D17" s="74">
        <v>-2081681.16</v>
      </c>
      <c r="E17" s="74"/>
      <c r="F17" s="74"/>
    </row>
    <row r="18" spans="1:6" x14ac:dyDescent="0.3">
      <c r="A18" s="107">
        <f t="shared" si="0"/>
        <v>11</v>
      </c>
      <c r="B18" s="93" t="s">
        <v>75</v>
      </c>
      <c r="C18" s="74">
        <f t="shared" si="1"/>
        <v>-72579362.799999982</v>
      </c>
      <c r="D18" s="74">
        <v>-72579362.799999982</v>
      </c>
      <c r="E18" s="74"/>
      <c r="F18" s="74"/>
    </row>
    <row r="19" spans="1:6" x14ac:dyDescent="0.3">
      <c r="A19" s="107">
        <f t="shared" si="0"/>
        <v>12</v>
      </c>
      <c r="B19" s="93" t="s">
        <v>76</v>
      </c>
      <c r="C19" s="74">
        <f t="shared" si="1"/>
        <v>84703827.25</v>
      </c>
      <c r="D19" s="74">
        <v>84487547.599999994</v>
      </c>
      <c r="E19" s="82">
        <v>13257.679999999998</v>
      </c>
      <c r="F19" s="82">
        <v>203021.96999999997</v>
      </c>
    </row>
    <row r="20" spans="1:6" x14ac:dyDescent="0.3">
      <c r="A20" s="107">
        <f t="shared" si="0"/>
        <v>13</v>
      </c>
      <c r="B20" s="93" t="s">
        <v>122</v>
      </c>
      <c r="C20" s="74">
        <f t="shared" si="1"/>
        <v>-29011926</v>
      </c>
      <c r="D20" s="74">
        <v>-29011926</v>
      </c>
      <c r="E20" s="74"/>
      <c r="F20" s="74"/>
    </row>
    <row r="21" spans="1:6" x14ac:dyDescent="0.3">
      <c r="A21" s="107">
        <f t="shared" si="0"/>
        <v>14</v>
      </c>
      <c r="B21" s="93" t="s">
        <v>123</v>
      </c>
      <c r="C21" s="74">
        <f>SUM(D21:F21)</f>
        <v>58785500.5</v>
      </c>
      <c r="D21" s="74">
        <v>58197530.5</v>
      </c>
      <c r="E21" s="74"/>
      <c r="F21" s="74">
        <v>587970</v>
      </c>
    </row>
    <row r="22" spans="1:6" x14ac:dyDescent="0.3">
      <c r="A22" s="107">
        <f t="shared" si="0"/>
        <v>15</v>
      </c>
      <c r="B22" s="93" t="s">
        <v>124</v>
      </c>
      <c r="C22" s="74">
        <f>SUM(D22:F22)</f>
        <v>29745544</v>
      </c>
      <c r="D22" s="74">
        <v>29536744</v>
      </c>
      <c r="E22" s="74"/>
      <c r="F22" s="74">
        <v>208800</v>
      </c>
    </row>
    <row r="23" spans="1:6" x14ac:dyDescent="0.3">
      <c r="A23" s="107">
        <f t="shared" si="0"/>
        <v>16</v>
      </c>
      <c r="B23" s="93" t="s">
        <v>125</v>
      </c>
      <c r="C23" s="74">
        <f>SUM(D23:F23)</f>
        <v>82720471.5</v>
      </c>
      <c r="D23" s="74">
        <v>82591127.5</v>
      </c>
      <c r="E23" s="74"/>
      <c r="F23" s="74">
        <v>129344</v>
      </c>
    </row>
    <row r="24" spans="1:6" x14ac:dyDescent="0.3">
      <c r="A24" s="107">
        <f t="shared" si="0"/>
        <v>17</v>
      </c>
      <c r="B24" s="94" t="s">
        <v>56</v>
      </c>
      <c r="C24" s="74">
        <f>SUM(C11:C23)</f>
        <v>214726120.93000001</v>
      </c>
      <c r="D24" s="74">
        <f>SUM(D11:D23)</f>
        <v>211308634.59000003</v>
      </c>
      <c r="E24" s="74">
        <f>SUM(E11:E23)</f>
        <v>13257.679999999998</v>
      </c>
      <c r="F24" s="74">
        <f>SUM(F11:F23)</f>
        <v>3404228.66</v>
      </c>
    </row>
    <row r="25" spans="1:6" x14ac:dyDescent="0.3">
      <c r="A25" s="107">
        <f t="shared" si="0"/>
        <v>18</v>
      </c>
      <c r="B25" s="94"/>
      <c r="C25" s="74"/>
      <c r="D25" s="74"/>
      <c r="E25" s="74"/>
      <c r="F25" s="74"/>
    </row>
    <row r="26" spans="1:6" x14ac:dyDescent="0.3">
      <c r="A26" s="107">
        <f t="shared" si="0"/>
        <v>19</v>
      </c>
      <c r="B26" s="92" t="s">
        <v>57</v>
      </c>
      <c r="C26" s="74">
        <f>+C8-C24</f>
        <v>1939093074.3399999</v>
      </c>
      <c r="D26" s="74">
        <f>+D8-D24</f>
        <v>1931435550.77</v>
      </c>
      <c r="E26" s="74">
        <f>+E8-E24</f>
        <v>311124.52</v>
      </c>
      <c r="F26" s="74">
        <f>+F8-F24</f>
        <v>7346399.0499999989</v>
      </c>
    </row>
    <row r="27" spans="1:6" x14ac:dyDescent="0.3">
      <c r="A27" s="107">
        <f t="shared" si="0"/>
        <v>20</v>
      </c>
      <c r="B27" s="94"/>
      <c r="C27" s="74"/>
      <c r="D27" s="74"/>
      <c r="E27" s="74"/>
      <c r="F27" s="74"/>
    </row>
    <row r="28" spans="1:6" x14ac:dyDescent="0.3">
      <c r="A28" s="107">
        <f t="shared" si="0"/>
        <v>21</v>
      </c>
      <c r="B28" s="93" t="s">
        <v>58</v>
      </c>
    </row>
    <row r="29" spans="1:6" x14ac:dyDescent="0.3">
      <c r="A29" s="107">
        <f t="shared" si="0"/>
        <v>22</v>
      </c>
      <c r="B29" s="95" t="s">
        <v>59</v>
      </c>
      <c r="C29" s="74">
        <f>SUM(D29:F29)</f>
        <v>920588.00999999722</v>
      </c>
      <c r="D29" s="74">
        <v>1114779.6099999971</v>
      </c>
      <c r="E29" s="74">
        <v>-743.57999999999811</v>
      </c>
      <c r="F29" s="74">
        <v>-193448.01999999984</v>
      </c>
    </row>
    <row r="30" spans="1:6" x14ac:dyDescent="0.3">
      <c r="A30" s="107">
        <f t="shared" si="0"/>
        <v>23</v>
      </c>
      <c r="B30" s="95" t="s">
        <v>55</v>
      </c>
      <c r="C30" s="74">
        <f>SUM(D30:F30)</f>
        <v>-360848</v>
      </c>
      <c r="D30" s="74">
        <v>-317696</v>
      </c>
      <c r="E30" s="74">
        <v>-604</v>
      </c>
      <c r="F30" s="74">
        <v>-42548</v>
      </c>
    </row>
    <row r="31" spans="1:6" x14ac:dyDescent="0.3">
      <c r="A31" s="107">
        <f t="shared" si="0"/>
        <v>24</v>
      </c>
      <c r="B31" s="96" t="s">
        <v>60</v>
      </c>
      <c r="C31" s="74">
        <f>SUM(D31:F31)</f>
        <v>-1281436.0099999972</v>
      </c>
      <c r="D31" s="69">
        <f>+D30-D29</f>
        <v>-1432475.6099999971</v>
      </c>
      <c r="E31" s="69">
        <f t="shared" ref="E31:F31" si="2">+E30-E29</f>
        <v>139.57999999999811</v>
      </c>
      <c r="F31" s="69">
        <f t="shared" si="2"/>
        <v>150900.01999999984</v>
      </c>
    </row>
    <row r="32" spans="1:6" x14ac:dyDescent="0.3">
      <c r="A32" s="107">
        <f t="shared" si="0"/>
        <v>25</v>
      </c>
      <c r="B32" s="92"/>
      <c r="C32" s="74"/>
      <c r="D32" s="69"/>
      <c r="E32" s="69"/>
      <c r="F32" s="69"/>
    </row>
    <row r="33" spans="1:6" x14ac:dyDescent="0.3">
      <c r="A33" s="107">
        <f t="shared" si="0"/>
        <v>26</v>
      </c>
      <c r="B33" s="96" t="s">
        <v>62</v>
      </c>
      <c r="C33" s="74">
        <f t="shared" ref="C33:C39" si="3">SUM(D33:F33)</f>
        <v>25313.129941087216</v>
      </c>
      <c r="D33" s="69">
        <v>25313.129941087216</v>
      </c>
      <c r="E33" s="69">
        <v>0</v>
      </c>
      <c r="F33" s="69">
        <v>0</v>
      </c>
    </row>
    <row r="34" spans="1:6" x14ac:dyDescent="0.3">
      <c r="A34" s="107">
        <f t="shared" si="0"/>
        <v>27</v>
      </c>
      <c r="B34" s="96" t="s">
        <v>63</v>
      </c>
      <c r="C34" s="74">
        <f t="shared" si="3"/>
        <v>-2646730.2000589371</v>
      </c>
      <c r="D34" s="69">
        <v>-2662717.2000589371</v>
      </c>
      <c r="E34" s="69">
        <v>7</v>
      </c>
      <c r="F34" s="69">
        <v>15980</v>
      </c>
    </row>
    <row r="35" spans="1:6" x14ac:dyDescent="0.3">
      <c r="A35" s="107">
        <f t="shared" si="0"/>
        <v>28</v>
      </c>
      <c r="B35" s="97" t="s">
        <v>105</v>
      </c>
      <c r="C35" s="74">
        <f t="shared" si="3"/>
        <v>-3902853.0801178468</v>
      </c>
      <c r="D35" s="74">
        <f t="shared" ref="D35:F35" si="4">SUM(D31:D34)</f>
        <v>-4069879.6801178469</v>
      </c>
      <c r="E35" s="74">
        <f t="shared" si="4"/>
        <v>146.57999999999811</v>
      </c>
      <c r="F35" s="74">
        <f t="shared" si="4"/>
        <v>166880.01999999984</v>
      </c>
    </row>
    <row r="36" spans="1:6" x14ac:dyDescent="0.3">
      <c r="A36" s="107">
        <f t="shared" si="0"/>
        <v>29</v>
      </c>
      <c r="B36" s="92"/>
      <c r="C36" s="74"/>
      <c r="D36" s="69"/>
      <c r="E36" s="69"/>
      <c r="F36" s="69"/>
    </row>
    <row r="37" spans="1:6" x14ac:dyDescent="0.3">
      <c r="A37" s="107">
        <f t="shared" si="0"/>
        <v>30</v>
      </c>
      <c r="B37" s="92" t="s">
        <v>61</v>
      </c>
      <c r="C37" s="74">
        <f>SUM(D37:F37)</f>
        <v>28313252</v>
      </c>
      <c r="D37" s="69">
        <v>28308134</v>
      </c>
      <c r="E37" s="69">
        <v>5118</v>
      </c>
      <c r="F37" s="69">
        <v>0</v>
      </c>
    </row>
    <row r="38" spans="1:6" x14ac:dyDescent="0.3">
      <c r="A38" s="107">
        <f t="shared" si="0"/>
        <v>31</v>
      </c>
      <c r="B38" s="92"/>
      <c r="C38" s="74"/>
      <c r="D38" s="69"/>
      <c r="E38" s="69"/>
      <c r="F38" s="69"/>
    </row>
    <row r="39" spans="1:6" x14ac:dyDescent="0.3">
      <c r="A39" s="107">
        <f t="shared" si="0"/>
        <v>32</v>
      </c>
      <c r="B39" t="s">
        <v>64</v>
      </c>
      <c r="C39" s="74">
        <f t="shared" si="3"/>
        <v>1963503473.259882</v>
      </c>
      <c r="D39" s="69">
        <f>SUM(D26,D35,D37)</f>
        <v>1955673805.0898821</v>
      </c>
      <c r="E39" s="69">
        <f t="shared" ref="E39:F39" si="5">SUM(E26,E35,E37)</f>
        <v>316389.10000000003</v>
      </c>
      <c r="F39" s="69">
        <f t="shared" si="5"/>
        <v>7513279.0699999984</v>
      </c>
    </row>
    <row r="40" spans="1:6" x14ac:dyDescent="0.3">
      <c r="A40" s="107"/>
      <c r="B40" s="93"/>
      <c r="D40" s="74"/>
      <c r="E40" s="74"/>
      <c r="F40" s="74"/>
    </row>
    <row r="41" spans="1:6" x14ac:dyDescent="0.3">
      <c r="A41" s="107"/>
      <c r="B41" s="94" t="s">
        <v>65</v>
      </c>
      <c r="C41" s="69">
        <v>1963503474.129941</v>
      </c>
      <c r="E41" s="69"/>
      <c r="F41" s="69"/>
    </row>
    <row r="42" spans="1:6" x14ac:dyDescent="0.3">
      <c r="A42" s="107"/>
      <c r="B42" t="s">
        <v>66</v>
      </c>
      <c r="C42" s="69">
        <f>+C39-C41</f>
        <v>-0.87005901336669922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workbookViewId="0">
      <selection activeCell="B10" sqref="B10"/>
    </sheetView>
  </sheetViews>
  <sheetFormatPr defaultRowHeight="14.4" x14ac:dyDescent="0.3"/>
  <cols>
    <col min="1" max="1" width="48.109375" customWidth="1"/>
    <col min="2" max="2" width="11" bestFit="1" customWidth="1"/>
    <col min="3" max="14" width="10" bestFit="1" customWidth="1"/>
    <col min="15" max="15" width="12.5546875" bestFit="1" customWidth="1"/>
    <col min="16" max="16" width="11.5546875" bestFit="1" customWidth="1"/>
    <col min="17" max="17" width="12.5546875" bestFit="1" customWidth="1"/>
    <col min="18" max="18" width="11.5546875" bestFit="1" customWidth="1"/>
    <col min="19" max="19" width="12.5546875" bestFit="1" customWidth="1"/>
    <col min="20" max="20" width="11.5546875" bestFit="1" customWidth="1"/>
    <col min="21" max="21" width="12.5546875" bestFit="1" customWidth="1"/>
    <col min="22" max="22" width="11.5546875" bestFit="1" customWidth="1"/>
    <col min="23" max="23" width="12.5546875" bestFit="1" customWidth="1"/>
    <col min="24" max="24" width="11.5546875" bestFit="1" customWidth="1"/>
    <col min="25" max="28" width="12.5546875" bestFit="1" customWidth="1"/>
  </cols>
  <sheetData>
    <row r="1" spans="1:14" x14ac:dyDescent="0.3">
      <c r="A1" t="s">
        <v>38</v>
      </c>
    </row>
    <row r="2" spans="1:14" x14ac:dyDescent="0.3">
      <c r="A2" t="s">
        <v>80</v>
      </c>
    </row>
    <row r="5" spans="1:14" x14ac:dyDescent="0.3">
      <c r="A5" t="s">
        <v>36</v>
      </c>
      <c r="B5" s="85" t="s">
        <v>37</v>
      </c>
      <c r="C5" s="86">
        <v>42614</v>
      </c>
      <c r="D5" s="86">
        <v>42583</v>
      </c>
      <c r="E5" s="86">
        <v>42552</v>
      </c>
      <c r="F5" s="86">
        <v>42522</v>
      </c>
      <c r="G5" s="86">
        <v>42491</v>
      </c>
      <c r="H5" s="86">
        <v>42461</v>
      </c>
      <c r="I5" s="86">
        <v>42430</v>
      </c>
      <c r="J5" s="86">
        <v>42401</v>
      </c>
      <c r="K5" s="86">
        <v>42370</v>
      </c>
      <c r="L5" s="86">
        <v>42339</v>
      </c>
      <c r="M5" s="86">
        <v>42309</v>
      </c>
      <c r="N5" s="86">
        <v>42278</v>
      </c>
    </row>
    <row r="6" spans="1:14" x14ac:dyDescent="0.3">
      <c r="A6" t="s">
        <v>81</v>
      </c>
      <c r="B6" s="83">
        <f t="shared" ref="B6:B9" si="0">SUM(C6:N6)</f>
        <v>22978738.77</v>
      </c>
      <c r="C6" s="83">
        <v>1211960</v>
      </c>
      <c r="D6" s="83">
        <v>1109282</v>
      </c>
      <c r="E6" s="83">
        <v>1502437</v>
      </c>
      <c r="F6" s="83">
        <v>975840</v>
      </c>
      <c r="G6" s="83">
        <v>1214344</v>
      </c>
      <c r="H6" s="83">
        <v>1705173</v>
      </c>
      <c r="I6" s="83">
        <v>2112533</v>
      </c>
      <c r="J6" s="83">
        <v>2745081</v>
      </c>
      <c r="K6" s="83">
        <v>3120930</v>
      </c>
      <c r="L6" s="83">
        <v>3377034.77</v>
      </c>
      <c r="M6" s="83">
        <v>1975653</v>
      </c>
      <c r="N6" s="83">
        <v>1928471</v>
      </c>
    </row>
    <row r="7" spans="1:14" x14ac:dyDescent="0.3">
      <c r="A7" t="s">
        <v>82</v>
      </c>
      <c r="B7" s="83">
        <f t="shared" si="0"/>
        <v>20519583</v>
      </c>
      <c r="C7" s="83">
        <v>2064265</v>
      </c>
      <c r="D7" s="83">
        <v>2064265</v>
      </c>
      <c r="E7" s="83">
        <v>2064265</v>
      </c>
      <c r="F7" s="83">
        <v>2064265</v>
      </c>
      <c r="G7" s="83">
        <v>2064265</v>
      </c>
      <c r="H7" s="83">
        <v>1456894</v>
      </c>
      <c r="I7" s="83">
        <v>1456894</v>
      </c>
      <c r="J7" s="83">
        <v>1456894</v>
      </c>
      <c r="K7" s="83">
        <v>1456894</v>
      </c>
      <c r="L7" s="83">
        <v>1456894</v>
      </c>
      <c r="M7" s="83">
        <v>1456894</v>
      </c>
      <c r="N7" s="83">
        <v>1456894</v>
      </c>
    </row>
    <row r="8" spans="1:14" x14ac:dyDescent="0.3">
      <c r="A8" t="s">
        <v>83</v>
      </c>
      <c r="B8" s="83">
        <f t="shared" si="0"/>
        <v>562447.29</v>
      </c>
      <c r="C8" s="83">
        <v>43833</v>
      </c>
      <c r="D8" s="83">
        <v>62458</v>
      </c>
      <c r="E8" s="83">
        <v>44818</v>
      </c>
      <c r="F8" s="83">
        <v>70544.289999999994</v>
      </c>
      <c r="G8" s="83">
        <v>34501</v>
      </c>
      <c r="H8" s="83">
        <v>33275</v>
      </c>
      <c r="I8" s="83">
        <v>37153</v>
      </c>
      <c r="J8" s="83">
        <v>44414</v>
      </c>
      <c r="K8" s="83">
        <v>48386</v>
      </c>
      <c r="L8" s="83">
        <v>60970</v>
      </c>
      <c r="M8" s="83">
        <v>41204</v>
      </c>
      <c r="N8" s="83">
        <v>40891</v>
      </c>
    </row>
    <row r="9" spans="1:14" x14ac:dyDescent="0.3">
      <c r="A9" t="s">
        <v>84</v>
      </c>
      <c r="B9" s="83">
        <f t="shared" si="0"/>
        <v>11900997</v>
      </c>
      <c r="C9" s="83">
        <v>875076</v>
      </c>
      <c r="D9" s="83">
        <v>1254122</v>
      </c>
      <c r="E9" s="83">
        <v>826409</v>
      </c>
      <c r="F9" s="83">
        <v>1062020</v>
      </c>
      <c r="G9" s="83">
        <v>783196</v>
      </c>
      <c r="H9" s="83">
        <v>755355</v>
      </c>
      <c r="I9" s="83">
        <v>842793</v>
      </c>
      <c r="J9" s="83">
        <v>1008809</v>
      </c>
      <c r="K9" s="83">
        <v>1098386</v>
      </c>
      <c r="L9" s="83">
        <v>1519673</v>
      </c>
      <c r="M9" s="83">
        <v>1135453</v>
      </c>
      <c r="N9" s="83">
        <v>739705</v>
      </c>
    </row>
    <row r="10" spans="1:14" ht="15" thickBot="1" x14ac:dyDescent="0.35">
      <c r="A10" t="s">
        <v>85</v>
      </c>
      <c r="B10" s="84">
        <f>SUM(B6:B9)</f>
        <v>55961766.059999995</v>
      </c>
      <c r="C10" s="84">
        <f t="shared" ref="C10:N10" si="1">SUM(C6:C9)</f>
        <v>4195134</v>
      </c>
      <c r="D10" s="84">
        <f t="shared" si="1"/>
        <v>4490127</v>
      </c>
      <c r="E10" s="84">
        <f t="shared" si="1"/>
        <v>4437929</v>
      </c>
      <c r="F10" s="84">
        <f t="shared" si="1"/>
        <v>4172669.29</v>
      </c>
      <c r="G10" s="84">
        <f t="shared" si="1"/>
        <v>4096306</v>
      </c>
      <c r="H10" s="84">
        <f t="shared" si="1"/>
        <v>3950697</v>
      </c>
      <c r="I10" s="84">
        <f t="shared" si="1"/>
        <v>4449373</v>
      </c>
      <c r="J10" s="84">
        <f t="shared" si="1"/>
        <v>5255198</v>
      </c>
      <c r="K10" s="84">
        <f t="shared" si="1"/>
        <v>5724596</v>
      </c>
      <c r="L10" s="84">
        <f t="shared" si="1"/>
        <v>6414571.7699999996</v>
      </c>
      <c r="M10" s="84">
        <f t="shared" si="1"/>
        <v>4609204</v>
      </c>
      <c r="N10" s="84">
        <f t="shared" si="1"/>
        <v>4165961</v>
      </c>
    </row>
    <row r="11" spans="1:14" ht="15" thickTop="1" x14ac:dyDescent="0.3"/>
    <row r="12" spans="1:14" x14ac:dyDescent="0.3">
      <c r="B12" s="72"/>
    </row>
    <row r="13" spans="1:14" x14ac:dyDescent="0.3">
      <c r="B13" s="72"/>
    </row>
    <row r="14" spans="1:14" x14ac:dyDescent="0.3">
      <c r="B14" s="72"/>
    </row>
    <row r="15" spans="1:14" x14ac:dyDescent="0.3">
      <c r="B15" s="72"/>
    </row>
    <row r="16" spans="1:14" x14ac:dyDescent="0.3">
      <c r="B16" s="72"/>
    </row>
    <row r="17" spans="2:2" x14ac:dyDescent="0.3">
      <c r="B17" s="72"/>
    </row>
    <row r="18" spans="2:2" x14ac:dyDescent="0.3">
      <c r="B18" s="72"/>
    </row>
    <row r="19" spans="2:2" x14ac:dyDescent="0.3">
      <c r="B19" s="72"/>
    </row>
    <row r="20" spans="2:2" x14ac:dyDescent="0.3">
      <c r="B20" s="72"/>
    </row>
    <row r="21" spans="2:2" x14ac:dyDescent="0.3">
      <c r="B21" s="72"/>
    </row>
    <row r="22" spans="2:2" x14ac:dyDescent="0.3">
      <c r="B22" s="72"/>
    </row>
    <row r="23" spans="2:2" x14ac:dyDescent="0.3">
      <c r="B23" s="72"/>
    </row>
    <row r="24" spans="2:2" x14ac:dyDescent="0.3">
      <c r="B24" s="72"/>
    </row>
    <row r="25" spans="2:2" x14ac:dyDescent="0.3">
      <c r="B25" s="72"/>
    </row>
    <row r="26" spans="2:2" x14ac:dyDescent="0.3">
      <c r="B26" s="72"/>
    </row>
    <row r="27" spans="2:2" x14ac:dyDescent="0.3">
      <c r="B27" s="72"/>
    </row>
    <row r="28" spans="2:2" x14ac:dyDescent="0.3">
      <c r="B28" s="72"/>
    </row>
    <row r="29" spans="2:2" x14ac:dyDescent="0.3">
      <c r="B29" s="72"/>
    </row>
    <row r="30" spans="2:2" x14ac:dyDescent="0.3">
      <c r="B30" s="72"/>
    </row>
    <row r="31" spans="2:2" x14ac:dyDescent="0.3">
      <c r="B31" s="72"/>
    </row>
    <row r="32" spans="2:2" x14ac:dyDescent="0.3">
      <c r="B32" s="72"/>
    </row>
    <row r="33" spans="1:28" x14ac:dyDescent="0.3">
      <c r="B33" s="72"/>
    </row>
    <row r="34" spans="1:28" x14ac:dyDescent="0.3">
      <c r="B34" s="72"/>
    </row>
    <row r="35" spans="1:28" x14ac:dyDescent="0.3">
      <c r="B35" s="72"/>
    </row>
    <row r="36" spans="1:28" x14ac:dyDescent="0.3">
      <c r="B36" s="72"/>
    </row>
    <row r="37" spans="1:28" x14ac:dyDescent="0.3">
      <c r="B37" s="72"/>
    </row>
    <row r="38" spans="1:28" x14ac:dyDescent="0.3">
      <c r="A38" s="70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</row>
    <row r="39" spans="1:28" x14ac:dyDescent="0.3">
      <c r="A39" s="70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</row>
    <row r="40" spans="1:28" x14ac:dyDescent="0.3">
      <c r="A40" s="70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</row>
    <row r="41" spans="1:28" x14ac:dyDescent="0.3">
      <c r="A41" s="70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</row>
    <row r="42" spans="1:28" x14ac:dyDescent="0.3">
      <c r="A42" s="70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</row>
    <row r="43" spans="1:28" x14ac:dyDescent="0.3">
      <c r="A43" s="70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</row>
    <row r="44" spans="1:28" x14ac:dyDescent="0.3">
      <c r="F44" s="69"/>
      <c r="G44" s="69"/>
      <c r="Z44" s="69"/>
      <c r="AA44" s="69"/>
    </row>
  </sheetData>
  <pageMargins left="0.2" right="0.2" top="0.75" bottom="0.75" header="0.3" footer="0.3"/>
  <pageSetup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4" workbookViewId="0">
      <selection activeCell="M27" sqref="M27"/>
    </sheetView>
  </sheetViews>
  <sheetFormatPr defaultRowHeight="14.4" x14ac:dyDescent="0.3"/>
  <cols>
    <col min="1" max="1" width="49.44140625" customWidth="1"/>
    <col min="2" max="2" width="12.44140625" bestFit="1" customWidth="1"/>
    <col min="3" max="3" width="11.109375" bestFit="1" customWidth="1"/>
    <col min="4" max="4" width="11.44140625" bestFit="1" customWidth="1"/>
    <col min="5" max="7" width="10.5546875" bestFit="1" customWidth="1"/>
    <col min="8" max="8" width="11" bestFit="1" customWidth="1"/>
    <col min="9" max="9" width="13.44140625" bestFit="1" customWidth="1"/>
    <col min="10" max="10" width="11" bestFit="1" customWidth="1"/>
    <col min="11" max="11" width="13.44140625" bestFit="1" customWidth="1"/>
    <col min="12" max="12" width="11.33203125" bestFit="1" customWidth="1"/>
    <col min="13" max="13" width="13.44140625" bestFit="1" customWidth="1"/>
    <col min="14" max="14" width="10.5546875" bestFit="1" customWidth="1"/>
  </cols>
  <sheetData>
    <row r="1" spans="1:15" x14ac:dyDescent="0.3">
      <c r="A1" t="s">
        <v>38</v>
      </c>
    </row>
    <row r="2" spans="1:15" x14ac:dyDescent="0.3">
      <c r="A2" t="s">
        <v>86</v>
      </c>
    </row>
    <row r="5" spans="1:15" x14ac:dyDescent="0.3">
      <c r="A5" t="s">
        <v>36</v>
      </c>
      <c r="B5" s="85" t="s">
        <v>37</v>
      </c>
      <c r="C5" s="86">
        <v>42614</v>
      </c>
      <c r="D5" s="86">
        <v>42583</v>
      </c>
      <c r="E5" s="86">
        <v>42552</v>
      </c>
      <c r="F5" s="86">
        <v>42522</v>
      </c>
      <c r="G5" s="86">
        <v>42491</v>
      </c>
      <c r="H5" s="86">
        <v>42461</v>
      </c>
      <c r="I5" s="86">
        <v>42430</v>
      </c>
      <c r="J5" s="86">
        <v>42401</v>
      </c>
      <c r="K5" s="86">
        <v>42370</v>
      </c>
      <c r="L5" s="86">
        <v>42339</v>
      </c>
      <c r="M5" s="86">
        <v>42309</v>
      </c>
      <c r="N5" s="86">
        <v>42278</v>
      </c>
    </row>
    <row r="6" spans="1:15" x14ac:dyDescent="0.3">
      <c r="A6" t="s">
        <v>87</v>
      </c>
      <c r="B6" s="83">
        <v>97540765.159999996</v>
      </c>
      <c r="C6" s="83">
        <v>6456961.9500000002</v>
      </c>
      <c r="D6" s="83">
        <v>6924206.6299999999</v>
      </c>
      <c r="E6" s="83">
        <v>6898507.4800000004</v>
      </c>
      <c r="F6" s="83">
        <v>6533309.9900000002</v>
      </c>
      <c r="G6" s="83">
        <v>6562557.9900000002</v>
      </c>
      <c r="H6" s="83">
        <v>7403551.75</v>
      </c>
      <c r="I6" s="83">
        <v>2347887.06</v>
      </c>
      <c r="J6" s="83">
        <v>15686990.93</v>
      </c>
      <c r="K6" s="83">
        <v>10541897.050000001</v>
      </c>
      <c r="L6" s="83">
        <v>10639781.84</v>
      </c>
      <c r="M6" s="83">
        <v>9719739.9000000004</v>
      </c>
      <c r="N6" s="83">
        <v>7825372.5899999999</v>
      </c>
      <c r="O6" t="s">
        <v>127</v>
      </c>
    </row>
    <row r="7" spans="1:15" x14ac:dyDescent="0.3">
      <c r="A7" t="s">
        <v>88</v>
      </c>
      <c r="B7" s="83">
        <v>80920052.489999995</v>
      </c>
      <c r="C7" s="83">
        <v>6097703.1600000001</v>
      </c>
      <c r="D7" s="83">
        <v>6428967.9500000002</v>
      </c>
      <c r="E7" s="83">
        <v>5812319.3300000001</v>
      </c>
      <c r="F7" s="83">
        <v>5858510.0800000001</v>
      </c>
      <c r="G7" s="83">
        <v>5668218.9500000002</v>
      </c>
      <c r="H7" s="83">
        <v>6398172.6299999999</v>
      </c>
      <c r="I7" s="83">
        <v>7156918.4299999997</v>
      </c>
      <c r="J7" s="83">
        <v>8004888.3600000003</v>
      </c>
      <c r="K7" s="83">
        <v>8552316.6199999992</v>
      </c>
      <c r="L7" s="83">
        <v>8276983.9699999997</v>
      </c>
      <c r="M7" s="83">
        <v>6650588.4199999999</v>
      </c>
      <c r="N7" s="83">
        <v>6014464.5899999999</v>
      </c>
      <c r="O7" t="str">
        <f t="shared" ref="O7:O17" si="0">LEFT(A7,4)</f>
        <v>4081</v>
      </c>
    </row>
    <row r="8" spans="1:15" x14ac:dyDescent="0.3">
      <c r="A8" t="s">
        <v>89</v>
      </c>
      <c r="B8" s="83">
        <v>16296500.52</v>
      </c>
      <c r="C8" s="83">
        <v>1157503.3799999999</v>
      </c>
      <c r="D8" s="83">
        <v>1239795.83</v>
      </c>
      <c r="E8" s="83">
        <v>1234209.42</v>
      </c>
      <c r="F8" s="83">
        <v>1155667.42</v>
      </c>
      <c r="G8" s="83">
        <v>1187311.78</v>
      </c>
      <c r="H8" s="83">
        <v>1182234.0900000001</v>
      </c>
      <c r="I8" s="83">
        <v>1445198.42</v>
      </c>
      <c r="J8" s="83">
        <v>1451892.21</v>
      </c>
      <c r="K8" s="83">
        <v>1700166.88</v>
      </c>
      <c r="L8" s="83">
        <v>1720847.24</v>
      </c>
      <c r="M8" s="83">
        <v>1559921.97</v>
      </c>
      <c r="N8" s="83">
        <v>1261751.8799999999</v>
      </c>
      <c r="O8" t="str">
        <f t="shared" si="0"/>
        <v>9080</v>
      </c>
    </row>
    <row r="9" spans="1:15" x14ac:dyDescent="0.3">
      <c r="A9" t="s">
        <v>90</v>
      </c>
      <c r="B9" s="83">
        <v>-69268219.670000002</v>
      </c>
      <c r="C9" s="83">
        <v>-6568001.4500000002</v>
      </c>
      <c r="D9" s="83">
        <v>-4472751.8600000003</v>
      </c>
      <c r="E9" s="83">
        <v>-4536201.29</v>
      </c>
      <c r="F9" s="83">
        <v>-4025721.97</v>
      </c>
      <c r="G9" s="83">
        <v>-4615647.04</v>
      </c>
      <c r="H9" s="83">
        <v>-4734419.8899999997</v>
      </c>
      <c r="I9" s="83">
        <v>-6214543.0700000003</v>
      </c>
      <c r="J9" s="83">
        <v>-6221065.9800000004</v>
      </c>
      <c r="K9" s="83">
        <v>-7704279.6699999999</v>
      </c>
      <c r="L9" s="83">
        <v>-7895926.0199999996</v>
      </c>
      <c r="M9" s="83">
        <v>-7220389.4800000004</v>
      </c>
      <c r="N9" s="83">
        <v>-5059271.95</v>
      </c>
      <c r="O9" t="str">
        <f t="shared" si="0"/>
        <v>5550</v>
      </c>
    </row>
    <row r="10" spans="1:15" x14ac:dyDescent="0.3">
      <c r="A10" t="s">
        <v>91</v>
      </c>
      <c r="B10" s="83">
        <v>1563408.86</v>
      </c>
      <c r="C10" s="83">
        <v>238403.74</v>
      </c>
      <c r="D10" s="83">
        <v>178152.03</v>
      </c>
      <c r="E10" s="83">
        <v>99715.58</v>
      </c>
      <c r="F10" s="83">
        <v>218667.25</v>
      </c>
      <c r="G10" s="83">
        <v>193327.13</v>
      </c>
      <c r="H10" s="83">
        <v>182661.74</v>
      </c>
      <c r="I10" s="83">
        <v>297521.78999999998</v>
      </c>
      <c r="J10" s="83">
        <v>504418.6</v>
      </c>
      <c r="K10" s="83">
        <v>-201320.05</v>
      </c>
      <c r="L10" s="83">
        <v>-246438.04</v>
      </c>
      <c r="M10" s="83">
        <v>61693.64</v>
      </c>
      <c r="N10" s="83">
        <v>36605.449999999997</v>
      </c>
      <c r="O10" t="str">
        <f t="shared" si="0"/>
        <v>4560</v>
      </c>
    </row>
    <row r="11" spans="1:15" x14ac:dyDescent="0.3">
      <c r="A11" t="s">
        <v>92</v>
      </c>
      <c r="B11" s="83">
        <v>-1188516.6599999999</v>
      </c>
      <c r="C11" s="83">
        <v>-64329.2</v>
      </c>
      <c r="D11" s="83">
        <v>-69135.39</v>
      </c>
      <c r="E11" s="83">
        <v>-68847.789999999994</v>
      </c>
      <c r="F11" s="83">
        <v>-64617.3</v>
      </c>
      <c r="G11" s="83">
        <v>-66275.17</v>
      </c>
      <c r="H11" s="83">
        <v>-66572.289999999994</v>
      </c>
      <c r="I11" s="83">
        <v>-80843.09</v>
      </c>
      <c r="J11" s="83">
        <v>-85497.66</v>
      </c>
      <c r="K11" s="83">
        <v>-104736.6</v>
      </c>
      <c r="L11" s="83">
        <v>-195614.62</v>
      </c>
      <c r="M11" s="83">
        <v>-178684.66</v>
      </c>
      <c r="N11" s="83">
        <v>-143362.89000000001</v>
      </c>
      <c r="O11" t="str">
        <f t="shared" si="0"/>
        <v>4560</v>
      </c>
    </row>
    <row r="12" spans="1:15" x14ac:dyDescent="0.3">
      <c r="A12" t="s">
        <v>93</v>
      </c>
      <c r="B12" s="83">
        <v>-83819.95</v>
      </c>
      <c r="C12" s="83">
        <v>-4002.84</v>
      </c>
      <c r="D12" s="83">
        <v>-4301.8999999999996</v>
      </c>
      <c r="E12" s="83">
        <v>-4284.01</v>
      </c>
      <c r="F12" s="83">
        <v>-4020.77</v>
      </c>
      <c r="G12" s="83">
        <v>-4123.92</v>
      </c>
      <c r="H12" s="83">
        <v>-4142.42</v>
      </c>
      <c r="I12" s="83">
        <v>-5030.3999999999996</v>
      </c>
      <c r="J12" s="83">
        <v>-5320.04</v>
      </c>
      <c r="K12" s="83">
        <v>-3223.48</v>
      </c>
      <c r="L12" s="83">
        <v>-17144.52</v>
      </c>
      <c r="M12" s="83">
        <v>-15660.7</v>
      </c>
      <c r="N12" s="83">
        <v>-12564.95</v>
      </c>
      <c r="O12" t="str">
        <f t="shared" si="0"/>
        <v>4074</v>
      </c>
    </row>
    <row r="13" spans="1:15" x14ac:dyDescent="0.3">
      <c r="A13" t="s">
        <v>94</v>
      </c>
      <c r="B13" s="83">
        <v>-652945.05000000005</v>
      </c>
      <c r="C13" s="83">
        <v>-39002.120000000003</v>
      </c>
      <c r="D13" s="83">
        <v>-41916.07</v>
      </c>
      <c r="E13" s="83">
        <v>-41741.71</v>
      </c>
      <c r="F13" s="83">
        <v>-39176.79</v>
      </c>
      <c r="G13" s="83">
        <v>-40181.949999999997</v>
      </c>
      <c r="H13" s="83">
        <v>-40362.089999999997</v>
      </c>
      <c r="I13" s="83">
        <v>-49014.34</v>
      </c>
      <c r="J13" s="83">
        <v>-51836.35</v>
      </c>
      <c r="K13" s="83">
        <v>-86083.43</v>
      </c>
      <c r="L13" s="83">
        <v>-84505.56</v>
      </c>
      <c r="M13" s="83">
        <v>-77191.820000000007</v>
      </c>
      <c r="N13" s="83">
        <v>-61932.82</v>
      </c>
      <c r="O13" t="str">
        <f t="shared" si="0"/>
        <v>4560</v>
      </c>
    </row>
    <row r="14" spans="1:15" x14ac:dyDescent="0.3">
      <c r="A14" t="s">
        <v>95</v>
      </c>
      <c r="B14" s="83">
        <v>-54694.3</v>
      </c>
      <c r="C14" s="83">
        <v>3908.58</v>
      </c>
      <c r="D14" s="83">
        <v>4200.6000000000004</v>
      </c>
      <c r="E14" s="83">
        <v>4183.12</v>
      </c>
      <c r="F14" s="83">
        <v>3926.09</v>
      </c>
      <c r="G14" s="83">
        <v>4026.81</v>
      </c>
      <c r="H14" s="83">
        <v>4044.87</v>
      </c>
      <c r="I14" s="83">
        <v>43773.96</v>
      </c>
      <c r="J14" s="83">
        <v>-5194.76</v>
      </c>
      <c r="K14" s="83">
        <v>20261.099999999999</v>
      </c>
      <c r="L14" s="83">
        <v>-52081.31</v>
      </c>
      <c r="M14" s="83">
        <v>-47573.79</v>
      </c>
      <c r="N14" s="83">
        <v>-38169.57</v>
      </c>
      <c r="O14" t="str">
        <f t="shared" si="0"/>
        <v>4074</v>
      </c>
    </row>
    <row r="15" spans="1:15" x14ac:dyDescent="0.3">
      <c r="A15" t="s">
        <v>96</v>
      </c>
      <c r="B15" s="83">
        <v>-226820.57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6204.59</v>
      </c>
      <c r="M15" s="83">
        <v>3721.59</v>
      </c>
      <c r="N15" s="83">
        <v>-236746.75</v>
      </c>
      <c r="O15" t="str">
        <f t="shared" si="0"/>
        <v>4074</v>
      </c>
    </row>
    <row r="16" spans="1:15" x14ac:dyDescent="0.3">
      <c r="A16" t="s">
        <v>97</v>
      </c>
      <c r="B16" s="83">
        <v>1455389.93</v>
      </c>
      <c r="C16" s="83">
        <v>7384.22</v>
      </c>
      <c r="D16" s="83">
        <v>3199.56</v>
      </c>
      <c r="E16" s="83">
        <v>145690.04999999999</v>
      </c>
      <c r="F16" s="83">
        <v>8816.9599999999991</v>
      </c>
      <c r="G16" s="83">
        <v>34173.94</v>
      </c>
      <c r="H16" s="83">
        <v>101345.39</v>
      </c>
      <c r="I16" s="83">
        <v>10657.92</v>
      </c>
      <c r="J16" s="83">
        <v>355783.17</v>
      </c>
      <c r="K16" s="83">
        <v>-322753.09999999998</v>
      </c>
      <c r="L16" s="83">
        <v>624968.31999999995</v>
      </c>
      <c r="M16" s="83">
        <v>256932.27</v>
      </c>
      <c r="N16" s="83">
        <v>229191.23</v>
      </c>
      <c r="O16" t="str">
        <f t="shared" si="0"/>
        <v>5570</v>
      </c>
    </row>
    <row r="17" spans="1:15" x14ac:dyDescent="0.3">
      <c r="A17" t="s">
        <v>98</v>
      </c>
      <c r="B17" s="83">
        <v>126301100.76000001</v>
      </c>
      <c r="C17" s="83">
        <v>7286529.4199999999</v>
      </c>
      <c r="D17" s="83">
        <v>10190417.380000001</v>
      </c>
      <c r="E17" s="83">
        <v>9543550.1799999997</v>
      </c>
      <c r="F17" s="83">
        <v>9645360.9600000009</v>
      </c>
      <c r="G17" s="83">
        <v>8923388.5199999996</v>
      </c>
      <c r="H17" s="83">
        <v>10426513.779999999</v>
      </c>
      <c r="I17" s="83">
        <v>4952526.68</v>
      </c>
      <c r="J17" s="83">
        <v>19635058.48</v>
      </c>
      <c r="K17" s="83">
        <v>12392245.32</v>
      </c>
      <c r="L17" s="83">
        <v>12777075.890000001</v>
      </c>
      <c r="M17" s="83">
        <v>10713097.34</v>
      </c>
      <c r="N17" s="83">
        <v>9815336.8100000005</v>
      </c>
      <c r="O17" t="str">
        <f t="shared" si="0"/>
        <v>Debi</v>
      </c>
    </row>
    <row r="18" spans="1:15" ht="15" thickBot="1" x14ac:dyDescent="0.35">
      <c r="A18" s="104" t="s">
        <v>107</v>
      </c>
    </row>
    <row r="19" spans="1:15" x14ac:dyDescent="0.3">
      <c r="A19" s="104" t="s">
        <v>108</v>
      </c>
      <c r="H19" s="108" t="s">
        <v>128</v>
      </c>
      <c r="I19" s="109"/>
      <c r="J19" s="109"/>
      <c r="K19" s="109"/>
      <c r="L19" s="109"/>
      <c r="M19" s="110"/>
    </row>
    <row r="20" spans="1:15" x14ac:dyDescent="0.3">
      <c r="A20" s="104" t="s">
        <v>109</v>
      </c>
      <c r="H20" s="111">
        <v>4560</v>
      </c>
      <c r="I20" s="112">
        <f t="shared" ref="I20:I26" si="1">-SUMIF($O$6:$O$16,H20,$B$6:$B$16)</f>
        <v>278052.84999999986</v>
      </c>
      <c r="J20" s="112">
        <f>-SUMIF($F$36:$F$39,H20,$G$36:$G$39)</f>
        <v>0</v>
      </c>
      <c r="K20" s="112">
        <f>SUM(I20:J20)</f>
        <v>278052.84999999986</v>
      </c>
      <c r="L20" s="113"/>
      <c r="M20" s="114">
        <f>SUM(K20:L20)</f>
        <v>278052.84999999986</v>
      </c>
    </row>
    <row r="21" spans="1:15" x14ac:dyDescent="0.3">
      <c r="A21" s="104" t="s">
        <v>110</v>
      </c>
      <c r="B21" s="104" t="s">
        <v>111</v>
      </c>
      <c r="C21" s="104" t="s">
        <v>112</v>
      </c>
      <c r="D21" s="104" t="s">
        <v>113</v>
      </c>
      <c r="E21" s="105" t="s">
        <v>114</v>
      </c>
      <c r="H21" s="111">
        <v>5550</v>
      </c>
      <c r="I21" s="112">
        <f t="shared" si="1"/>
        <v>69268219.670000002</v>
      </c>
      <c r="J21" s="112">
        <f>-SUMIF($F$36:$F$39,H21,$G$36:$G$39)</f>
        <v>0</v>
      </c>
      <c r="K21" s="112">
        <f t="shared" ref="K21" si="2">SUM(I21:J21)</f>
        <v>69268219.670000002</v>
      </c>
      <c r="L21" s="113"/>
      <c r="M21" s="114">
        <f t="shared" ref="M21" si="3">SUM(K21:L21)</f>
        <v>69268219.670000002</v>
      </c>
    </row>
    <row r="22" spans="1:15" x14ac:dyDescent="0.3">
      <c r="A22" s="104" t="s">
        <v>115</v>
      </c>
      <c r="B22" s="106">
        <v>217356.64</v>
      </c>
      <c r="C22" s="106">
        <v>4159.59</v>
      </c>
      <c r="D22" s="106">
        <v>16419.45</v>
      </c>
      <c r="E22" s="106">
        <v>196777.60000000001</v>
      </c>
      <c r="H22" s="115" t="s">
        <v>127</v>
      </c>
      <c r="I22" s="112">
        <f t="shared" si="1"/>
        <v>-97540765.159999996</v>
      </c>
      <c r="J22" s="113"/>
      <c r="K22" s="112">
        <f t="shared" ref="K22:K27" si="4">SUM(I22:J22)</f>
        <v>-97540765.159999996</v>
      </c>
      <c r="L22" s="113"/>
      <c r="M22" s="114">
        <f t="shared" ref="M22:M27" si="5">SUM(K22:L22)</f>
        <v>-97540765.159999996</v>
      </c>
    </row>
    <row r="23" spans="1:15" x14ac:dyDescent="0.3">
      <c r="A23" t="s">
        <v>116</v>
      </c>
      <c r="B23" s="83">
        <v>79578.67</v>
      </c>
      <c r="C23" s="83">
        <v>4159.59</v>
      </c>
      <c r="D23" s="83">
        <v>16419.45</v>
      </c>
      <c r="E23" s="83">
        <v>58999.63</v>
      </c>
      <c r="H23" s="111">
        <v>9080</v>
      </c>
      <c r="I23" s="112">
        <f t="shared" si="1"/>
        <v>-16296500.52</v>
      </c>
      <c r="J23" s="112">
        <f>-SUMIF($F$36:$F$39,H23,$G$36:$G$39)</f>
        <v>-332892.13</v>
      </c>
      <c r="K23" s="112">
        <f t="shared" si="4"/>
        <v>-16629392.65</v>
      </c>
      <c r="L23" s="113"/>
      <c r="M23" s="114">
        <f t="shared" si="5"/>
        <v>-16629392.65</v>
      </c>
    </row>
    <row r="24" spans="1:15" x14ac:dyDescent="0.3">
      <c r="A24" t="s">
        <v>117</v>
      </c>
      <c r="B24" s="83">
        <v>10000</v>
      </c>
      <c r="C24" s="83">
        <v>0</v>
      </c>
      <c r="D24" s="83">
        <v>0</v>
      </c>
      <c r="E24" s="83">
        <v>10000</v>
      </c>
      <c r="H24" s="111">
        <v>9090</v>
      </c>
      <c r="I24" s="112">
        <f t="shared" si="1"/>
        <v>0</v>
      </c>
      <c r="J24" s="112">
        <f>-SUMIF($F$36:$F$39,H24,$G$36:$G$39)</f>
        <v>-646175.61</v>
      </c>
      <c r="K24" s="112">
        <f t="shared" si="4"/>
        <v>-646175.61</v>
      </c>
      <c r="L24" s="113"/>
      <c r="M24" s="114">
        <f t="shared" si="5"/>
        <v>-646175.61</v>
      </c>
    </row>
    <row r="25" spans="1:15" x14ac:dyDescent="0.3">
      <c r="A25" t="s">
        <v>118</v>
      </c>
      <c r="B25" s="83">
        <v>127777.97</v>
      </c>
      <c r="C25" s="83">
        <v>0</v>
      </c>
      <c r="D25" s="83">
        <v>0</v>
      </c>
      <c r="E25" s="83">
        <v>127777.97</v>
      </c>
      <c r="H25" s="111">
        <v>9260</v>
      </c>
      <c r="I25" s="112">
        <f t="shared" si="1"/>
        <v>0</v>
      </c>
      <c r="J25" s="112">
        <f>-SUMIF($F$36:$F$39,H25,$G$36:$G$39)</f>
        <v>-41429.58</v>
      </c>
      <c r="K25" s="112">
        <f t="shared" si="4"/>
        <v>-41429.58</v>
      </c>
      <c r="L25" s="112"/>
      <c r="M25" s="114">
        <f t="shared" si="5"/>
        <v>-41429.58</v>
      </c>
    </row>
    <row r="26" spans="1:15" x14ac:dyDescent="0.3">
      <c r="H26" s="111">
        <v>4074</v>
      </c>
      <c r="I26" s="112">
        <f t="shared" si="1"/>
        <v>365334.82</v>
      </c>
      <c r="J26" s="112">
        <f>-SUMIF($F$36:$F$39,H26,$G$36:$G$39)</f>
        <v>0</v>
      </c>
      <c r="K26" s="112">
        <f t="shared" si="4"/>
        <v>365334.82</v>
      </c>
      <c r="L26" s="113"/>
      <c r="M26" s="114">
        <f t="shared" si="5"/>
        <v>365334.82</v>
      </c>
    </row>
    <row r="27" spans="1:15" x14ac:dyDescent="0.3">
      <c r="A27" s="104" t="s">
        <v>119</v>
      </c>
      <c r="H27" s="111">
        <v>4081</v>
      </c>
      <c r="I27" s="112">
        <f>-SUMIF($O$6:$O$16,H27,$B$6:$B$16)-'Sch 140 Prop Taxes'!B10</f>
        <v>-136881818.54999998</v>
      </c>
      <c r="J27" s="112">
        <f>-SUMIF($F$36:$F$39,H27,$G$36:$G$39)</f>
        <v>-11150.8</v>
      </c>
      <c r="K27" s="112">
        <f t="shared" si="4"/>
        <v>-136892969.34999999</v>
      </c>
      <c r="L27" s="112">
        <f ca="1">'Lead E'!E27</f>
        <v>-7404753.7586328303</v>
      </c>
      <c r="M27" s="114">
        <f t="shared" ca="1" si="5"/>
        <v>-144297723.10863283</v>
      </c>
    </row>
    <row r="28" spans="1:15" x14ac:dyDescent="0.3">
      <c r="A28" s="104" t="s">
        <v>110</v>
      </c>
      <c r="B28" s="104" t="s">
        <v>111</v>
      </c>
      <c r="C28" s="104" t="s">
        <v>112</v>
      </c>
      <c r="D28" s="104" t="s">
        <v>113</v>
      </c>
      <c r="E28" s="105" t="s">
        <v>114</v>
      </c>
      <c r="H28" s="111"/>
      <c r="I28" s="112">
        <f>-I34</f>
        <v>-180807476.88999999</v>
      </c>
      <c r="J28" s="112">
        <f>SUM(J20:J27)</f>
        <v>-1031648.12</v>
      </c>
      <c r="K28" s="112">
        <f>-K34</f>
        <v>-181839125.00999999</v>
      </c>
      <c r="L28" s="112">
        <f ca="1">SUM(L20:L27)</f>
        <v>-7404753.7586328303</v>
      </c>
      <c r="M28" s="116">
        <f ca="1">SUM(M20:M27)</f>
        <v>-189243878.76863283</v>
      </c>
    </row>
    <row r="29" spans="1:15" x14ac:dyDescent="0.3">
      <c r="A29" s="104" t="s">
        <v>115</v>
      </c>
      <c r="B29" s="106">
        <v>814291.48</v>
      </c>
      <c r="C29" s="106">
        <v>6991.21</v>
      </c>
      <c r="D29" s="106">
        <v>25010.13</v>
      </c>
      <c r="E29" s="106">
        <v>782290.14</v>
      </c>
      <c r="F29" s="83"/>
      <c r="H29" s="117" t="s">
        <v>65</v>
      </c>
      <c r="I29" s="118">
        <f>I28+I34</f>
        <v>0</v>
      </c>
      <c r="J29" s="118">
        <f>J28+J34</f>
        <v>0</v>
      </c>
      <c r="K29" s="118">
        <f>K28+K34</f>
        <v>0</v>
      </c>
      <c r="L29" s="113"/>
      <c r="M29" s="119"/>
    </row>
    <row r="30" spans="1:15" x14ac:dyDescent="0.3">
      <c r="A30" t="s">
        <v>116</v>
      </c>
      <c r="B30" s="83">
        <v>185893.84</v>
      </c>
      <c r="C30" s="83">
        <v>6991.21</v>
      </c>
      <c r="D30" s="83">
        <v>25010.13</v>
      </c>
      <c r="E30" s="83">
        <v>153892.5</v>
      </c>
      <c r="H30" s="111"/>
      <c r="I30" s="113"/>
      <c r="J30" s="113"/>
      <c r="K30" s="113"/>
      <c r="L30" s="113"/>
      <c r="M30" s="119"/>
    </row>
    <row r="31" spans="1:15" x14ac:dyDescent="0.3">
      <c r="A31" t="s">
        <v>117</v>
      </c>
      <c r="B31" s="83">
        <v>110000</v>
      </c>
      <c r="C31" s="83">
        <v>0</v>
      </c>
      <c r="D31" s="83">
        <v>0</v>
      </c>
      <c r="E31" s="83">
        <v>110000</v>
      </c>
      <c r="H31" s="111" t="s">
        <v>129</v>
      </c>
      <c r="I31" s="112">
        <f>B17</f>
        <v>126301100.76000001</v>
      </c>
      <c r="J31" s="112">
        <f>G40</f>
        <v>1031648.12</v>
      </c>
      <c r="K31" s="112">
        <f>SUM(I31:J31)</f>
        <v>127332748.88000001</v>
      </c>
      <c r="L31" s="113"/>
      <c r="M31" s="119"/>
    </row>
    <row r="32" spans="1:15" x14ac:dyDescent="0.3">
      <c r="A32" t="s">
        <v>118</v>
      </c>
      <c r="B32" s="83">
        <v>518397.64</v>
      </c>
      <c r="C32" s="83">
        <v>0</v>
      </c>
      <c r="D32" s="83">
        <v>0</v>
      </c>
      <c r="E32" s="83">
        <v>518397.64</v>
      </c>
      <c r="H32" s="111" t="s">
        <v>130</v>
      </c>
      <c r="I32" s="112">
        <f>-B16</f>
        <v>-1455389.93</v>
      </c>
      <c r="J32" s="113"/>
      <c r="K32" s="112">
        <f>SUM(I32:J32)</f>
        <v>-1455389.93</v>
      </c>
      <c r="L32" s="113"/>
      <c r="M32" s="119"/>
    </row>
    <row r="33" spans="1:13" x14ac:dyDescent="0.3">
      <c r="H33" s="111" t="s">
        <v>131</v>
      </c>
      <c r="I33" s="112">
        <f>'Sch 140 Prop Taxes'!B10</f>
        <v>55961766.059999995</v>
      </c>
      <c r="J33" s="113"/>
      <c r="K33" s="112">
        <f>SUM(I33:J33)</f>
        <v>55961766.059999995</v>
      </c>
      <c r="L33" s="113"/>
      <c r="M33" s="119"/>
    </row>
    <row r="34" spans="1:13" ht="15" thickBot="1" x14ac:dyDescent="0.35">
      <c r="A34" s="104" t="s">
        <v>120</v>
      </c>
      <c r="H34" s="120" t="s">
        <v>132</v>
      </c>
      <c r="I34" s="121">
        <f>SUM(I31:I33)</f>
        <v>180807476.88999999</v>
      </c>
      <c r="J34" s="121">
        <f>SUM(J31:J33)</f>
        <v>1031648.12</v>
      </c>
      <c r="K34" s="121">
        <f>SUM(K31:K33)</f>
        <v>181839125.00999999</v>
      </c>
      <c r="L34" s="122"/>
      <c r="M34" s="123"/>
    </row>
    <row r="35" spans="1:13" x14ac:dyDescent="0.3">
      <c r="A35" s="104" t="s">
        <v>110</v>
      </c>
      <c r="B35" s="104" t="s">
        <v>111</v>
      </c>
      <c r="C35" s="104" t="s">
        <v>112</v>
      </c>
      <c r="D35" s="104" t="s">
        <v>113</v>
      </c>
      <c r="E35" s="105" t="s">
        <v>114</v>
      </c>
    </row>
    <row r="36" spans="1:13" x14ac:dyDescent="0.3">
      <c r="A36" t="s">
        <v>116</v>
      </c>
      <c r="B36" s="83">
        <f>B23+B30</f>
        <v>265472.51</v>
      </c>
      <c r="C36" s="83">
        <f>C23+C30</f>
        <v>11150.8</v>
      </c>
      <c r="D36" s="83">
        <f>D23+D30</f>
        <v>41429.58</v>
      </c>
      <c r="E36" s="83">
        <f>E23+E30</f>
        <v>212892.13</v>
      </c>
      <c r="F36">
        <v>4081</v>
      </c>
      <c r="G36" s="83">
        <f>C36</f>
        <v>11150.8</v>
      </c>
    </row>
    <row r="37" spans="1:13" x14ac:dyDescent="0.3">
      <c r="A37" t="s">
        <v>117</v>
      </c>
      <c r="B37" s="83">
        <f t="shared" ref="B37:B38" si="6">B24+B31</f>
        <v>120000</v>
      </c>
      <c r="E37" s="83">
        <f t="shared" ref="E37:E38" si="7">E24+E31</f>
        <v>120000</v>
      </c>
      <c r="F37">
        <v>9260</v>
      </c>
      <c r="G37" s="83">
        <f>D36</f>
        <v>41429.58</v>
      </c>
    </row>
    <row r="38" spans="1:13" x14ac:dyDescent="0.3">
      <c r="A38" t="s">
        <v>118</v>
      </c>
      <c r="B38" s="83">
        <f t="shared" si="6"/>
        <v>646175.61</v>
      </c>
      <c r="E38" s="83">
        <f t="shared" si="7"/>
        <v>646175.61</v>
      </c>
      <c r="F38">
        <v>9080</v>
      </c>
      <c r="G38" s="83">
        <f>E36+E37</f>
        <v>332892.13</v>
      </c>
    </row>
    <row r="39" spans="1:13" x14ac:dyDescent="0.3">
      <c r="A39" s="104" t="s">
        <v>121</v>
      </c>
      <c r="B39" s="106">
        <f>SUM(B36:B38)</f>
        <v>1031648.12</v>
      </c>
      <c r="C39" s="106">
        <f t="shared" ref="C39:E39" si="8">SUM(C36:C38)</f>
        <v>11150.8</v>
      </c>
      <c r="D39" s="106">
        <f t="shared" si="8"/>
        <v>41429.58</v>
      </c>
      <c r="E39" s="106">
        <f t="shared" si="8"/>
        <v>979067.74</v>
      </c>
      <c r="F39">
        <v>9090</v>
      </c>
      <c r="G39" s="83">
        <f>E38</f>
        <v>646175.61</v>
      </c>
    </row>
    <row r="40" spans="1:13" x14ac:dyDescent="0.3">
      <c r="G40" s="83">
        <f>SUM(G36:G39)</f>
        <v>1031648.12</v>
      </c>
    </row>
    <row r="41" spans="1:13" x14ac:dyDescent="0.3">
      <c r="G41" s="118">
        <f>G40-B39</f>
        <v>0</v>
      </c>
      <c r="H41" s="124" t="s">
        <v>65</v>
      </c>
    </row>
  </sheetData>
  <pageMargins left="0.45" right="0.45" top="0.75" bottom="0.75" header="0.3" footer="0.3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workbookViewId="0">
      <selection activeCell="E14" sqref="E14"/>
    </sheetView>
  </sheetViews>
  <sheetFormatPr defaultRowHeight="14.4" x14ac:dyDescent="0.3"/>
  <cols>
    <col min="1" max="1" width="5" bestFit="1" customWidth="1"/>
    <col min="2" max="2" width="63" bestFit="1" customWidth="1"/>
    <col min="4" max="4" width="7.33203125" bestFit="1" customWidth="1"/>
    <col min="5" max="5" width="8.6640625" bestFit="1" customWidth="1"/>
  </cols>
  <sheetData>
    <row r="1" spans="1:5" x14ac:dyDescent="0.3">
      <c r="A1" s="68"/>
      <c r="B1" s="68"/>
      <c r="C1" s="68"/>
      <c r="D1" s="68"/>
      <c r="E1" s="68"/>
    </row>
    <row r="2" spans="1:5" x14ac:dyDescent="0.3">
      <c r="A2" s="68"/>
      <c r="B2" s="68"/>
      <c r="C2" s="68"/>
      <c r="D2" s="68"/>
      <c r="E2" s="68"/>
    </row>
    <row r="3" spans="1:5" x14ac:dyDescent="0.3">
      <c r="A3" s="67"/>
      <c r="B3" s="66"/>
      <c r="C3" s="66"/>
      <c r="D3" s="66"/>
      <c r="E3" s="65"/>
    </row>
    <row r="4" spans="1:5" ht="15" thickBot="1" x14ac:dyDescent="0.35">
      <c r="A4" s="67"/>
      <c r="B4" s="67"/>
      <c r="C4" s="67"/>
      <c r="D4" s="67"/>
      <c r="E4" s="65"/>
    </row>
    <row r="5" spans="1:5" ht="15" thickBot="1" x14ac:dyDescent="0.35">
      <c r="A5" s="67"/>
      <c r="B5" s="67"/>
      <c r="C5" s="67"/>
      <c r="D5" s="67"/>
      <c r="E5" s="64" t="s">
        <v>78</v>
      </c>
    </row>
    <row r="6" spans="1:5" x14ac:dyDescent="0.3">
      <c r="A6" s="77" t="s">
        <v>0</v>
      </c>
      <c r="B6" s="78"/>
      <c r="C6" s="78"/>
      <c r="D6" s="78"/>
      <c r="E6" s="78"/>
    </row>
    <row r="7" spans="1:5" x14ac:dyDescent="0.3">
      <c r="A7" s="78" t="s">
        <v>106</v>
      </c>
      <c r="B7" s="78"/>
      <c r="C7" s="78"/>
      <c r="D7" s="78"/>
      <c r="E7" s="78"/>
    </row>
    <row r="8" spans="1:5" x14ac:dyDescent="0.3">
      <c r="A8" s="78"/>
      <c r="B8" s="129" t="s">
        <v>79</v>
      </c>
      <c r="C8" s="132"/>
      <c r="D8" s="132"/>
      <c r="E8" s="78"/>
    </row>
    <row r="9" spans="1:5" x14ac:dyDescent="0.3">
      <c r="A9" s="77" t="s">
        <v>77</v>
      </c>
      <c r="B9" s="78"/>
      <c r="C9" s="78"/>
      <c r="D9" s="78"/>
      <c r="E9" s="78"/>
    </row>
    <row r="10" spans="1:5" x14ac:dyDescent="0.3">
      <c r="A10" s="67"/>
      <c r="B10" s="67"/>
      <c r="C10" s="67"/>
      <c r="D10" s="67"/>
      <c r="E10" s="67"/>
    </row>
    <row r="11" spans="1:5" x14ac:dyDescent="0.3">
      <c r="A11" s="63" t="s">
        <v>2</v>
      </c>
      <c r="B11" s="67"/>
      <c r="C11" s="67"/>
      <c r="D11" s="67"/>
      <c r="E11" s="67"/>
    </row>
    <row r="12" spans="1:5" x14ac:dyDescent="0.3">
      <c r="A12" s="53" t="s">
        <v>3</v>
      </c>
      <c r="B12" s="62" t="s">
        <v>4</v>
      </c>
      <c r="C12" s="61"/>
      <c r="D12" s="61"/>
      <c r="E12" s="60" t="s">
        <v>41</v>
      </c>
    </row>
    <row r="13" spans="1:5" x14ac:dyDescent="0.3">
      <c r="A13" s="66"/>
      <c r="B13" s="66"/>
      <c r="C13" s="66"/>
      <c r="D13" s="66"/>
      <c r="E13" s="59"/>
    </row>
    <row r="14" spans="1:5" x14ac:dyDescent="0.3">
      <c r="A14" s="59">
        <v>1</v>
      </c>
      <c r="B14" s="58" t="s">
        <v>19</v>
      </c>
      <c r="C14" s="66"/>
      <c r="D14" s="66"/>
      <c r="E14" s="57">
        <f ca="1">'[1]KJB-3,11 Def'!$M$13</f>
        <v>7.1570000000000002E-3</v>
      </c>
    </row>
    <row r="15" spans="1:5" x14ac:dyDescent="0.3">
      <c r="A15" s="59">
        <v>2</v>
      </c>
      <c r="B15" s="58" t="s">
        <v>20</v>
      </c>
      <c r="C15" s="66"/>
      <c r="D15" s="66"/>
      <c r="E15" s="57">
        <f>'[1]KJB-3,11 Def'!$M$14</f>
        <v>2E-3</v>
      </c>
    </row>
    <row r="16" spans="1:5" x14ac:dyDescent="0.3">
      <c r="A16" s="59">
        <v>3</v>
      </c>
      <c r="B16" s="79" t="str">
        <f>"STATE UTILITY TAX ( "&amp;D16*100&amp;"% - ( LINE 1 * "&amp;D16*100&amp;"% )  )"</f>
        <v>STATE UTILITY TAX ( 3.8734% - ( LINE 1 * 3.8734% )  )</v>
      </c>
      <c r="C16" s="80"/>
      <c r="D16" s="81">
        <v>3.8733999999999998E-2</v>
      </c>
      <c r="E16" s="56">
        <f ca="1">'[1]KJB-3,11 Def'!$M$15</f>
        <v>3.8456999999999998E-2</v>
      </c>
    </row>
    <row r="17" spans="1:5" x14ac:dyDescent="0.3">
      <c r="A17" s="59">
        <v>4</v>
      </c>
      <c r="B17" s="58"/>
      <c r="C17" s="66"/>
      <c r="D17" s="66"/>
      <c r="E17" s="55"/>
    </row>
    <row r="18" spans="1:5" x14ac:dyDescent="0.3">
      <c r="A18" s="59">
        <v>5</v>
      </c>
      <c r="B18" s="58" t="s">
        <v>42</v>
      </c>
      <c r="C18" s="66"/>
      <c r="D18" s="66"/>
      <c r="E18" s="57">
        <f ca="1">SUM(E14:E16)</f>
        <v>4.7613999999999997E-2</v>
      </c>
    </row>
    <row r="19" spans="1:5" x14ac:dyDescent="0.3">
      <c r="A19" s="59">
        <v>6</v>
      </c>
      <c r="B19" s="66"/>
      <c r="C19" s="66"/>
      <c r="D19" s="66"/>
      <c r="E19" s="57"/>
    </row>
    <row r="20" spans="1:5" x14ac:dyDescent="0.3">
      <c r="A20" s="59">
        <v>7</v>
      </c>
      <c r="B20" s="66" t="s">
        <v>43</v>
      </c>
      <c r="C20" s="66"/>
      <c r="D20" s="66"/>
      <c r="E20" s="57">
        <f ca="1">ROUND(1-E18,6)</f>
        <v>0.95238599999999995</v>
      </c>
    </row>
    <row r="21" spans="1:5" x14ac:dyDescent="0.3">
      <c r="A21" s="59">
        <v>8</v>
      </c>
      <c r="B21" s="58" t="s">
        <v>44</v>
      </c>
      <c r="C21" s="66"/>
      <c r="D21" s="54">
        <v>0.35</v>
      </c>
      <c r="E21" s="75">
        <f ca="1">ROUND((E20)*D21,6)</f>
        <v>0.33333499999999999</v>
      </c>
    </row>
    <row r="22" spans="1:5" ht="15" thickBot="1" x14ac:dyDescent="0.35">
      <c r="A22" s="59">
        <v>9</v>
      </c>
      <c r="B22" s="58" t="s">
        <v>45</v>
      </c>
      <c r="C22" s="66"/>
      <c r="D22" s="66"/>
      <c r="E22" s="76">
        <f ca="1">E20-E21</f>
        <v>0.61905100000000002</v>
      </c>
    </row>
    <row r="23" spans="1:5" ht="15" thickTop="1" x14ac:dyDescent="0.3">
      <c r="A23" s="66"/>
      <c r="B23" s="66"/>
      <c r="C23" s="66"/>
      <c r="D23" s="66"/>
      <c r="E23" s="59"/>
    </row>
  </sheetData>
  <mergeCells count="1">
    <mergeCell ref="B8:D8"/>
  </mergeCells>
  <pageMargins left="0.7" right="0.7" top="0.75" bottom="0.75" header="0.3" footer="0.3"/>
  <pageSetup scale="97" fitToHeight="0" orientation="portrait" r:id="rId1"/>
  <headerFooter>
    <oddFooter>&amp;L&amp;A&amp;R&amp;P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26D004C-B8E4-4047-87C8-6728AA580D79}"/>
</file>

<file path=customXml/itemProps2.xml><?xml version="1.0" encoding="utf-8"?>
<ds:datastoreItem xmlns:ds="http://schemas.openxmlformats.org/officeDocument/2006/customXml" ds:itemID="{F9FFD393-9D8A-4AE6-BA5E-7C9BC3A6A7F2}"/>
</file>

<file path=customXml/itemProps3.xml><?xml version="1.0" encoding="utf-8"?>
<ds:datastoreItem xmlns:ds="http://schemas.openxmlformats.org/officeDocument/2006/customXml" ds:itemID="{8C4482A2-C8F7-436D-AF54-4380E026C81E}"/>
</file>

<file path=customXml/itemProps4.xml><?xml version="1.0" encoding="utf-8"?>
<ds:datastoreItem xmlns:ds="http://schemas.openxmlformats.org/officeDocument/2006/customXml" ds:itemID="{F4424E78-671B-4EB5-8C40-480B9FFB00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Lead E</vt:lpstr>
      <vt:lpstr>Rev Req Summary</vt:lpstr>
      <vt:lpstr>Sch 140 Prop Taxes</vt:lpstr>
      <vt:lpstr>Expense Orders</vt:lpstr>
      <vt:lpstr>Conv Factor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kbarnard</cp:lastModifiedBy>
  <cp:lastPrinted>2016-11-20T17:51:11Z</cp:lastPrinted>
  <dcterms:created xsi:type="dcterms:W3CDTF">2015-07-07T18:18:01Z</dcterms:created>
  <dcterms:modified xsi:type="dcterms:W3CDTF">2018-04-05T15:12:02Z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